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mmerce_results" sheetId="1" r:id="rId4"/>
    <sheet state="visible" name="amazon" sheetId="2" r:id="rId5"/>
    <sheet state="visible" name="sweet_almond_oil" sheetId="3" r:id="rId6"/>
    <sheet state="visible" name="config" sheetId="4" r:id="rId7"/>
    <sheet state="visible" name="olive_oil_pomace" sheetId="5" r:id="rId8"/>
    <sheet state="visible" name="coconut_oil" sheetId="6" r:id="rId9"/>
    <sheet state="visible" name="Sheet3" sheetId="7" r:id="rId10"/>
    <sheet state="visible" name="palm_kernel_oil" sheetId="8" r:id="rId11"/>
    <sheet state="visible" name="pumpkin_seed_oil" sheetId="9" r:id="rId12"/>
    <sheet state="visible" name="yellow_beeswax" sheetId="10" r:id="rId13"/>
    <sheet state="visible" name="candelilla_wax" sheetId="11" r:id="rId14"/>
    <sheet state="visible" name="shea_butter" sheetId="12" r:id="rId15"/>
    <sheet state="visible" name="mango_butter" sheetId="13" r:id="rId16"/>
    <sheet state="visible" name="cocoa_butter" sheetId="14" r:id="rId17"/>
    <sheet state="visible" name="spearmint_eo" sheetId="15" r:id="rId18"/>
    <sheet state="visible" name="ginger_eo" sheetId="16" r:id="rId19"/>
    <sheet state="visible" name="rosemary_eo" sheetId="17" r:id="rId20"/>
    <sheet state="visible" name="grapefruit_eo" sheetId="18" r:id="rId21"/>
    <sheet state="visible" name="chamomile_eo" sheetId="19" r:id="rId22"/>
  </sheets>
  <definedNames/>
  <calcPr/>
</workbook>
</file>

<file path=xl/sharedStrings.xml><?xml version="1.0" encoding="utf-8"?>
<sst xmlns="http://schemas.openxmlformats.org/spreadsheetml/2006/main" count="766" uniqueCount="326">
  <si>
    <t>product</t>
  </si>
  <si>
    <t>sweet almond oil</t>
  </si>
  <si>
    <t>olive oil pomace</t>
  </si>
  <si>
    <t>coconut oil</t>
  </si>
  <si>
    <t>palm kernel oil</t>
  </si>
  <si>
    <t>pumpkin seed oil</t>
  </si>
  <si>
    <t>yellow beeswax</t>
  </si>
  <si>
    <t>candelilla wax</t>
  </si>
  <si>
    <t>shea butter</t>
  </si>
  <si>
    <t>mango butter</t>
  </si>
  <si>
    <t>cocoa butter</t>
  </si>
  <si>
    <t>spearmint eo</t>
  </si>
  <si>
    <t>ginger eo</t>
  </si>
  <si>
    <t>rosemary eo</t>
  </si>
  <si>
    <t>grapefruit eo</t>
  </si>
  <si>
    <t>chamomile eo</t>
  </si>
  <si>
    <t>mean</t>
  </si>
  <si>
    <t>stdDev</t>
  </si>
  <si>
    <t>% stdDev</t>
  </si>
  <si>
    <t>item 1</t>
  </si>
  <si>
    <t>item 2</t>
  </si>
  <si>
    <t>supplier</t>
  </si>
  <si>
    <t>product_url</t>
  </si>
  <si>
    <t>size</t>
  </si>
  <si>
    <t>subtotal</t>
  </si>
  <si>
    <t>fees</t>
  </si>
  <si>
    <t>tax</t>
  </si>
  <si>
    <t>shipping</t>
  </si>
  <si>
    <t>total</t>
  </si>
  <si>
    <t>size_base_units</t>
  </si>
  <si>
    <t>subtotal_price_per_unit</t>
  </si>
  <si>
    <t>total_price_per_unit</t>
  </si>
  <si>
    <t>https://www.brambleberry.com/shop-by-product/ingredients/oils/sweet-almond-oil/V000532.html#q=sweet%2Balmond%2Boil&amp;lang=default&amp;start=1</t>
  </si>
  <si>
    <t>7.0 pound</t>
  </si>
  <si>
    <t>$37.99</t>
  </si>
  <si>
    <t>$0.00</t>
  </si>
  <si>
    <t>$11.93</t>
  </si>
  <si>
    <t>$49.92</t>
  </si>
  <si>
    <t>3.1751465900000007 kilogram</t>
  </si>
  <si>
    <t>https://www.bulkapothecary.com/raw-ingredients/bulk-natural-oils/sweet-almond-oil/</t>
  </si>
  <si>
    <t>7.5 pound</t>
  </si>
  <si>
    <t>$25.20</t>
  </si>
  <si>
    <t>$1.95</t>
  </si>
  <si>
    <t>$19.08</t>
  </si>
  <si>
    <t>$46.23</t>
  </si>
  <si>
    <t>3.4019427750000006 kilogram</t>
  </si>
  <si>
    <t>https://bulknaturaloils.com/bulk-almond-oil-sweet.html</t>
  </si>
  <si>
    <t>https://www.essentialdepot.com/product/ALMOND-SWEET-GALLON.html</t>
  </si>
  <si>
    <t>1.0 gallon</t>
  </si>
  <si>
    <t>$62.83</t>
  </si>
  <si>
    <t>$29.10</t>
  </si>
  <si>
    <t>$91.93</t>
  </si>
  <si>
    <t>0.0037854117839999993 meter ** 3</t>
  </si>
  <si>
    <t>https://mountainroseherbs.com/sweet-almond-oil</t>
  </si>
  <si>
    <t>64.0 ounce</t>
  </si>
  <si>
    <t>$47.00</t>
  </si>
  <si>
    <t>$4.27</t>
  </si>
  <si>
    <t>$7.99</t>
  </si>
  <si>
    <t>$59.26</t>
  </si>
  <si>
    <t>1.8143694800000003 kilogram</t>
  </si>
  <si>
    <t>https://www.wholesalesuppliesplus.com/products/sweet-almond-oil-refined.aspx</t>
  </si>
  <si>
    <t>%stdDev</t>
  </si>
  <si>
    <t>5 lbs</t>
  </si>
  <si>
    <t>address</t>
  </si>
  <si>
    <t>15 Calle Loyola</t>
  </si>
  <si>
    <t>city</t>
  </si>
  <si>
    <t>San Clemente</t>
  </si>
  <si>
    <t>state</t>
  </si>
  <si>
    <t>California</t>
  </si>
  <si>
    <t>country</t>
  </si>
  <si>
    <t>United States</t>
  </si>
  <si>
    <t>zipcode</t>
  </si>
  <si>
    <t>https://www.brambleberry.com/shop-by-product/ingredients/oils/olive-oil---pomace/V000536.html#q=olive%2Boil%2Bpomace&amp;lang=default&amp;start=1</t>
  </si>
  <si>
    <t>$29.99</t>
  </si>
  <si>
    <t>$41.92</t>
  </si>
  <si>
    <t>https://www.bulkapothecary.com/raw-ingredients/bulk-natural-oils/olive-oil-pomace/</t>
  </si>
  <si>
    <t>$20.50</t>
  </si>
  <si>
    <t>$1.59</t>
  </si>
  <si>
    <t>$41.17</t>
  </si>
  <si>
    <t>https://bulknaturaloils.com/bulk-olive-oil-pomace-1093.html</t>
  </si>
  <si>
    <t>3.5 kilogram</t>
  </si>
  <si>
    <t>$25.73</t>
  </si>
  <si>
    <t>$25.33</t>
  </si>
  <si>
    <t>$51.06</t>
  </si>
  <si>
    <t>https://www.chemistrystore.com/Natural_Oils-Pomace_B_Olive_Oil.html</t>
  </si>
  <si>
    <t>https://www.essentialdepot.com/product/OLOILP-1-GAL.html</t>
  </si>
  <si>
    <t>$48.99</t>
  </si>
  <si>
    <t>$30.33</t>
  </si>
  <si>
    <t>$79.32</t>
  </si>
  <si>
    <t>https://www.wholesalesuppliesplus.com/products/olive-oil-pomace.aspx</t>
  </si>
  <si>
    <t>$32.10</t>
  </si>
  <si>
    <t>$5.95</t>
  </si>
  <si>
    <t>$2.95</t>
  </si>
  <si>
    <t>$41.00</t>
  </si>
  <si>
    <t>https://www.brambleberry.com/shop-by-product/ingredients/oils/coconut-oil/V000522.html#q=coconut%2Boil&amp;lang=default&amp;start=1</t>
  </si>
  <si>
    <t>$19.99</t>
  </si>
  <si>
    <t>$31.92</t>
  </si>
  <si>
    <t>https://www.bulkapothecary.com/raw-ingredients/bulk-natural-oils/coconut-oil-76-degree/</t>
  </si>
  <si>
    <t>$23.35</t>
  </si>
  <si>
    <t>$1.81</t>
  </si>
  <si>
    <t>$44.24</t>
  </si>
  <si>
    <t>https://bulknaturaloils.com/coconut-oil-rbd.html</t>
  </si>
  <si>
    <t>https://www.myfortune3cart.com/chemstore13/Natural_Oils-Coconut_Oil_76_Degree.html</t>
  </si>
  <si>
    <t>https://www.essentialdepot.com/product/COCONUT-1-QUART.html</t>
  </si>
  <si>
    <t>1.0 quart</t>
  </si>
  <si>
    <t>$20.93</t>
  </si>
  <si>
    <t>$26.11</t>
  </si>
  <si>
    <t>$47.04</t>
  </si>
  <si>
    <t>0.0009463529459999998 meter ** 3</t>
  </si>
  <si>
    <t>https://mountainroseherbs.com/unrefined-coconut-oil</t>
  </si>
  <si>
    <t>16.0 ounce</t>
  </si>
  <si>
    <t>$10.50</t>
  </si>
  <si>
    <t>$0.62</t>
  </si>
  <si>
    <t>$19.11</t>
  </si>
  <si>
    <t>0.4535923700000001 kilogram</t>
  </si>
  <si>
    <t>https://www.wholesalesuppliesplus.com/products/coconut-oil-76-degree-melt.aspx</t>
  </si>
  <si>
    <t>8.0 pound</t>
  </si>
  <si>
    <t>$44.58</t>
  </si>
  <si>
    <t>$3.91</t>
  </si>
  <si>
    <t>$54.44</t>
  </si>
  <si>
    <t>3.6287389600000006 kilogram</t>
  </si>
  <si>
    <t>https://www.brambleberry.com/shop-by-product/ingredients/oils/unrefined-palm-kernel-oil/V001424.html#q=palm%2Bkernel%2Boil&amp;lang=default&amp;start=1</t>
  </si>
  <si>
    <t>4.4 pound</t>
  </si>
  <si>
    <t>$34.99</t>
  </si>
  <si>
    <t>$10.73</t>
  </si>
  <si>
    <t>$45.72</t>
  </si>
  <si>
    <t>1.9958064280000005 kilogram</t>
  </si>
  <si>
    <t>https://bulknaturaloils.com/palm-kernel-oil-organic-rspo-ip.html</t>
  </si>
  <si>
    <t>$32.90</t>
  </si>
  <si>
    <t>$58.23</t>
  </si>
  <si>
    <t>https://mountainroseherbs.com/palm-kernel-oil</t>
  </si>
  <si>
    <t>32.0 ounce</t>
  </si>
  <si>
    <t>$10.25</t>
  </si>
  <si>
    <t>$18.86</t>
  </si>
  <si>
    <t>0.9071847400000002 kilogram</t>
  </si>
  <si>
    <t>https://www.bulkapothecary.com/raw-ingredients/bulk-natural-oils/pumpkin-seed-oil/</t>
  </si>
  <si>
    <t>https://bulknaturaloils.com/pumpkin-seed-oil-refined.html</t>
  </si>
  <si>
    <t>https://mountainroseherbs.com/pumpkin-seed-oil</t>
  </si>
  <si>
    <t>$72.00</t>
  </si>
  <si>
    <t>$80.61</t>
  </si>
  <si>
    <t>https://www.wholesalesuppliesplus.com/products/pumpkin-seed-oil.aspx</t>
  </si>
  <si>
    <t>$149.93</t>
  </si>
  <si>
    <t>$12.08</t>
  </si>
  <si>
    <t>$167.96</t>
  </si>
  <si>
    <t>https://www.brambleberry.com/shop-by-product/ingredients/waxes/yellow-beeswax/V000826.html#q=yellow%2Bbeeswax&amp;lang=default&amp;start=1</t>
  </si>
  <si>
    <t>5.0 pound</t>
  </si>
  <si>
    <t>$50.99</t>
  </si>
  <si>
    <t>$11.55</t>
  </si>
  <si>
    <t>$62.54</t>
  </si>
  <si>
    <t>2.2679618500000003 kilogram</t>
  </si>
  <si>
    <t>https://www.bulkapothecary.com/product/raw-ingredients/waxes-and-butters/beeswax-white-and-yellow/</t>
  </si>
  <si>
    <t>https://bulknaturaloils.com/beeswax-yellow-granules.html</t>
  </si>
  <si>
    <t>https://www.chemistrystore.com/Cosmetic_Waxes-Natural_Yellow_Beeswax.html</t>
  </si>
  <si>
    <t>https://www.essentialdepot.com/product/BEESWAX-YELLOW-5LB.html</t>
  </si>
  <si>
    <t>$41.98</t>
  </si>
  <si>
    <t>$36.14</t>
  </si>
  <si>
    <t>$78.12</t>
  </si>
  <si>
    <t>https://mountainroseherbs.com/beeswax-pastilles</t>
  </si>
  <si>
    <t>$92.00</t>
  </si>
  <si>
    <t>$7.83</t>
  </si>
  <si>
    <t>$9.00</t>
  </si>
  <si>
    <t>$108.83</t>
  </si>
  <si>
    <t>https://www.wholesalesuppliesplus.com/products/beeswax-yellow-pastilles-nf.aspx</t>
  </si>
  <si>
    <t>https://www.brambleberry.com/shop-by-product/ingredients/waxes/candelilla-wax/V000827.html#q=candelilla%2Bwax&amp;lang=default&amp;start=1</t>
  </si>
  <si>
    <t>1.0 pound</t>
  </si>
  <si>
    <t>$8.50</t>
  </si>
  <si>
    <t>$28.49</t>
  </si>
  <si>
    <t>https://bulknaturaloils.com/candelilla-wax.html</t>
  </si>
  <si>
    <t>5.0 kilogram</t>
  </si>
  <si>
    <t>$99.50</t>
  </si>
  <si>
    <t>$29.27</t>
  </si>
  <si>
    <t>$128.77</t>
  </si>
  <si>
    <t>https://www.myfortune3cart.com/chemstore13/Cosmetic_Waxes-Candelilla_Wax.html</t>
  </si>
  <si>
    <t>4.0 pound</t>
  </si>
  <si>
    <t>$34.00</t>
  </si>
  <si>
    <t>$22.87</t>
  </si>
  <si>
    <t>$56.87</t>
  </si>
  <si>
    <t>https://www.wholesalesuppliesplus.com/products/candellila-wax.aspx</t>
  </si>
  <si>
    <t>$93.85</t>
  </si>
  <si>
    <t>$7.73</t>
  </si>
  <si>
    <t>$107.53</t>
  </si>
  <si>
    <t>https://www.brambleberry.com/shop-by-product/ingredients/butters/shea-butter/V000571.html#q=shea%2Bbutter&amp;lang=default&amp;start=1</t>
  </si>
  <si>
    <t>$16.49</t>
  </si>
  <si>
    <t>https://www.bulkapothecary.com/raw-ingredients/waxes-and-butters/pure-shea-butter-bulk/</t>
  </si>
  <si>
    <t>$25.60</t>
  </si>
  <si>
    <t>$1.99</t>
  </si>
  <si>
    <t>$46.67</t>
  </si>
  <si>
    <t>https://bulknaturaloils.com/shea-nut-butter-virgin.html</t>
  </si>
  <si>
    <t>https://www.chemistrystore.com/Butters_Natural_-Shea_Butter.html</t>
  </si>
  <si>
    <t>https://www.essentialdepot.com/product/SHEA-1GAL-PAIL.html</t>
  </si>
  <si>
    <t>$48.98</t>
  </si>
  <si>
    <t>$85.12</t>
  </si>
  <si>
    <t>https://mountainroseherbs.com/refined-shea-butter</t>
  </si>
  <si>
    <t>https://www.wholesalesuppliesplus.com/products/shea-butter-natural.aspx</t>
  </si>
  <si>
    <t>$31.73</t>
  </si>
  <si>
    <t>$2.92</t>
  </si>
  <si>
    <t>$40.60</t>
  </si>
  <si>
    <t>https://www.brambleberry.com/shop-by-product/ingredients/butters/mango-butter/V000578.html#q=mango%2Bbutter&amp;lang=default&amp;start=1</t>
  </si>
  <si>
    <t>$11.79</t>
  </si>
  <si>
    <t>$20.29</t>
  </si>
  <si>
    <t>https://www.bulkapothecary.com/raw-ingredients/waxes-and-butters/mango-butter/</t>
  </si>
  <si>
    <t>$52.88</t>
  </si>
  <si>
    <t>$4.09</t>
  </si>
  <si>
    <t>$19.85</t>
  </si>
  <si>
    <t>$76.82</t>
  </si>
  <si>
    <t>https://bulknaturaloils.com/mango-butter.html</t>
  </si>
  <si>
    <t>https://www.myfortune3cart.com/chemstore13/Butters_Natural_-Mango_Butter.html</t>
  </si>
  <si>
    <t>https://www.essentialdepot.com/product/MANGO-BUTTER-8OZ.html</t>
  </si>
  <si>
    <t>https://mountainroseherbs.com/mango-butter</t>
  </si>
  <si>
    <t>$3.26</t>
  </si>
  <si>
    <t>$45.25</t>
  </si>
  <si>
    <t>https://www.wholesalesuppliesplus.com/products/mango-butter-refined.aspx</t>
  </si>
  <si>
    <t>$51.45</t>
  </si>
  <si>
    <t>$4.45</t>
  </si>
  <si>
    <t>$61.85</t>
  </si>
  <si>
    <t>https://www.brambleberry.com/shop-by-product/ingredients/butters/cocoa-butter-pastilles/V000557.html</t>
  </si>
  <si>
    <t>8.8 pound</t>
  </si>
  <si>
    <t>$86.99</t>
  </si>
  <si>
    <t>$12.06</t>
  </si>
  <si>
    <t>$99.05</t>
  </si>
  <si>
    <t>3.991612856000001 kilogram</t>
  </si>
  <si>
    <t>https://www.bulkapothecary.com/raw-ingredients/waxes-and-butters/wholesale-cocoa-butter-bulk/</t>
  </si>
  <si>
    <t>https://bulknaturaloils.com/cocoa-butter-white.html</t>
  </si>
  <si>
    <t>https://www.myfortune3cart.com/chemstore13/Butters_Natural_-Deodorized_Cocoa_Butter.html</t>
  </si>
  <si>
    <t>$38.89</t>
  </si>
  <si>
    <t>$23.60</t>
  </si>
  <si>
    <t>$62.49</t>
  </si>
  <si>
    <t>https://www.essentialdepot.com/product/COCOA-BUTTER-5LB-CUBE.html</t>
  </si>
  <si>
    <t>$62.98</t>
  </si>
  <si>
    <t>$58.89</t>
  </si>
  <si>
    <t>$121.87</t>
  </si>
  <si>
    <t>https://mountainroseherbs.com/cocoa-butter-wafers</t>
  </si>
  <si>
    <t>$76.00</t>
  </si>
  <si>
    <t>$0.70</t>
  </si>
  <si>
    <t>$85.70</t>
  </si>
  <si>
    <t>https://www.wholesalesuppliesplus.com/products/cocoa-butter-refined-deodorized-ultra-white.aspx</t>
  </si>
  <si>
    <t>https://www.brambleberry.com/shop-by-product/ingredients/essential-oils/spearmint-essential-oil/V000059.html</t>
  </si>
  <si>
    <t>$275.99</t>
  </si>
  <si>
    <t>$287.54</t>
  </si>
  <si>
    <t>https://www.bulkapothecary.com/spearmint-essential-oil/</t>
  </si>
  <si>
    <t>$209.58</t>
  </si>
  <si>
    <t>$16.24</t>
  </si>
  <si>
    <t>$17.65</t>
  </si>
  <si>
    <t>$243.47</t>
  </si>
  <si>
    <t>https://bulknaturaloils.com/spearmint-oil.html</t>
  </si>
  <si>
    <t>https://www.chemistrystore.com/Essential_Oils-Spearmint_Redistilled_Essential_Oil.html</t>
  </si>
  <si>
    <t>https://www.essentialdepot.com/product/EOIL-SPEARMINT-1KG.html</t>
  </si>
  <si>
    <t>1.0 kilogram</t>
  </si>
  <si>
    <t>$143.58</t>
  </si>
  <si>
    <t>$179.72</t>
  </si>
  <si>
    <t>https://mountainroseherbs.com/spearmint-essential-oil</t>
  </si>
  <si>
    <t>$144.50</t>
  </si>
  <si>
    <t>$11.82</t>
  </si>
  <si>
    <t>$164.31</t>
  </si>
  <si>
    <t>https://www.wholesalesuppliesplus.com/products/spearmint-certified-pure-essential-oil.aspx</t>
  </si>
  <si>
    <t>https://www.brambleberry.com/shop-by-product/ingredients/essential-oils/ginger-essential-oil/V000068.html#q=ginger%2Bessential%2Boil&amp;lang=default&amp;start=1</t>
  </si>
  <si>
    <t>$1,545.99</t>
  </si>
  <si>
    <t>$1,557.54</t>
  </si>
  <si>
    <t>https://www.bulkapothecary.com/ginger-root-essential-oil/</t>
  </si>
  <si>
    <t>$748.00</t>
  </si>
  <si>
    <t>$57.97</t>
  </si>
  <si>
    <t>$823.62</t>
  </si>
  <si>
    <t>https://bulknaturaloils.com/ginger-oil.html</t>
  </si>
  <si>
    <t>https://mountainroseherbs.com/ginger-essential-oil</t>
  </si>
  <si>
    <t>$249.25</t>
  </si>
  <si>
    <t>$19.94</t>
  </si>
  <si>
    <t>$277.18</t>
  </si>
  <si>
    <t>https://www.wholesalesuppliesplus.com/products/ginger-eo-certified-pure-essential-oil.aspx</t>
  </si>
  <si>
    <t>15.0 kilogram</t>
  </si>
  <si>
    <t>$2,115.71</t>
  </si>
  <si>
    <t>$164.43</t>
  </si>
  <si>
    <t>$2,286.09</t>
  </si>
  <si>
    <t>https://www.brambleberry.com/shop-by-product/ingredients/essential-oils/rosemary-essential-oil/V000055.html#q=rosemary%2Bessential%2Boil&amp;lang=default&amp;start=1</t>
  </si>
  <si>
    <t>$219.99</t>
  </si>
  <si>
    <t>$231.54</t>
  </si>
  <si>
    <t>https://www.bulkapothecary.com/rosemary-essential-oil/</t>
  </si>
  <si>
    <t>$160.83</t>
  </si>
  <si>
    <t>$12.46</t>
  </si>
  <si>
    <t>$190.94</t>
  </si>
  <si>
    <t>https://bulknaturaloils.com/rosemary-oil.html</t>
  </si>
  <si>
    <t>https://www.chemistrystore.com/Essential_Oils-Rosemary_Spanish_Essential_Oil.html</t>
  </si>
  <si>
    <t>https://www.essentialdepot.com/product/EOIL-ROSEMARY-1KG.html</t>
  </si>
  <si>
    <t>$215.94</t>
  </si>
  <si>
    <t>$252.08</t>
  </si>
  <si>
    <t>https://mountainroseherbs.com/rosemary-essential-oil</t>
  </si>
  <si>
    <t>$150.50</t>
  </si>
  <si>
    <t>$12.29</t>
  </si>
  <si>
    <t>$170.78</t>
  </si>
  <si>
    <t>https://www.wholesalesuppliesplus.com/products/rosemary-certified-pure-lip-safe-essential-oil.aspx</t>
  </si>
  <si>
    <t>https://www.brambleberry.com/shop-by-product/ingredients/essential-oils/grapefruit-essential-oil/V000063.html#q=grapefruit%2Bessential%2Boil&amp;lang=default&amp;start=1</t>
  </si>
  <si>
    <t>$320.99</t>
  </si>
  <si>
    <t>$332.54</t>
  </si>
  <si>
    <t>https://www.bulkapothecary.com/grapefruit-essential-oils/</t>
  </si>
  <si>
    <t>$262.08</t>
  </si>
  <si>
    <t>$20.31</t>
  </si>
  <si>
    <t>$300.04</t>
  </si>
  <si>
    <t>https://bulknaturaloils.com/grapefruit-seed-oil.html</t>
  </si>
  <si>
    <t>https://www.essentialdepot.com/product/EOIL-GRAPEFRUIT-1KG.html</t>
  </si>
  <si>
    <t>$282.91</t>
  </si>
  <si>
    <t>$319.05</t>
  </si>
  <si>
    <t>https://mountainroseherbs.com/grapefruit-essential-oil</t>
  </si>
  <si>
    <t>$284.00</t>
  </si>
  <si>
    <t>$22.63</t>
  </si>
  <si>
    <t>$314.62</t>
  </si>
  <si>
    <t>https://www.wholesalesuppliesplus.com/products/grapefruit-pink-certified-pure-essential-oil.aspx</t>
  </si>
  <si>
    <t>https://www.brambleberry.com/shop-by-product/ingredients/essential-oils/chamomile%2C-roman-essential-oil/V000057.html#q=chamomile%2Bessential%2Boil&amp;lang=default&amp;start=1</t>
  </si>
  <si>
    <t>https://www.bulkapothecary.com/chamomile-german-nepal-essential-oil/</t>
  </si>
  <si>
    <t>$5,264.58</t>
  </si>
  <si>
    <t>$408.00</t>
  </si>
  <si>
    <t>$5,690.23</t>
  </si>
  <si>
    <t>https://bulknaturaloils.com/chamomile-oil-roman-organic.html</t>
  </si>
  <si>
    <t>https://www.essentialdepot.com/product/EDILU-4OZ-CHAMROMAN-5DIL.html</t>
  </si>
  <si>
    <t>4.0 ounce</t>
  </si>
  <si>
    <t>$69.92</t>
  </si>
  <si>
    <t>$96.03</t>
  </si>
  <si>
    <t>0.11339809250000002 kilogram</t>
  </si>
  <si>
    <t>https://mountainroseherbs.com/roman-chamomile-essential-oil</t>
  </si>
  <si>
    <t>$629.00</t>
  </si>
  <si>
    <t>$49.37</t>
  </si>
  <si>
    <t>$686.36</t>
  </si>
  <si>
    <t>https://www.wholesalesuppliesplus.com/products/chamomile-eo-fo-blend.aspx</t>
  </si>
  <si>
    <t>25.0 pound</t>
  </si>
  <si>
    <t>$647.79</t>
  </si>
  <si>
    <t>$50.67</t>
  </si>
  <si>
    <t>$704.41</t>
  </si>
  <si>
    <t>11.339809250000002 kilogram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</si>
</sst>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>
      <u/>
      <color rgb="FF1155CC"/>
      <name val="Arial"/>
    </font>
    <font>
      <sz val="11.0"/>
      <color rgb="FF000000"/>
      <name val="Inconsolata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2" fontId="2" numFmtId="0" xfId="0" applyFill="1" applyFont="1"/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2" fontId="4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quotePrefix="1" borderId="0" fillId="0" fontId="1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waxes/yellow-beeswax/V000826.html" TargetMode="External"/><Relationship Id="rId2" Type="http://schemas.openxmlformats.org/officeDocument/2006/relationships/hyperlink" Target="https://www.bulkapothecary.com/product/raw-ingredients/waxes-and-butters/beeswax-white-and-yellow/" TargetMode="External"/><Relationship Id="rId3" Type="http://schemas.openxmlformats.org/officeDocument/2006/relationships/hyperlink" Target="https://bulknaturaloils.com/beeswax-yellow-granules.html" TargetMode="External"/><Relationship Id="rId4" Type="http://schemas.openxmlformats.org/officeDocument/2006/relationships/hyperlink" Target="https://www.chemistrystore.com/Cosmetic_Waxes-Natural_Yellow_Beeswax.html" TargetMode="External"/><Relationship Id="rId5" Type="http://schemas.openxmlformats.org/officeDocument/2006/relationships/hyperlink" Target="https://www.essentialdepot.com/product/BEESWAX-YELLOW-5LB.html" TargetMode="External"/><Relationship Id="rId6" Type="http://schemas.openxmlformats.org/officeDocument/2006/relationships/hyperlink" Target="https://mountainroseherbs.com/beeswax-pastilles" TargetMode="External"/><Relationship Id="rId7" Type="http://schemas.openxmlformats.org/officeDocument/2006/relationships/hyperlink" Target="https://www.wholesalesuppliesplus.com/products/beeswax-yellow-pastilles-nf.aspx" TargetMode="External"/><Relationship Id="rId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waxes/candelilla-wax/V000827.html" TargetMode="External"/><Relationship Id="rId2" Type="http://schemas.openxmlformats.org/officeDocument/2006/relationships/hyperlink" Target="https://bulknaturaloils.com/candelilla-wax.html" TargetMode="External"/><Relationship Id="rId3" Type="http://schemas.openxmlformats.org/officeDocument/2006/relationships/hyperlink" Target="https://www.myfortune3cart.com/chemstore13/Cosmetic_Waxes-Candelilla_Wax.html" TargetMode="External"/><Relationship Id="rId4" Type="http://schemas.openxmlformats.org/officeDocument/2006/relationships/hyperlink" Target="https://www.wholesalesuppliesplus.com/products/candellila-wax.aspx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butters/shea-butter/V000571.html" TargetMode="External"/><Relationship Id="rId2" Type="http://schemas.openxmlformats.org/officeDocument/2006/relationships/hyperlink" Target="https://www.bulkapothecary.com/raw-ingredients/waxes-and-butters/pure-shea-butter-bulk/" TargetMode="External"/><Relationship Id="rId3" Type="http://schemas.openxmlformats.org/officeDocument/2006/relationships/hyperlink" Target="https://bulknaturaloils.com/shea-nut-butter-virgin.html" TargetMode="External"/><Relationship Id="rId4" Type="http://schemas.openxmlformats.org/officeDocument/2006/relationships/hyperlink" Target="https://www.chemistrystore.com/Butters_Natural_-Shea_Butter.html" TargetMode="External"/><Relationship Id="rId5" Type="http://schemas.openxmlformats.org/officeDocument/2006/relationships/hyperlink" Target="https://www.essentialdepot.com/product/SHEA-1GAL-PAIL.html" TargetMode="External"/><Relationship Id="rId6" Type="http://schemas.openxmlformats.org/officeDocument/2006/relationships/hyperlink" Target="https://mountainroseherbs.com/refined-shea-butter" TargetMode="External"/><Relationship Id="rId7" Type="http://schemas.openxmlformats.org/officeDocument/2006/relationships/hyperlink" Target="https://www.wholesalesuppliesplus.com/products/shea-butter-natural.aspx" TargetMode="External"/><Relationship Id="rId8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butters/mango-butter/V000578.html" TargetMode="External"/><Relationship Id="rId2" Type="http://schemas.openxmlformats.org/officeDocument/2006/relationships/hyperlink" Target="https://www.bulkapothecary.com/raw-ingredients/waxes-and-butters/mango-butter/" TargetMode="External"/><Relationship Id="rId3" Type="http://schemas.openxmlformats.org/officeDocument/2006/relationships/hyperlink" Target="https://bulknaturaloils.com/mango-butter.html" TargetMode="External"/><Relationship Id="rId4" Type="http://schemas.openxmlformats.org/officeDocument/2006/relationships/hyperlink" Target="https://www.myfortune3cart.com/chemstore13/Butters_Natural_-Mango_Butter.html" TargetMode="External"/><Relationship Id="rId5" Type="http://schemas.openxmlformats.org/officeDocument/2006/relationships/hyperlink" Target="https://www.essentialdepot.com/product/MANGO-BUTTER-8OZ.html" TargetMode="External"/><Relationship Id="rId6" Type="http://schemas.openxmlformats.org/officeDocument/2006/relationships/hyperlink" Target="https://mountainroseherbs.com/mango-butter" TargetMode="External"/><Relationship Id="rId7" Type="http://schemas.openxmlformats.org/officeDocument/2006/relationships/hyperlink" Target="https://www.wholesalesuppliesplus.com/products/mango-butter-refined.aspx" TargetMode="External"/><Relationship Id="rId8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butters/cocoa-butter-pastilles/V000557.html" TargetMode="External"/><Relationship Id="rId2" Type="http://schemas.openxmlformats.org/officeDocument/2006/relationships/hyperlink" Target="https://www.bulkapothecary.com/raw-ingredients/waxes-and-butters/wholesale-cocoa-butter-bulk/" TargetMode="External"/><Relationship Id="rId3" Type="http://schemas.openxmlformats.org/officeDocument/2006/relationships/hyperlink" Target="https://bulknaturaloils.com/cocoa-butter-white.html" TargetMode="External"/><Relationship Id="rId4" Type="http://schemas.openxmlformats.org/officeDocument/2006/relationships/hyperlink" Target="https://www.myfortune3cart.com/chemstore13/Butters_Natural_-Deodorized_Cocoa_Butter.html" TargetMode="External"/><Relationship Id="rId5" Type="http://schemas.openxmlformats.org/officeDocument/2006/relationships/hyperlink" Target="https://www.essentialdepot.com/product/COCOA-BUTTER-5LB-CUBE.html" TargetMode="External"/><Relationship Id="rId6" Type="http://schemas.openxmlformats.org/officeDocument/2006/relationships/hyperlink" Target="https://mountainroseherbs.com/cocoa-butter-wafers" TargetMode="External"/><Relationship Id="rId7" Type="http://schemas.openxmlformats.org/officeDocument/2006/relationships/hyperlink" Target="https://www.wholesalesuppliesplus.com/products/cocoa-butter-refined-deodorized-ultra-white.aspx" TargetMode="External"/><Relationship Id="rId8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essential-oils/spearmint-essential-oil/V000059.html" TargetMode="External"/><Relationship Id="rId2" Type="http://schemas.openxmlformats.org/officeDocument/2006/relationships/hyperlink" Target="https://www.bulkapothecary.com/spearmint-essential-oil/" TargetMode="External"/><Relationship Id="rId3" Type="http://schemas.openxmlformats.org/officeDocument/2006/relationships/hyperlink" Target="https://bulknaturaloils.com/spearmint-oil.html" TargetMode="External"/><Relationship Id="rId4" Type="http://schemas.openxmlformats.org/officeDocument/2006/relationships/hyperlink" Target="https://www.chemistrystore.com/Essential_Oils-Spearmint_Redistilled_Essential_Oil.html" TargetMode="External"/><Relationship Id="rId5" Type="http://schemas.openxmlformats.org/officeDocument/2006/relationships/hyperlink" Target="https://www.essentialdepot.com/product/EOIL-SPEARMINT-1KG.html" TargetMode="External"/><Relationship Id="rId6" Type="http://schemas.openxmlformats.org/officeDocument/2006/relationships/hyperlink" Target="https://mountainroseherbs.com/spearmint-essential-oil" TargetMode="External"/><Relationship Id="rId7" Type="http://schemas.openxmlformats.org/officeDocument/2006/relationships/hyperlink" Target="https://www.wholesalesuppliesplus.com/products/spearmint-certified-pure-essential-oil.aspx" TargetMode="External"/><Relationship Id="rId8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essential-oils/ginger-essential-oil/V000068.html" TargetMode="External"/><Relationship Id="rId2" Type="http://schemas.openxmlformats.org/officeDocument/2006/relationships/hyperlink" Target="https://www.bulkapothecary.com/ginger-root-essential-oil/" TargetMode="External"/><Relationship Id="rId3" Type="http://schemas.openxmlformats.org/officeDocument/2006/relationships/hyperlink" Target="https://bulknaturaloils.com/ginger-oil.html" TargetMode="External"/><Relationship Id="rId4" Type="http://schemas.openxmlformats.org/officeDocument/2006/relationships/hyperlink" Target="https://mountainroseherbs.com/ginger-essential-oil" TargetMode="External"/><Relationship Id="rId5" Type="http://schemas.openxmlformats.org/officeDocument/2006/relationships/hyperlink" Target="https://www.wholesalesuppliesplus.com/products/ginger-eo-certified-pure-essential-oil.aspx" TargetMode="External"/><Relationship Id="rId6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essential-oils/rosemary-essential-oil/V000055.html" TargetMode="External"/><Relationship Id="rId2" Type="http://schemas.openxmlformats.org/officeDocument/2006/relationships/hyperlink" Target="https://www.bulkapothecary.com/rosemary-essential-oil/" TargetMode="External"/><Relationship Id="rId3" Type="http://schemas.openxmlformats.org/officeDocument/2006/relationships/hyperlink" Target="https://bulknaturaloils.com/rosemary-oil.html" TargetMode="External"/><Relationship Id="rId4" Type="http://schemas.openxmlformats.org/officeDocument/2006/relationships/hyperlink" Target="https://www.chemistrystore.com/Essential_Oils-Rosemary_Spanish_Essential_Oil.html" TargetMode="External"/><Relationship Id="rId5" Type="http://schemas.openxmlformats.org/officeDocument/2006/relationships/hyperlink" Target="https://www.essentialdepot.com/product/EOIL-ROSEMARY-1KG.html" TargetMode="External"/><Relationship Id="rId6" Type="http://schemas.openxmlformats.org/officeDocument/2006/relationships/hyperlink" Target="https://mountainroseherbs.com/rosemary-essential-oil" TargetMode="External"/><Relationship Id="rId7" Type="http://schemas.openxmlformats.org/officeDocument/2006/relationships/hyperlink" Target="https://www.wholesalesuppliesplus.com/products/rosemary-certified-pure-lip-safe-essential-oil.aspx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essential-oils/grapefruit-essential-oil/V000063.html" TargetMode="External"/><Relationship Id="rId2" Type="http://schemas.openxmlformats.org/officeDocument/2006/relationships/hyperlink" Target="https://www.bulkapothecary.com/grapefruit-essential-oils/" TargetMode="External"/><Relationship Id="rId3" Type="http://schemas.openxmlformats.org/officeDocument/2006/relationships/hyperlink" Target="https://bulknaturaloils.com/grapefruit-seed-oil.html" TargetMode="External"/><Relationship Id="rId4" Type="http://schemas.openxmlformats.org/officeDocument/2006/relationships/hyperlink" Target="https://www.essentialdepot.com/product/EOIL-GRAPEFRUIT-1KG.html" TargetMode="External"/><Relationship Id="rId5" Type="http://schemas.openxmlformats.org/officeDocument/2006/relationships/hyperlink" Target="https://mountainroseherbs.com/grapefruit-essential-oil" TargetMode="External"/><Relationship Id="rId6" Type="http://schemas.openxmlformats.org/officeDocument/2006/relationships/hyperlink" Target="https://www.wholesalesuppliesplus.com/products/grapefruit-pink-certified-pure-essential-oil.aspx" TargetMode="External"/><Relationship Id="rId7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essential-oils/chamomile%2C-roman-essential-oil/V000057.html" TargetMode="External"/><Relationship Id="rId2" Type="http://schemas.openxmlformats.org/officeDocument/2006/relationships/hyperlink" Target="https://www.bulkapothecary.com/chamomile-german-nepal-essential-oil/" TargetMode="External"/><Relationship Id="rId3" Type="http://schemas.openxmlformats.org/officeDocument/2006/relationships/hyperlink" Target="https://bulknaturaloils.com/chamomile-oil-roman-organic.html" TargetMode="External"/><Relationship Id="rId4" Type="http://schemas.openxmlformats.org/officeDocument/2006/relationships/hyperlink" Target="https://www.essentialdepot.com/product/EDILU-4OZ-CHAMROMAN-5DIL.html" TargetMode="External"/><Relationship Id="rId5" Type="http://schemas.openxmlformats.org/officeDocument/2006/relationships/hyperlink" Target="https://mountainroseherbs.com/roman-chamomile-essential-oil" TargetMode="External"/><Relationship Id="rId6" Type="http://schemas.openxmlformats.org/officeDocument/2006/relationships/hyperlink" Target="https://www.wholesalesuppliesplus.com/products/chamomile-eo-fo-blend.aspx" TargetMode="External"/><Relationship Id="rId7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oils/sweet-almond-oil/V000532.html" TargetMode="External"/><Relationship Id="rId2" Type="http://schemas.openxmlformats.org/officeDocument/2006/relationships/hyperlink" Target="https://www.bulkapothecary.com/raw-ingredients/bulk-natural-oils/sweet-almond-oil/" TargetMode="External"/><Relationship Id="rId3" Type="http://schemas.openxmlformats.org/officeDocument/2006/relationships/hyperlink" Target="https://bulknaturaloils.com/bulk-almond-oil-sweet.html" TargetMode="External"/><Relationship Id="rId4" Type="http://schemas.openxmlformats.org/officeDocument/2006/relationships/hyperlink" Target="https://www.essentialdepot.com/product/ALMOND-SWEET-GALLON.html" TargetMode="External"/><Relationship Id="rId5" Type="http://schemas.openxmlformats.org/officeDocument/2006/relationships/hyperlink" Target="https://mountainroseherbs.com/sweet-almond-oil" TargetMode="External"/><Relationship Id="rId6" Type="http://schemas.openxmlformats.org/officeDocument/2006/relationships/hyperlink" Target="https://www.wholesalesuppliesplus.com/products/sweet-almond-oil-refined.aspx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oils/olive-oil---pomace/V000536.html" TargetMode="External"/><Relationship Id="rId2" Type="http://schemas.openxmlformats.org/officeDocument/2006/relationships/hyperlink" Target="https://www.bulkapothecary.com/raw-ingredients/bulk-natural-oils/olive-oil-pomace/" TargetMode="External"/><Relationship Id="rId3" Type="http://schemas.openxmlformats.org/officeDocument/2006/relationships/hyperlink" Target="https://bulknaturaloils.com/bulk-olive-oil-pomace-1093.html" TargetMode="External"/><Relationship Id="rId4" Type="http://schemas.openxmlformats.org/officeDocument/2006/relationships/hyperlink" Target="https://www.chemistrystore.com/Natural_Oils-Pomace_B_Olive_Oil.html" TargetMode="External"/><Relationship Id="rId5" Type="http://schemas.openxmlformats.org/officeDocument/2006/relationships/hyperlink" Target="https://www.essentialdepot.com/product/OLOILP-1-GAL.html" TargetMode="External"/><Relationship Id="rId6" Type="http://schemas.openxmlformats.org/officeDocument/2006/relationships/hyperlink" Target="https://www.wholesalesuppliesplus.com/products/olive-oil-pomace.aspx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oils/coconut-oil/V000522.html" TargetMode="External"/><Relationship Id="rId2" Type="http://schemas.openxmlformats.org/officeDocument/2006/relationships/hyperlink" Target="https://www.bulkapothecary.com/raw-ingredients/bulk-natural-oils/coconut-oil-76-degree/" TargetMode="External"/><Relationship Id="rId3" Type="http://schemas.openxmlformats.org/officeDocument/2006/relationships/hyperlink" Target="https://bulknaturaloils.com/coconut-oil-rbd.html" TargetMode="External"/><Relationship Id="rId4" Type="http://schemas.openxmlformats.org/officeDocument/2006/relationships/hyperlink" Target="https://www.myfortune3cart.com/chemstore13/Natural_Oils-Coconut_Oil_76_Degree.html" TargetMode="External"/><Relationship Id="rId5" Type="http://schemas.openxmlformats.org/officeDocument/2006/relationships/hyperlink" Target="https://www.essentialdepot.com/product/COCONUT-1-QUART.html" TargetMode="External"/><Relationship Id="rId6" Type="http://schemas.openxmlformats.org/officeDocument/2006/relationships/hyperlink" Target="https://mountainroseherbs.com/unrefined-coconut-oil" TargetMode="External"/><Relationship Id="rId7" Type="http://schemas.openxmlformats.org/officeDocument/2006/relationships/hyperlink" Target="https://www.wholesalesuppliesplus.com/products/coconut-oil-76-degree-melt.aspx" TargetMode="External"/><Relationship Id="rId8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mbleberry.com/shop-by-product/ingredients/oils/unrefined-palm-kernel-oil/V001424.html" TargetMode="External"/><Relationship Id="rId2" Type="http://schemas.openxmlformats.org/officeDocument/2006/relationships/hyperlink" Target="https://bulknaturaloils.com/palm-kernel-oil-organic-rspo-ip.html" TargetMode="External"/><Relationship Id="rId3" Type="http://schemas.openxmlformats.org/officeDocument/2006/relationships/hyperlink" Target="https://mountainroseherbs.com/palm-kernel-oi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lkapothecary.com/raw-ingredients/bulk-natural-oils/pumpkin-seed-oil/" TargetMode="External"/><Relationship Id="rId2" Type="http://schemas.openxmlformats.org/officeDocument/2006/relationships/hyperlink" Target="https://bulknaturaloils.com/pumpkin-seed-oil-refined.html" TargetMode="External"/><Relationship Id="rId3" Type="http://schemas.openxmlformats.org/officeDocument/2006/relationships/hyperlink" Target="https://mountainroseherbs.com/pumpkin-seed-oil" TargetMode="External"/><Relationship Id="rId4" Type="http://schemas.openxmlformats.org/officeDocument/2006/relationships/hyperlink" Target="https://www.wholesalesuppliesplus.com/products/pumpkin-seed-oil.aspx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2">
        <v>20.657628912811862</v>
      </c>
      <c r="C2" s="2">
        <v>13.38992164618978</v>
      </c>
      <c r="D2" s="2">
        <v>21.065824773977862</v>
      </c>
      <c r="E2" s="1">
        <v>20.11158914</v>
      </c>
      <c r="F2" s="1">
        <v>50.20766203</v>
      </c>
      <c r="G2" s="1">
        <v>36.6687532</v>
      </c>
      <c r="H2" s="1">
        <v>43.41823016</v>
      </c>
      <c r="I2" s="1">
        <v>23.78425367</v>
      </c>
      <c r="J2" s="1">
        <v>49.9025313</v>
      </c>
      <c r="K2" s="1">
        <v>35.97265195</v>
      </c>
      <c r="L2" s="1">
        <v>194.0242187</v>
      </c>
      <c r="M2" s="1">
        <v>453.3487847</v>
      </c>
      <c r="N2" s="1">
        <v>203.7168111</v>
      </c>
      <c r="O2" s="1">
        <v>322.8971012</v>
      </c>
      <c r="P2" s="1">
        <v>2368.1245</v>
      </c>
    </row>
    <row r="3">
      <c r="A3" s="1" t="s">
        <v>17</v>
      </c>
      <c r="B3" s="2">
        <v>10.450197612907138</v>
      </c>
      <c r="C3" s="2">
        <v>1.0339953218893647</v>
      </c>
      <c r="D3" s="2">
        <v>14.426710215906237</v>
      </c>
      <c r="E3" s="1">
        <v>3.189950122</v>
      </c>
      <c r="F3" s="1">
        <v>8.172746739</v>
      </c>
      <c r="G3" s="1">
        <v>10.38531645</v>
      </c>
      <c r="H3" s="1">
        <v>17.70961497</v>
      </c>
      <c r="I3" s="1">
        <v>11.24043052</v>
      </c>
      <c r="J3" s="1">
        <v>34.31952041</v>
      </c>
      <c r="K3" s="1">
        <v>13.09196173</v>
      </c>
      <c r="L3" s="1">
        <v>116.2398288</v>
      </c>
      <c r="M3" s="1">
        <v>243.6250972</v>
      </c>
      <c r="N3" s="1">
        <v>137.6096054</v>
      </c>
      <c r="O3" s="1">
        <v>261.3108373</v>
      </c>
      <c r="P3" s="1">
        <v>2659.495955</v>
      </c>
    </row>
    <row r="4">
      <c r="A4" s="3" t="s">
        <v>18</v>
      </c>
      <c r="B4" s="4">
        <v>0.5058759481552079</v>
      </c>
      <c r="C4" s="4">
        <v>0.07722190982227273</v>
      </c>
      <c r="D4" s="4">
        <v>0.6848395622148735</v>
      </c>
      <c r="E4" s="3">
        <v>0.1586125343</v>
      </c>
      <c r="F4" s="3">
        <v>0.162778875</v>
      </c>
      <c r="G4" s="3">
        <v>0.2832197865</v>
      </c>
      <c r="H4" s="3">
        <v>0.4079</v>
      </c>
      <c r="I4" s="3">
        <v>0.4726</v>
      </c>
      <c r="J4" s="3">
        <v>0.6877</v>
      </c>
      <c r="K4" s="3">
        <v>0.3639</v>
      </c>
      <c r="L4" s="3">
        <v>0.5991</v>
      </c>
      <c r="M4" s="3">
        <v>0.5374</v>
      </c>
      <c r="N4" s="3">
        <v>0.6755</v>
      </c>
      <c r="O4" s="3">
        <v>0.8093</v>
      </c>
      <c r="P4" s="3">
        <v>1.123</v>
      </c>
      <c r="Q4" s="4"/>
      <c r="R4" s="4"/>
      <c r="S4" s="4"/>
      <c r="T4" s="4"/>
      <c r="U4" s="4"/>
      <c r="V4" s="4"/>
      <c r="W4" s="4"/>
      <c r="X4" s="4"/>
      <c r="Y4" s="4"/>
      <c r="Z4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144</v>
      </c>
      <c r="C2" s="1" t="s">
        <v>145</v>
      </c>
      <c r="D2" s="8" t="s">
        <v>146</v>
      </c>
      <c r="E2" s="8" t="s">
        <v>35</v>
      </c>
      <c r="F2" s="8" t="s">
        <v>35</v>
      </c>
      <c r="G2" s="8" t="s">
        <v>147</v>
      </c>
      <c r="H2" s="8" t="s">
        <v>148</v>
      </c>
      <c r="I2" s="1" t="s">
        <v>149</v>
      </c>
      <c r="J2" s="9">
        <f>IFERROR(__xludf.DUMMYFUNCTION("D2/REGEXEXTRACT(I2,""-?\d+(?:\.\d+)?"")"),22.48274149761382)</f>
        <v>22.4827415</v>
      </c>
      <c r="K2" s="10">
        <f>IFERROR(__xludf.DUMMYFUNCTION("H2/REGEXEXTRACT(I2,""-?\d+(?:\.\d+)?"")"),27.57541975408449)</f>
        <v>27.57541975</v>
      </c>
    </row>
    <row r="3">
      <c r="B3" s="7" t="s">
        <v>150</v>
      </c>
      <c r="J3" s="9" t="str">
        <f>IFERROR(__xludf.DUMMYFUNCTION("D3/REGEXEXTRACT(I3,""-?\d+(?:\.\d+)?"")"),"#N/A")</f>
        <v>#N/A</v>
      </c>
      <c r="K3" s="10"/>
    </row>
    <row r="4">
      <c r="B4" s="7" t="s">
        <v>151</v>
      </c>
      <c r="J4" s="9" t="str">
        <f>IFERROR(__xludf.DUMMYFUNCTION("D4/REGEXEXTRACT(I4,""-?\d+(?:\.\d+)?"")"),"#N/A")</f>
        <v>#N/A</v>
      </c>
      <c r="K4" s="10"/>
    </row>
    <row r="5">
      <c r="B5" s="7" t="s">
        <v>152</v>
      </c>
      <c r="J5" s="9" t="str">
        <f>IFERROR(__xludf.DUMMYFUNCTION("D5/REGEXEXTRACT(I5,""-?\d+(?:\.\d+)?"")"),"#N/A")</f>
        <v>#N/A</v>
      </c>
      <c r="K5" s="10"/>
    </row>
    <row r="6">
      <c r="B6" s="7" t="s">
        <v>153</v>
      </c>
      <c r="C6" s="1" t="s">
        <v>145</v>
      </c>
      <c r="D6" s="8" t="s">
        <v>154</v>
      </c>
      <c r="E6" s="8" t="s">
        <v>35</v>
      </c>
      <c r="F6" s="8" t="s">
        <v>35</v>
      </c>
      <c r="G6" s="8" t="s">
        <v>155</v>
      </c>
      <c r="H6" s="8" t="s">
        <v>156</v>
      </c>
      <c r="I6" s="1" t="s">
        <v>149</v>
      </c>
      <c r="J6" s="9">
        <f>IFERROR(__xludf.DUMMYFUNCTION("D6/REGEXEXTRACT(I6,""-?\d+(?:\.\d+)?"")"),18.51001153304232)</f>
        <v>18.51001153</v>
      </c>
      <c r="K6" s="10">
        <f>IFERROR(__xludf.DUMMYFUNCTION("H6/REGEXEXTRACT(I6,""-?\d+(?:\.\d+)?"")"),34.44502384376528)</f>
        <v>34.44502384</v>
      </c>
    </row>
    <row r="7">
      <c r="B7" s="7" t="s">
        <v>157</v>
      </c>
      <c r="C7" s="1" t="s">
        <v>145</v>
      </c>
      <c r="D7" s="8" t="s">
        <v>158</v>
      </c>
      <c r="E7" s="8" t="s">
        <v>35</v>
      </c>
      <c r="F7" s="8" t="s">
        <v>159</v>
      </c>
      <c r="G7" s="8" t="s">
        <v>160</v>
      </c>
      <c r="H7" s="8" t="s">
        <v>161</v>
      </c>
      <c r="I7" s="1" t="s">
        <v>149</v>
      </c>
      <c r="J7" s="9">
        <f>IFERROR(__xludf.DUMMYFUNCTION("D7/REGEXEXTRACT(I7,""-?\d+(?:\.\d+)?"")"),40.56505624201748)</f>
        <v>40.56505624</v>
      </c>
      <c r="K7" s="10">
        <f>IFERROR(__xludf.DUMMYFUNCTION("H7/REGEXEXTRACT(I7,""-?\d+(?:\.\d+)?"")"),47.98581598716046)</f>
        <v>47.98581599</v>
      </c>
    </row>
    <row r="8">
      <c r="B8" s="7" t="s">
        <v>162</v>
      </c>
      <c r="J8" s="9" t="str">
        <f>IFERROR(__xludf.DUMMYFUNCTION("D8/REGEXEXTRACT(I8,""-?\d+(?:\.\d+)?"")"),"#N/A")</f>
        <v>#N/A</v>
      </c>
      <c r="K8" s="10"/>
    </row>
    <row r="9">
      <c r="J9" s="2" t="s">
        <v>16</v>
      </c>
      <c r="K9" s="2">
        <f>AVERAGE(K1:K8)</f>
        <v>36.6687532</v>
      </c>
    </row>
    <row r="10">
      <c r="J10" s="2" t="s">
        <v>17</v>
      </c>
      <c r="K10" s="2">
        <f>_xlfn.STDEV.S(K2:K8)</f>
        <v>10.38531645</v>
      </c>
    </row>
    <row r="11">
      <c r="J11" s="2" t="s">
        <v>61</v>
      </c>
      <c r="K11" s="2">
        <f>K10/K9</f>
        <v>0.2832197865</v>
      </c>
    </row>
  </sheetData>
  <hyperlinks>
    <hyperlink r:id="rId1" location="q=yellow%2Bbeeswax&amp;lang=default&amp;start=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163</v>
      </c>
      <c r="C2" s="1" t="s">
        <v>164</v>
      </c>
      <c r="D2" s="8" t="s">
        <v>95</v>
      </c>
      <c r="E2" s="8" t="s">
        <v>35</v>
      </c>
      <c r="F2" s="8" t="s">
        <v>35</v>
      </c>
      <c r="G2" s="8" t="s">
        <v>165</v>
      </c>
      <c r="H2" s="8" t="s">
        <v>166</v>
      </c>
      <c r="I2" s="1" t="s">
        <v>114</v>
      </c>
      <c r="J2" s="9">
        <f>IFERROR(__xludf.DUMMYFUNCTION("D2/REGEXEXTRACT(I2,""-?\d+(?:\.\d+)?"")"),44.07040621075702)</f>
        <v>44.07040621</v>
      </c>
      <c r="K2" s="10">
        <f>IFERROR(__xludf.DUMMYFUNCTION("H2/REGEXEXTRACT(I2,""-?\d+(?:\.\d+)?"")"),62.80969849647162)</f>
        <v>62.8096985</v>
      </c>
    </row>
    <row r="3">
      <c r="B3" s="11"/>
      <c r="J3" s="9" t="str">
        <f>IFERROR(__xludf.DUMMYFUNCTION("D3/REGEXEXTRACT(I3,""-?\d+(?:\.\d+)?"")"),"#N/A")</f>
        <v>#N/A</v>
      </c>
      <c r="K3" s="10"/>
    </row>
    <row r="4">
      <c r="B4" s="7" t="s">
        <v>167</v>
      </c>
      <c r="C4" s="1" t="s">
        <v>168</v>
      </c>
      <c r="D4" s="8" t="s">
        <v>169</v>
      </c>
      <c r="E4" s="8" t="s">
        <v>35</v>
      </c>
      <c r="F4" s="8" t="s">
        <v>35</v>
      </c>
      <c r="G4" s="8" t="s">
        <v>170</v>
      </c>
      <c r="H4" s="8" t="s">
        <v>171</v>
      </c>
      <c r="I4" s="1" t="s">
        <v>168</v>
      </c>
      <c r="J4" s="9">
        <f>IFERROR(__xludf.DUMMYFUNCTION("D4/REGEXEXTRACT(I4,""-?\d+(?:\.\d+)?"")"),19.9)</f>
        <v>19.9</v>
      </c>
      <c r="K4" s="10">
        <f>IFERROR(__xludf.DUMMYFUNCTION("H4/REGEXEXTRACT(I4,""-?\d+(?:\.\d+)?"")"),25.754)</f>
        <v>25.754</v>
      </c>
    </row>
    <row r="5">
      <c r="B5" s="7" t="s">
        <v>172</v>
      </c>
      <c r="C5" s="1" t="s">
        <v>173</v>
      </c>
      <c r="D5" s="8" t="s">
        <v>174</v>
      </c>
      <c r="E5" s="8" t="s">
        <v>35</v>
      </c>
      <c r="F5" s="8" t="s">
        <v>35</v>
      </c>
      <c r="G5" s="8" t="s">
        <v>175</v>
      </c>
      <c r="H5" s="8" t="s">
        <v>176</v>
      </c>
      <c r="I5" s="1" t="s">
        <v>59</v>
      </c>
      <c r="J5" s="9">
        <f>IFERROR(__xludf.DUMMYFUNCTION("D5/REGEXEXTRACT(I5,""-?\d+(?:\.\d+)?"")"),18.739292285714594)</f>
        <v>18.73929229</v>
      </c>
      <c r="K5" s="10">
        <f>IFERROR(__xludf.DUMMYFUNCTION("H5/REGEXEXTRACT(I5,""-?\d+(?:\.\d+)?"")"),31.344222126134966)</f>
        <v>31.34422213</v>
      </c>
    </row>
    <row r="6">
      <c r="B6" s="11"/>
      <c r="J6" s="9" t="str">
        <f>IFERROR(__xludf.DUMMYFUNCTION("D6/REGEXEXTRACT(I6,""-?\d+(?:\.\d+)?"")"),"#N/A")</f>
        <v>#N/A</v>
      </c>
      <c r="K6" s="10"/>
    </row>
    <row r="7">
      <c r="B7" s="11"/>
      <c r="J7" s="9" t="str">
        <f>IFERROR(__xludf.DUMMYFUNCTION("D7/REGEXEXTRACT(I7,""-?\d+(?:\.\d+)?"")"),"#N/A")</f>
        <v>#N/A</v>
      </c>
      <c r="K7" s="10"/>
    </row>
    <row r="8">
      <c r="B8" s="7" t="s">
        <v>177</v>
      </c>
      <c r="C8" s="1" t="s">
        <v>145</v>
      </c>
      <c r="D8" s="8" t="s">
        <v>178</v>
      </c>
      <c r="E8" s="8" t="s">
        <v>91</v>
      </c>
      <c r="F8" s="8" t="s">
        <v>179</v>
      </c>
      <c r="G8" s="8" t="s">
        <v>35</v>
      </c>
      <c r="H8" s="8" t="s">
        <v>180</v>
      </c>
      <c r="I8" s="1" t="s">
        <v>149</v>
      </c>
      <c r="J8" s="9">
        <f>IFERROR(__xludf.DUMMYFUNCTION("D8/REGEXEXTRACT(I8,""-?\d+(?:\.\d+)?"")"),41.380766612101525)</f>
        <v>41.38076661</v>
      </c>
      <c r="K8" s="10">
        <f>IFERROR(__xludf.DUMMYFUNCTION("H8/REGEXEXTRACT(I8,""\d+"")"),53.765)</f>
        <v>53.765</v>
      </c>
    </row>
    <row r="9">
      <c r="J9" s="1" t="s">
        <v>16</v>
      </c>
      <c r="K9" s="2">
        <f>AVERAGE(K1:K8)</f>
        <v>43.41823016</v>
      </c>
    </row>
    <row r="10">
      <c r="J10" s="1" t="s">
        <v>17</v>
      </c>
      <c r="K10" s="2">
        <f>_xlfn.STDEV.S(K2:K8)</f>
        <v>17.70961497</v>
      </c>
    </row>
    <row r="11">
      <c r="J11" s="1" t="s">
        <v>61</v>
      </c>
      <c r="K11" s="4">
        <f>K10/K9</f>
        <v>0.4078843129</v>
      </c>
    </row>
  </sheetData>
  <hyperlinks>
    <hyperlink r:id="rId1" location="q=candelilla%2Bwax&amp;lang=default&amp;start=1" ref="B2"/>
    <hyperlink r:id="rId2" ref="B4"/>
    <hyperlink r:id="rId3" ref="B5"/>
    <hyperlink r:id="rId4" ref="B8"/>
  </hyperlin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181</v>
      </c>
      <c r="C2" s="1" t="s">
        <v>164</v>
      </c>
      <c r="D2" s="8" t="s">
        <v>57</v>
      </c>
      <c r="E2" s="8" t="s">
        <v>35</v>
      </c>
      <c r="F2" s="8" t="s">
        <v>35</v>
      </c>
      <c r="G2" s="8" t="s">
        <v>165</v>
      </c>
      <c r="H2" s="8" t="s">
        <v>182</v>
      </c>
      <c r="I2" s="1" t="s">
        <v>114</v>
      </c>
      <c r="J2" s="9">
        <f>IFERROR(__xludf.DUMMYFUNCTION("D2/REGEXEXTRACT(I2,""-?\d+(?:\.\d+)?"")"),17.61493474857172)</f>
        <v>17.61493475</v>
      </c>
      <c r="K2" s="10">
        <f>IFERROR(__xludf.DUMMYFUNCTION("H2/REGEXEXTRACT(I2,""-?\d+(?:\.\d+)?"")"),36.35422703428631)</f>
        <v>36.35422703</v>
      </c>
    </row>
    <row r="3">
      <c r="B3" s="7" t="s">
        <v>183</v>
      </c>
      <c r="C3" s="1" t="s">
        <v>33</v>
      </c>
      <c r="D3" s="8" t="s">
        <v>184</v>
      </c>
      <c r="E3" s="8" t="s">
        <v>35</v>
      </c>
      <c r="F3" s="8" t="s">
        <v>185</v>
      </c>
      <c r="G3" s="8" t="s">
        <v>43</v>
      </c>
      <c r="H3" s="8" t="s">
        <v>186</v>
      </c>
      <c r="I3" s="1" t="s">
        <v>38</v>
      </c>
      <c r="J3" s="9">
        <f>IFERROR(__xludf.DUMMYFUNCTION("D3/REGEXEXTRACT(I3,""-?\d+(?:\.\d+)?"")"),8.062619874189808)</f>
        <v>8.062619874</v>
      </c>
      <c r="K3" s="10">
        <f>IFERROR(__xludf.DUMMYFUNCTION("H3/REGEXEXTRACT(I3,""-?\d+(?:\.\d+)?"")"),14.698533965954624)</f>
        <v>14.69853397</v>
      </c>
    </row>
    <row r="4">
      <c r="B4" s="7" t="s">
        <v>187</v>
      </c>
      <c r="J4" s="9" t="str">
        <f>IFERROR(__xludf.DUMMYFUNCTION("D4/REGEXEXTRACT(I4,""-?\d+(?:\.\d+)?"")"),"#N/A")</f>
        <v>#N/A</v>
      </c>
      <c r="K4" s="10"/>
    </row>
    <row r="5">
      <c r="B5" s="7" t="s">
        <v>188</v>
      </c>
      <c r="J5" s="9" t="str">
        <f>IFERROR(__xludf.DUMMYFUNCTION("D5/REGEXEXTRACT(I5,""-?\d+(?:\.\d+)?"")"),"#N/A")</f>
        <v>#N/A</v>
      </c>
      <c r="K5" s="10"/>
    </row>
    <row r="6">
      <c r="B6" s="7" t="s">
        <v>189</v>
      </c>
      <c r="C6" s="1" t="s">
        <v>48</v>
      </c>
      <c r="D6" s="8" t="s">
        <v>190</v>
      </c>
      <c r="E6" s="8" t="s">
        <v>35</v>
      </c>
      <c r="F6" s="8" t="s">
        <v>35</v>
      </c>
      <c r="G6" s="8" t="s">
        <v>155</v>
      </c>
      <c r="H6" s="8" t="s">
        <v>191</v>
      </c>
      <c r="I6" s="1" t="s">
        <v>52</v>
      </c>
      <c r="J6" s="9">
        <f>IFERROR(__xludf.DUMMYFUNCTION("D6/REGEXEXTRACT(I6,""-?\d+(?:\.\d+)?"")"),12939.147124502142)</f>
        <v>12939.14712</v>
      </c>
      <c r="K6" s="10"/>
    </row>
    <row r="7">
      <c r="B7" s="7" t="s">
        <v>192</v>
      </c>
      <c r="J7" s="9" t="str">
        <f>IFERROR(__xludf.DUMMYFUNCTION("D7/REGEXEXTRACT(I7,""-?\d+(?:\.\d+)?"")"),"#N/A")</f>
        <v>#N/A</v>
      </c>
      <c r="K7" s="10"/>
    </row>
    <row r="8">
      <c r="B8" s="7" t="s">
        <v>193</v>
      </c>
      <c r="C8" s="1" t="s">
        <v>145</v>
      </c>
      <c r="D8" s="8" t="s">
        <v>194</v>
      </c>
      <c r="E8" s="8" t="s">
        <v>91</v>
      </c>
      <c r="F8" s="8" t="s">
        <v>195</v>
      </c>
      <c r="G8" s="8" t="s">
        <v>35</v>
      </c>
      <c r="H8" s="8" t="s">
        <v>196</v>
      </c>
      <c r="I8" s="1" t="s">
        <v>149</v>
      </c>
      <c r="J8" s="9">
        <f>IFERROR(__xludf.DUMMYFUNCTION("D8/REGEXEXTRACT(I8,""-?\d+(?:\.\d+)?"")"),13.990535158252332)</f>
        <v>13.99053516</v>
      </c>
      <c r="K8" s="10">
        <f>IFERROR(__xludf.DUMMYFUNCTION("H8/REGEXEXTRACT(I8,""\d+"")"),20.3)</f>
        <v>20.3</v>
      </c>
    </row>
    <row r="9">
      <c r="J9" s="1" t="s">
        <v>16</v>
      </c>
      <c r="K9" s="2">
        <f>AVERAGE(K1:K8)</f>
        <v>23.78425367</v>
      </c>
    </row>
    <row r="10">
      <c r="J10" s="1" t="s">
        <v>17</v>
      </c>
      <c r="K10" s="2">
        <f>_xlfn.STDEV.S(K2:K8)</f>
        <v>11.24043052</v>
      </c>
    </row>
    <row r="11">
      <c r="J11" s="1" t="s">
        <v>61</v>
      </c>
      <c r="K11" s="4">
        <f>K10/K9</f>
        <v>0.4725996736</v>
      </c>
    </row>
  </sheetData>
  <hyperlinks>
    <hyperlink r:id="rId1" location="q=shea%2Bbutter&amp;lang=default&amp;start=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197</v>
      </c>
      <c r="C2" s="1" t="s">
        <v>164</v>
      </c>
      <c r="D2" s="8" t="s">
        <v>198</v>
      </c>
      <c r="E2" s="8" t="s">
        <v>35</v>
      </c>
      <c r="F2" s="8" t="s">
        <v>35</v>
      </c>
      <c r="G2" s="8" t="s">
        <v>165</v>
      </c>
      <c r="H2" s="8" t="s">
        <v>199</v>
      </c>
      <c r="I2" s="1" t="s">
        <v>114</v>
      </c>
      <c r="J2" s="9">
        <f>IFERROR(__xludf.DUMMYFUNCTION("D2/REGEXEXTRACT(I2,""-?\d+(?:\.\d+)?"")"),25.992500711597064)</f>
        <v>25.99250071</v>
      </c>
      <c r="K2" s="10">
        <f>IFERROR(__xludf.DUMMYFUNCTION("H2/REGEXEXTRACT(I2,""-?\d+(?:\.\d+)?"")"),44.73179299731166)</f>
        <v>44.731793</v>
      </c>
    </row>
    <row r="3">
      <c r="B3" s="7" t="s">
        <v>200</v>
      </c>
      <c r="C3" s="1" t="s">
        <v>33</v>
      </c>
      <c r="D3" s="8" t="s">
        <v>201</v>
      </c>
      <c r="E3" s="8" t="s">
        <v>35</v>
      </c>
      <c r="F3" s="8" t="s">
        <v>202</v>
      </c>
      <c r="G3" s="8" t="s">
        <v>203</v>
      </c>
      <c r="H3" s="8" t="s">
        <v>204</v>
      </c>
      <c r="I3" s="1" t="s">
        <v>38</v>
      </c>
      <c r="J3" s="9">
        <f>IFERROR(__xludf.DUMMYFUNCTION("D3/REGEXEXTRACT(I3,""-?\d+(?:\.\d+)?"")"),16.654349177623324)</f>
        <v>16.65434918</v>
      </c>
      <c r="K3" s="10">
        <f>IFERROR(__xludf.DUMMYFUNCTION("H3/REGEXEXTRACT(I3,""-?\d+(?:\.\d+)?"")"),24.194158544346134)</f>
        <v>24.19415854</v>
      </c>
    </row>
    <row r="4">
      <c r="B4" s="7" t="s">
        <v>205</v>
      </c>
      <c r="J4" s="9" t="str">
        <f>IFERROR(__xludf.DUMMYFUNCTION("D4/REGEXEXTRACT(I4,""-?\d+(?:\.\d+)?"")"),"#N/A")</f>
        <v>#N/A</v>
      </c>
      <c r="K4" s="10"/>
    </row>
    <row r="5">
      <c r="B5" s="7" t="s">
        <v>206</v>
      </c>
      <c r="J5" s="9" t="str">
        <f>IFERROR(__xludf.DUMMYFUNCTION("D5/REGEXEXTRACT(I5,""-?\d+(?:\.\d+)?"")"),"#N/A")</f>
        <v>#N/A</v>
      </c>
      <c r="K5" s="10"/>
    </row>
    <row r="6">
      <c r="B6" s="7" t="s">
        <v>207</v>
      </c>
      <c r="J6" s="9" t="str">
        <f>IFERROR(__xludf.DUMMYFUNCTION("D6/REGEXEXTRACT(I6,""-?\d+(?:\.\d+)?"")"),"#N/A")</f>
        <v>#N/A</v>
      </c>
      <c r="K6" s="10"/>
    </row>
    <row r="7">
      <c r="B7" s="7" t="s">
        <v>208</v>
      </c>
      <c r="C7" s="1" t="s">
        <v>164</v>
      </c>
      <c r="D7" s="8" t="s">
        <v>174</v>
      </c>
      <c r="E7" s="8" t="s">
        <v>35</v>
      </c>
      <c r="F7" s="8" t="s">
        <v>209</v>
      </c>
      <c r="G7" s="8" t="s">
        <v>57</v>
      </c>
      <c r="H7" s="8" t="s">
        <v>210</v>
      </c>
      <c r="I7" s="1" t="s">
        <v>114</v>
      </c>
      <c r="J7" s="9">
        <f>IFERROR(__xludf.DUMMYFUNCTION("D7/REGEXEXTRACT(I7,""-?\d+(?:\.\d+)?"")"),74.95716914285838)</f>
        <v>74.95716914</v>
      </c>
      <c r="K7" s="10">
        <f>IFERROR(__xludf.DUMMYFUNCTION("H7/REGEXEXTRACT(I7,""-?\d+(?:\.\d+)?"")"),99.7591736386571)</f>
        <v>99.75917364</v>
      </c>
    </row>
    <row r="8">
      <c r="B8" s="7" t="s">
        <v>211</v>
      </c>
      <c r="C8" s="1" t="s">
        <v>145</v>
      </c>
      <c r="D8" s="8" t="s">
        <v>212</v>
      </c>
      <c r="E8" s="8" t="s">
        <v>91</v>
      </c>
      <c r="F8" s="8" t="s">
        <v>213</v>
      </c>
      <c r="G8" s="8" t="s">
        <v>35</v>
      </c>
      <c r="H8" s="8" t="s">
        <v>214</v>
      </c>
      <c r="I8" s="1" t="s">
        <v>149</v>
      </c>
      <c r="J8" s="9">
        <f>IFERROR(__xludf.DUMMYFUNCTION("D8/REGEXEXTRACT(I8,""-?\d+(?:\.\d+)?"")"),22.685566778823905)</f>
        <v>22.68556678</v>
      </c>
      <c r="K8" s="10">
        <f>IFERROR(__xludf.DUMMYFUNCTION("H8/REGEXEXTRACT(I8,""\d+"")"),30.925)</f>
        <v>30.925</v>
      </c>
    </row>
    <row r="9">
      <c r="J9" s="1" t="s">
        <v>16</v>
      </c>
      <c r="K9" s="2">
        <f>AVERAGE(K1:K8)</f>
        <v>49.9025313</v>
      </c>
    </row>
    <row r="10">
      <c r="J10" s="1" t="s">
        <v>17</v>
      </c>
      <c r="K10" s="2">
        <f>_xlfn.STDEV.S(K2:K8)</f>
        <v>34.31952041</v>
      </c>
    </row>
    <row r="11">
      <c r="J11" s="1" t="s">
        <v>61</v>
      </c>
      <c r="K11" s="4">
        <f>K10/K9</f>
        <v>0.6877310533</v>
      </c>
    </row>
  </sheetData>
  <hyperlinks>
    <hyperlink r:id="rId1" location="q=mango%2Bbutter&amp;lang=default&amp;start=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215</v>
      </c>
      <c r="C2" s="1" t="s">
        <v>216</v>
      </c>
      <c r="D2" s="8" t="s">
        <v>217</v>
      </c>
      <c r="E2" s="8" t="s">
        <v>35</v>
      </c>
      <c r="F2" s="8" t="s">
        <v>35</v>
      </c>
      <c r="G2" s="8" t="s">
        <v>218</v>
      </c>
      <c r="H2" s="8" t="s">
        <v>219</v>
      </c>
      <c r="I2" s="1" t="s">
        <v>220</v>
      </c>
      <c r="J2" s="9">
        <f>IFERROR(__xludf.DUMMYFUNCTION("D2/REGEXEXTRACT(I2,""-?\d+(?:\.\d+)?"")"),21.793195667571023)</f>
        <v>21.79319567</v>
      </c>
      <c r="K2" s="10">
        <f>IFERROR(__xludf.DUMMYFUNCTION("H2/REGEXEXTRACT(I2,""-?\d+(?:\.\d+)?"")"),24.814530760695593)</f>
        <v>24.81453076</v>
      </c>
    </row>
    <row r="3">
      <c r="B3" s="7" t="s">
        <v>221</v>
      </c>
      <c r="J3" s="9" t="str">
        <f>IFERROR(__xludf.DUMMYFUNCTION("D3/REGEXEXTRACT(I3,""-?\d+(?:\.\d+)?"")"),"#N/A")</f>
        <v>#N/A</v>
      </c>
      <c r="K3" s="10"/>
    </row>
    <row r="4">
      <c r="B4" s="7" t="s">
        <v>222</v>
      </c>
      <c r="J4" s="9" t="str">
        <f>IFERROR(__xludf.DUMMYFUNCTION("D4/REGEXEXTRACT(I4,""-?\d+(?:\.\d+)?"")"),"#N/A")</f>
        <v>#N/A</v>
      </c>
      <c r="K4" s="10"/>
    </row>
    <row r="5">
      <c r="B5" s="7" t="s">
        <v>223</v>
      </c>
      <c r="C5" s="1" t="s">
        <v>145</v>
      </c>
      <c r="D5" s="8" t="s">
        <v>224</v>
      </c>
      <c r="E5" s="8" t="s">
        <v>35</v>
      </c>
      <c r="F5" s="8" t="s">
        <v>35</v>
      </c>
      <c r="G5" s="8" t="s">
        <v>225</v>
      </c>
      <c r="H5" s="8" t="s">
        <v>226</v>
      </c>
      <c r="I5" s="1" t="s">
        <v>149</v>
      </c>
      <c r="J5" s="9">
        <f>IFERROR(__xludf.DUMMYFUNCTION("D5/REGEXEXTRACT(I5,""-?\d+(?:\.\d+)?"")"),17.14755475273978)</f>
        <v>17.14755475</v>
      </c>
      <c r="K5" s="10">
        <f>IFERROR(__xludf.DUMMYFUNCTION("H5/REGEXEXTRACT(I5,""-?\d+(?:\.\d+)?"")"),27.553373527866004)</f>
        <v>27.55337353</v>
      </c>
    </row>
    <row r="6">
      <c r="B6" s="7" t="s">
        <v>227</v>
      </c>
      <c r="C6" s="1" t="s">
        <v>145</v>
      </c>
      <c r="D6" s="8" t="s">
        <v>228</v>
      </c>
      <c r="E6" s="8" t="s">
        <v>35</v>
      </c>
      <c r="F6" s="8" t="s">
        <v>35</v>
      </c>
      <c r="G6" s="8" t="s">
        <v>229</v>
      </c>
      <c r="H6" s="8" t="s">
        <v>230</v>
      </c>
      <c r="I6" s="1" t="s">
        <v>149</v>
      </c>
      <c r="J6" s="9">
        <f>IFERROR(__xludf.DUMMYFUNCTION("D6/REGEXEXTRACT(I6,""-?\d+(?:\.\d+)?"")"),27.76942654480718)</f>
        <v>27.76942654</v>
      </c>
      <c r="K6" s="10">
        <f>IFERROR(__xludf.DUMMYFUNCTION("H6/REGEXEXTRACT(I6,""-?\d+(?:\.\d+)?"")"),53.73547178494207)</f>
        <v>53.73547178</v>
      </c>
    </row>
    <row r="7">
      <c r="B7" s="7" t="s">
        <v>231</v>
      </c>
      <c r="C7" s="1" t="s">
        <v>145</v>
      </c>
      <c r="D7" s="8" t="s">
        <v>232</v>
      </c>
      <c r="E7" s="8" t="s">
        <v>35</v>
      </c>
      <c r="F7" s="8" t="s">
        <v>233</v>
      </c>
      <c r="G7" s="8" t="s">
        <v>160</v>
      </c>
      <c r="H7" s="8" t="s">
        <v>234</v>
      </c>
      <c r="I7" s="1" t="s">
        <v>149</v>
      </c>
      <c r="J7" s="9">
        <f>IFERROR(__xludf.DUMMYFUNCTION("D7/REGEXEXTRACT(I7,""-?\d+(?:\.\d+)?"")"),33.510263852101396)</f>
        <v>33.51026385</v>
      </c>
      <c r="K7" s="10">
        <f>IFERROR(__xludf.DUMMYFUNCTION("H7/REGEXEXTRACT(I7,""-?\d+(?:\.\d+)?"")"),37.787231738488025)</f>
        <v>37.78723174</v>
      </c>
    </row>
    <row r="8">
      <c r="B8" s="7" t="s">
        <v>235</v>
      </c>
      <c r="J8" s="9" t="str">
        <f>IFERROR(__xludf.DUMMYFUNCTION("D8/REGEXEXTRACT(I8,""-?\d+(?:\.\d+)?"")"),"#N/A")</f>
        <v>#N/A</v>
      </c>
      <c r="K8" s="10"/>
    </row>
    <row r="9">
      <c r="J9" s="1" t="s">
        <v>16</v>
      </c>
      <c r="K9" s="2">
        <f>AVERAGE(K1:K8)</f>
        <v>35.97265195</v>
      </c>
    </row>
    <row r="10">
      <c r="J10" s="1" t="s">
        <v>17</v>
      </c>
      <c r="K10" s="2">
        <f>_xlfn.STDEV.S(K2:K8)</f>
        <v>13.09196173</v>
      </c>
    </row>
    <row r="11">
      <c r="J11" s="1" t="s">
        <v>61</v>
      </c>
      <c r="K11" s="4">
        <f>K10/K9</f>
        <v>0.3639420788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236</v>
      </c>
      <c r="C2" s="1" t="s">
        <v>145</v>
      </c>
      <c r="D2" s="8" t="s">
        <v>237</v>
      </c>
      <c r="E2" s="8" t="s">
        <v>35</v>
      </c>
      <c r="F2" s="8" t="s">
        <v>35</v>
      </c>
      <c r="G2" s="8" t="s">
        <v>147</v>
      </c>
      <c r="H2" s="8" t="s">
        <v>238</v>
      </c>
      <c r="I2" s="1" t="s">
        <v>149</v>
      </c>
      <c r="J2" s="9">
        <f>IFERROR(__xludf.DUMMYFUNCTION("D2/REGEXEXTRACT(I2,""-?\d+(?:\.\d+)?"")"),121.69075948080874)</f>
        <v>121.6907595</v>
      </c>
      <c r="K2" s="10">
        <f>IFERROR(__xludf.DUMMYFUNCTION("H2/REGEXEXTRACT(I2,""-?\d+(?:\.\d+)?"")"),126.78343773727941)</f>
        <v>126.7834377</v>
      </c>
    </row>
    <row r="3">
      <c r="B3" s="7" t="s">
        <v>239</v>
      </c>
      <c r="C3" s="1" t="s">
        <v>145</v>
      </c>
      <c r="D3" s="8" t="s">
        <v>240</v>
      </c>
      <c r="E3" s="8" t="s">
        <v>35</v>
      </c>
      <c r="F3" s="8" t="s">
        <v>241</v>
      </c>
      <c r="G3" s="8" t="s">
        <v>242</v>
      </c>
      <c r="H3" s="8" t="s">
        <v>243</v>
      </c>
      <c r="I3" s="1" t="s">
        <v>149</v>
      </c>
      <c r="J3" s="9">
        <f>IFERROR(__xludf.DUMMYFUNCTION("D3/REGEXEXTRACT(I3,""-?\d+(?:\.\d+)?"")"),92.4089618174133)</f>
        <v>92.40896182</v>
      </c>
      <c r="K3" s="10">
        <f>IFERROR(__xludf.DUMMYFUNCTION("H3/REGEXEXTRACT(I3,""-?\d+(?:\.\d+)?"")"),107.3518939483043)</f>
        <v>107.3518939</v>
      </c>
    </row>
    <row r="4">
      <c r="B4" s="7" t="s">
        <v>244</v>
      </c>
      <c r="J4" s="9" t="str">
        <f>IFERROR(__xludf.DUMMYFUNCTION("D4/REGEXEXTRACT(I4,""-?\d+(?:\.\d+)?"")"),"#N/A")</f>
        <v>#N/A</v>
      </c>
      <c r="K4" s="10"/>
    </row>
    <row r="5">
      <c r="B5" s="7" t="s">
        <v>245</v>
      </c>
      <c r="J5" s="9" t="str">
        <f>IFERROR(__xludf.DUMMYFUNCTION("D5/REGEXEXTRACT(I5,""-?\d+(?:\.\d+)?"")"),"#N/A")</f>
        <v>#N/A</v>
      </c>
      <c r="K5" s="10"/>
    </row>
    <row r="6">
      <c r="B6" s="7" t="s">
        <v>246</v>
      </c>
      <c r="C6" s="1" t="s">
        <v>247</v>
      </c>
      <c r="D6" s="8" t="s">
        <v>248</v>
      </c>
      <c r="E6" s="8" t="s">
        <v>35</v>
      </c>
      <c r="F6" s="8" t="s">
        <v>35</v>
      </c>
      <c r="G6" s="8" t="s">
        <v>155</v>
      </c>
      <c r="H6" s="8" t="s">
        <v>249</v>
      </c>
      <c r="I6" s="1" t="s">
        <v>247</v>
      </c>
      <c r="J6" s="9">
        <f>IFERROR(__xludf.DUMMYFUNCTION("D6/REGEXEXTRACT(I6,""-?\d+(?:\.\d+)?"")"),143.58)</f>
        <v>143.58</v>
      </c>
      <c r="K6" s="10">
        <f>IFERROR(__xludf.DUMMYFUNCTION("H6/REGEXEXTRACT(I6,""-?\d+(?:\.\d+)?"")"),179.72)</f>
        <v>179.72</v>
      </c>
    </row>
    <row r="7">
      <c r="B7" s="7" t="s">
        <v>250</v>
      </c>
      <c r="C7" s="1" t="s">
        <v>110</v>
      </c>
      <c r="D7" s="8" t="s">
        <v>251</v>
      </c>
      <c r="E7" s="8" t="s">
        <v>35</v>
      </c>
      <c r="F7" s="8" t="s">
        <v>252</v>
      </c>
      <c r="G7" s="8" t="s">
        <v>57</v>
      </c>
      <c r="H7" s="8" t="s">
        <v>253</v>
      </c>
      <c r="I7" s="1" t="s">
        <v>114</v>
      </c>
      <c r="J7" s="9">
        <f>IFERROR(__xludf.DUMMYFUNCTION("D7/REGEXEXTRACT(I7,""-?\d+(?:\.\d+)?"")"),318.5679688571481)</f>
        <v>318.5679689</v>
      </c>
      <c r="K7" s="10">
        <f>IFERROR(__xludf.DUMMYFUNCTION("H7/REGEXEXTRACT(I7,""-?\d+(?:\.\d+)?"")"),362.24154299597234)</f>
        <v>362.241543</v>
      </c>
    </row>
    <row r="8">
      <c r="B8" s="7" t="s">
        <v>254</v>
      </c>
      <c r="J8" s="9" t="str">
        <f>IFERROR(__xludf.DUMMYFUNCTION("D8/REGEXEXTRACT(I8,""-?\d+(?:\.\d+)?"")"),"#N/A")</f>
        <v>#N/A</v>
      </c>
      <c r="K8" s="10"/>
    </row>
    <row r="9">
      <c r="J9" s="1" t="s">
        <v>16</v>
      </c>
      <c r="K9" s="2">
        <f>AVERAGE(K1:K8)</f>
        <v>194.0242187</v>
      </c>
    </row>
    <row r="10">
      <c r="J10" s="1" t="s">
        <v>17</v>
      </c>
      <c r="K10" s="2">
        <f>_xlfn.STDEV.S(K2:K8)</f>
        <v>116.2398288</v>
      </c>
    </row>
    <row r="11">
      <c r="J11" s="1" t="s">
        <v>61</v>
      </c>
      <c r="K11" s="4">
        <f>K10/K9</f>
        <v>0.5990995843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0.57"/>
  </cols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255</v>
      </c>
      <c r="C2" s="1" t="s">
        <v>145</v>
      </c>
      <c r="D2" s="8" t="s">
        <v>256</v>
      </c>
      <c r="E2" s="8" t="s">
        <v>35</v>
      </c>
      <c r="F2" s="8" t="s">
        <v>35</v>
      </c>
      <c r="G2" s="8" t="s">
        <v>147</v>
      </c>
      <c r="H2" s="8" t="s">
        <v>257</v>
      </c>
      <c r="I2" s="1" t="s">
        <v>149</v>
      </c>
      <c r="J2" s="9">
        <f>IFERROR(__xludf.DUMMYFUNCTION("D2/REGEXEXTRACT(I2,""-?\d+(?:\.\d+)?"")"),681.6649054303979)</f>
        <v>681.6649054</v>
      </c>
      <c r="K2" s="10">
        <f>IFERROR(__xludf.DUMMYFUNCTION("H2/REGEXEXTRACT(I2,""-?\d+(?:\.\d+)?"")"),686.7575836868685)</f>
        <v>686.7575837</v>
      </c>
    </row>
    <row r="3">
      <c r="B3" s="7" t="s">
        <v>258</v>
      </c>
      <c r="C3" s="1" t="s">
        <v>145</v>
      </c>
      <c r="D3" s="8" t="s">
        <v>259</v>
      </c>
      <c r="E3" s="8" t="s">
        <v>35</v>
      </c>
      <c r="F3" s="8" t="s">
        <v>260</v>
      </c>
      <c r="G3" s="8" t="s">
        <v>242</v>
      </c>
      <c r="H3" s="8" t="s">
        <v>261</v>
      </c>
      <c r="I3" s="1" t="s">
        <v>149</v>
      </c>
      <c r="J3" s="9">
        <f>IFERROR(__xludf.DUMMYFUNCTION("D3/REGEXEXTRACT(I3,""-?\d+(?:\.\d+)?"")"),329.8115442285769)</f>
        <v>329.8115442</v>
      </c>
      <c r="K3" s="10">
        <f>IFERROR(__xludf.DUMMYFUNCTION("H3/REGEXEXTRACT(I3,""-?\d+(?:\.\d+)?"")"),363.1542567614178)</f>
        <v>363.1542568</v>
      </c>
    </row>
    <row r="4">
      <c r="B4" s="7" t="s">
        <v>262</v>
      </c>
      <c r="J4" s="9" t="str">
        <f>IFERROR(__xludf.DUMMYFUNCTION("D4/REGEXEXTRACT(I4,""-?\d+(?:\.\d+)?"")"),"#N/A")</f>
        <v>#N/A</v>
      </c>
      <c r="K4" s="10"/>
    </row>
    <row r="5">
      <c r="B5" s="11"/>
      <c r="J5" s="9" t="str">
        <f>IFERROR(__xludf.DUMMYFUNCTION("D5/REGEXEXTRACT(I5,""-?\d+(?:\.\d+)?"")"),"#N/A")</f>
        <v>#N/A</v>
      </c>
      <c r="K5" s="10"/>
    </row>
    <row r="6">
      <c r="B6" s="11"/>
      <c r="J6" s="9" t="str">
        <f>IFERROR(__xludf.DUMMYFUNCTION("D6/REGEXEXTRACT(I6,""-?\d+(?:\.\d+)?"")"),"#N/A")</f>
        <v>#N/A</v>
      </c>
      <c r="K6" s="10"/>
    </row>
    <row r="7">
      <c r="B7" s="7" t="s">
        <v>263</v>
      </c>
      <c r="C7" s="1" t="s">
        <v>110</v>
      </c>
      <c r="D7" s="8" t="s">
        <v>264</v>
      </c>
      <c r="E7" s="8" t="s">
        <v>35</v>
      </c>
      <c r="F7" s="8" t="s">
        <v>265</v>
      </c>
      <c r="G7" s="8" t="s">
        <v>57</v>
      </c>
      <c r="H7" s="8" t="s">
        <v>266</v>
      </c>
      <c r="I7" s="1" t="s">
        <v>114</v>
      </c>
      <c r="J7" s="9">
        <f>IFERROR(__xludf.DUMMYFUNCTION("D7/REGEXEXTRACT(I7,""-?\d+(?:\.\d+)?"")"),549.5021884958073)</f>
        <v>549.5021885</v>
      </c>
      <c r="K7" s="10">
        <f>IFERROR(__xludf.DUMMYFUNCTION("H7/REGEXEXTRACT(I7,""-?\d+(?:\.\d+)?"")"),611.0772983240437)</f>
        <v>611.0772983</v>
      </c>
    </row>
    <row r="8">
      <c r="B8" s="7" t="s">
        <v>267</v>
      </c>
      <c r="C8" s="1" t="s">
        <v>268</v>
      </c>
      <c r="D8" s="8" t="s">
        <v>269</v>
      </c>
      <c r="E8" s="8" t="s">
        <v>91</v>
      </c>
      <c r="F8" s="8" t="s">
        <v>270</v>
      </c>
      <c r="G8" s="8" t="s">
        <v>35</v>
      </c>
      <c r="H8" s="8" t="s">
        <v>271</v>
      </c>
      <c r="I8" s="1" t="s">
        <v>268</v>
      </c>
      <c r="J8" s="9">
        <f>IFERROR(__xludf.DUMMYFUNCTION("D8/REGEXEXTRACT(I8,""-?\d+(?:\.\d+)?"")"),141.04733333333334)</f>
        <v>141.0473333</v>
      </c>
      <c r="K8" s="10">
        <f>IFERROR(__xludf.DUMMYFUNCTION("H8/REGEXEXTRACT(I8,""\d+"")"),152.406)</f>
        <v>152.406</v>
      </c>
    </row>
    <row r="9">
      <c r="J9" s="1" t="s">
        <v>16</v>
      </c>
      <c r="K9" s="2">
        <f>AVERAGE(K1:K8)</f>
        <v>453.3487847</v>
      </c>
    </row>
    <row r="10">
      <c r="J10" s="1" t="s">
        <v>17</v>
      </c>
      <c r="K10" s="2">
        <f>_xlfn.STDEV.S(K2:K8)</f>
        <v>243.6250972</v>
      </c>
    </row>
    <row r="11">
      <c r="J11" s="1" t="s">
        <v>61</v>
      </c>
      <c r="K11" s="4">
        <f>K10/K9</f>
        <v>0.5373899864</v>
      </c>
    </row>
  </sheetData>
  <hyperlinks>
    <hyperlink r:id="rId1" location="q=ginger%2Bessential%2Boil&amp;lang=default&amp;start=1" ref="B2"/>
    <hyperlink r:id="rId2" ref="B3"/>
    <hyperlink r:id="rId3" ref="B4"/>
    <hyperlink r:id="rId4" ref="B7"/>
    <hyperlink r:id="rId5" ref="B8"/>
  </hyperlinks>
  <drawing r:id="rId6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272</v>
      </c>
      <c r="C2" s="1" t="s">
        <v>145</v>
      </c>
      <c r="D2" s="8" t="s">
        <v>273</v>
      </c>
      <c r="E2" s="8" t="s">
        <v>35</v>
      </c>
      <c r="F2" s="8" t="s">
        <v>35</v>
      </c>
      <c r="G2" s="8" t="s">
        <v>147</v>
      </c>
      <c r="H2" s="8" t="s">
        <v>274</v>
      </c>
      <c r="I2" s="1" t="s">
        <v>149</v>
      </c>
      <c r="J2" s="9">
        <f>IFERROR(__xludf.DUMMYFUNCTION("D2/REGEXEXTRACT(I2,""-?\d+(?:\.\d+)?"")"),96.99898611610244)</f>
        <v>96.99898612</v>
      </c>
      <c r="K2" s="10">
        <f>IFERROR(__xludf.DUMMYFUNCTION("H2/REGEXEXTRACT(I2,""-?\d+(?:\.\d+)?"")"),102.09166437257312)</f>
        <v>102.0916644</v>
      </c>
    </row>
    <row r="3">
      <c r="B3" s="7" t="s">
        <v>275</v>
      </c>
      <c r="C3" s="1" t="s">
        <v>145</v>
      </c>
      <c r="D3" s="8" t="s">
        <v>276</v>
      </c>
      <c r="E3" s="8" t="s">
        <v>35</v>
      </c>
      <c r="F3" s="8" t="s">
        <v>277</v>
      </c>
      <c r="G3" s="8" t="s">
        <v>242</v>
      </c>
      <c r="H3" s="8" t="s">
        <v>278</v>
      </c>
      <c r="I3" s="1" t="s">
        <v>149</v>
      </c>
      <c r="J3" s="9">
        <f>IFERROR(__xludf.DUMMYFUNCTION("D3/REGEXEXTRACT(I3,""-?\d+(?:\.\d+)?"")"),70.91389125438774)</f>
        <v>70.91389125</v>
      </c>
      <c r="K3" s="10">
        <f>IFERROR(__xludf.DUMMYFUNCTION("H3/REGEXEXTRACT(I3,""-?\d+(?:\.\d+)?"")"),84.19012868316105)</f>
        <v>84.19012868</v>
      </c>
    </row>
    <row r="4">
      <c r="B4" s="7" t="s">
        <v>279</v>
      </c>
      <c r="J4" s="9" t="str">
        <f>IFERROR(__xludf.DUMMYFUNCTION("D4/REGEXEXTRACT(I4,""-?\d+(?:\.\d+)?"")"),"#N/A")</f>
        <v>#N/A</v>
      </c>
      <c r="K4" s="10"/>
    </row>
    <row r="5">
      <c r="B5" s="7" t="s">
        <v>280</v>
      </c>
      <c r="J5" s="9" t="str">
        <f>IFERROR(__xludf.DUMMYFUNCTION("D5/REGEXEXTRACT(I5,""-?\d+(?:\.\d+)?"")"),"#N/A")</f>
        <v>#N/A</v>
      </c>
      <c r="K5" s="10"/>
    </row>
    <row r="6">
      <c r="B6" s="7" t="s">
        <v>281</v>
      </c>
      <c r="C6" s="1" t="s">
        <v>247</v>
      </c>
      <c r="D6" s="8" t="s">
        <v>282</v>
      </c>
      <c r="E6" s="8" t="s">
        <v>35</v>
      </c>
      <c r="F6" s="8" t="s">
        <v>35</v>
      </c>
      <c r="G6" s="8" t="s">
        <v>155</v>
      </c>
      <c r="H6" s="8" t="s">
        <v>283</v>
      </c>
      <c r="I6" s="1" t="s">
        <v>247</v>
      </c>
      <c r="J6" s="9">
        <f>IFERROR(__xludf.DUMMYFUNCTION("D6/REGEXEXTRACT(I6,""-?\d+(?:\.\d+)?"")"),215.94)</f>
        <v>215.94</v>
      </c>
      <c r="K6" s="10">
        <f>IFERROR(__xludf.DUMMYFUNCTION("H6/REGEXEXTRACT(I6,""-?\d+(?:\.\d+)?"")"),252.08)</f>
        <v>252.08</v>
      </c>
    </row>
    <row r="7">
      <c r="B7" s="7" t="s">
        <v>284</v>
      </c>
      <c r="C7" s="1" t="s">
        <v>110</v>
      </c>
      <c r="D7" s="8" t="s">
        <v>285</v>
      </c>
      <c r="E7" s="8" t="s">
        <v>35</v>
      </c>
      <c r="F7" s="8" t="s">
        <v>286</v>
      </c>
      <c r="G7" s="8" t="s">
        <v>57</v>
      </c>
      <c r="H7" s="8" t="s">
        <v>287</v>
      </c>
      <c r="I7" s="1" t="s">
        <v>114</v>
      </c>
      <c r="J7" s="9">
        <f>IFERROR(__xludf.DUMMYFUNCTION("D7/REGEXEXTRACT(I7,""-?\d+(?:\.\d+)?"")"),331.79570458824077)</f>
        <v>331.7957046</v>
      </c>
      <c r="K7" s="10">
        <f>IFERROR(__xludf.DUMMYFUNCTION("H7/REGEXEXTRACT(I7,""-?\d+(?:\.\d+)?"")"),376.5054513593339)</f>
        <v>376.5054514</v>
      </c>
    </row>
    <row r="8">
      <c r="B8" s="7" t="s">
        <v>288</v>
      </c>
      <c r="J8" s="9" t="str">
        <f>IFERROR(__xludf.DUMMYFUNCTION("D8/REGEXEXTRACT(I8,""-?\d+(?:\.\d+)?"")"),"#N/A")</f>
        <v>#N/A</v>
      </c>
      <c r="K8" s="10"/>
    </row>
    <row r="9">
      <c r="J9" s="1" t="s">
        <v>16</v>
      </c>
      <c r="K9" s="2">
        <f>AVERAGE(K1:K8)</f>
        <v>203.7168111</v>
      </c>
    </row>
    <row r="10">
      <c r="J10" s="1" t="s">
        <v>17</v>
      </c>
      <c r="K10" s="2">
        <f>_xlfn.STDEV.S(K2:K8)</f>
        <v>137.6096054</v>
      </c>
    </row>
    <row r="11">
      <c r="J11" s="1" t="s">
        <v>61</v>
      </c>
      <c r="K11" s="4">
        <f>K10/K9</f>
        <v>0.6754945979</v>
      </c>
    </row>
  </sheetData>
  <hyperlinks>
    <hyperlink r:id="rId1" location="q=rosemary%2Bessential%2Boil&amp;lang=default&amp;start=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289</v>
      </c>
      <c r="C2" s="1" t="s">
        <v>145</v>
      </c>
      <c r="D2" s="8" t="s">
        <v>290</v>
      </c>
      <c r="E2" s="8" t="s">
        <v>35</v>
      </c>
      <c r="F2" s="8" t="s">
        <v>35</v>
      </c>
      <c r="G2" s="8" t="s">
        <v>147</v>
      </c>
      <c r="H2" s="8" t="s">
        <v>291</v>
      </c>
      <c r="I2" s="1" t="s">
        <v>149</v>
      </c>
      <c r="J2" s="9">
        <f>IFERROR(__xludf.DUMMYFUNCTION("D2/REGEXEXTRACT(I2,""-?\d+(?:\.\d+)?"")"),141.5323630774477)</f>
        <v>141.5323631</v>
      </c>
      <c r="K2" s="10">
        <f>IFERROR(__xludf.DUMMYFUNCTION("H2/REGEXEXTRACT(I2,""-?\d+(?:\.\d+)?"")"),146.6250413339184)</f>
        <v>146.6250413</v>
      </c>
    </row>
    <row r="3">
      <c r="B3" s="7" t="s">
        <v>292</v>
      </c>
      <c r="C3" s="1" t="s">
        <v>145</v>
      </c>
      <c r="D3" s="8" t="s">
        <v>293</v>
      </c>
      <c r="E3" s="8" t="s">
        <v>35</v>
      </c>
      <c r="F3" s="8" t="s">
        <v>294</v>
      </c>
      <c r="G3" s="8" t="s">
        <v>242</v>
      </c>
      <c r="H3" s="8" t="s">
        <v>295</v>
      </c>
      <c r="I3" s="1" t="s">
        <v>149</v>
      </c>
      <c r="J3" s="9">
        <f>IFERROR(__xludf.DUMMYFUNCTION("D3/REGEXEXTRACT(I3,""-?\d+(?:\.\d+)?"")"),115.55749934682544)</f>
        <v>115.5574993</v>
      </c>
      <c r="K3" s="10">
        <f>IFERROR(__xludf.DUMMYFUNCTION("H3/REGEXEXTRACT(I3,""-?\d+(?:\.\d+)?"")"),132.29499429190136)</f>
        <v>132.2949943</v>
      </c>
    </row>
    <row r="4">
      <c r="B4" s="7" t="s">
        <v>296</v>
      </c>
      <c r="J4" s="9" t="str">
        <f>IFERROR(__xludf.DUMMYFUNCTION("D4/REGEXEXTRACT(I4,""-?\d+(?:\.\d+)?"")"),"#N/A")</f>
        <v>#N/A</v>
      </c>
      <c r="K4" s="10"/>
    </row>
    <row r="5">
      <c r="B5" s="11"/>
      <c r="J5" s="9" t="str">
        <f>IFERROR(__xludf.DUMMYFUNCTION("D5/REGEXEXTRACT(I5,""-?\d+(?:\.\d+)?"")"),"#N/A")</f>
        <v>#N/A</v>
      </c>
      <c r="K5" s="10"/>
    </row>
    <row r="6">
      <c r="B6" s="7" t="s">
        <v>297</v>
      </c>
      <c r="C6" s="1" t="s">
        <v>247</v>
      </c>
      <c r="D6" s="8" t="s">
        <v>298</v>
      </c>
      <c r="E6" s="8" t="s">
        <v>35</v>
      </c>
      <c r="F6" s="8" t="s">
        <v>35</v>
      </c>
      <c r="G6" s="8" t="s">
        <v>155</v>
      </c>
      <c r="H6" s="8" t="s">
        <v>299</v>
      </c>
      <c r="I6" s="1" t="s">
        <v>247</v>
      </c>
      <c r="J6" s="9">
        <f>IFERROR(__xludf.DUMMYFUNCTION("D6/REGEXEXTRACT(I6,""-?\d+(?:\.\d+)?"")"),282.91)</f>
        <v>282.91</v>
      </c>
      <c r="K6" s="10">
        <f>IFERROR(__xludf.DUMMYFUNCTION("H6/REGEXEXTRACT(I6,""-?\d+(?:\.\d+)?"")"),319.05)</f>
        <v>319.05</v>
      </c>
    </row>
    <row r="7">
      <c r="B7" s="7" t="s">
        <v>300</v>
      </c>
      <c r="C7" s="1" t="s">
        <v>110</v>
      </c>
      <c r="D7" s="8" t="s">
        <v>301</v>
      </c>
      <c r="E7" s="8" t="s">
        <v>35</v>
      </c>
      <c r="F7" s="8" t="s">
        <v>302</v>
      </c>
      <c r="G7" s="8" t="s">
        <v>57</v>
      </c>
      <c r="H7" s="8" t="s">
        <v>303</v>
      </c>
      <c r="I7" s="1" t="s">
        <v>114</v>
      </c>
      <c r="J7" s="9">
        <f>IFERROR(__xludf.DUMMYFUNCTION("D7/REGEXEXTRACT(I7,""-?\d+(?:\.\d+)?"")"),626.1128246050523)</f>
        <v>626.1128246</v>
      </c>
      <c r="K7" s="10">
        <f>IFERROR(__xludf.DUMMYFUNCTION("H7/REGEXEXTRACT(I7,""-?\d+(?:\.\d+)?"")"),693.6183692860618)</f>
        <v>693.6183693</v>
      </c>
    </row>
    <row r="8">
      <c r="B8" s="7" t="s">
        <v>304</v>
      </c>
      <c r="J8" s="9" t="str">
        <f>IFERROR(__xludf.DUMMYFUNCTION("D8/REGEXEXTRACT(I8,""-?\d+(?:\.\d+)?"")"),"#N/A")</f>
        <v>#N/A</v>
      </c>
      <c r="K8" s="10"/>
    </row>
    <row r="9">
      <c r="J9" s="1" t="s">
        <v>16</v>
      </c>
      <c r="K9" s="2">
        <f>AVERAGE(K1:K8)</f>
        <v>322.8971012</v>
      </c>
    </row>
    <row r="10">
      <c r="J10" s="1" t="s">
        <v>17</v>
      </c>
      <c r="K10" s="2">
        <f>_xlfn.STDEV.S(K2:K8)</f>
        <v>261.3108373</v>
      </c>
    </row>
    <row r="11">
      <c r="J11" s="1" t="s">
        <v>61</v>
      </c>
      <c r="K11" s="4">
        <f>K10/K9</f>
        <v>0.8092696908</v>
      </c>
    </row>
  </sheetData>
  <hyperlinks>
    <hyperlink r:id="rId1" location="q=grapefruit%2Bessential%2Boil&amp;lang=default&amp;start=1" ref="B2"/>
    <hyperlink r:id="rId2" ref="B3"/>
    <hyperlink r:id="rId3" ref="B4"/>
    <hyperlink r:id="rId4" ref="B6"/>
    <hyperlink r:id="rId5" ref="B7"/>
    <hyperlink r:id="rId6" ref="B8"/>
  </hyperlinks>
  <drawing r:id="rId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305</v>
      </c>
      <c r="J2" s="9" t="str">
        <f>IFERROR(__xludf.DUMMYFUNCTION("D2/REGEXEXTRACT(I2,""-?\d+(?:\.\d+)?"")"),"#N/A")</f>
        <v>#N/A</v>
      </c>
      <c r="K2" s="10"/>
    </row>
    <row r="3">
      <c r="B3" s="7" t="s">
        <v>306</v>
      </c>
      <c r="C3" s="1" t="s">
        <v>145</v>
      </c>
      <c r="D3" s="8" t="s">
        <v>307</v>
      </c>
      <c r="E3" s="8" t="s">
        <v>35</v>
      </c>
      <c r="F3" s="8" t="s">
        <v>308</v>
      </c>
      <c r="G3" s="8" t="s">
        <v>242</v>
      </c>
      <c r="H3" s="8" t="s">
        <v>309</v>
      </c>
      <c r="I3" s="1" t="s">
        <v>149</v>
      </c>
      <c r="J3" s="9">
        <f>IFERROR(__xludf.DUMMYFUNCTION("D3/REGEXEXTRACT(I3,""-?\d+(?:\.\d+)?"")"),2321.2824325065258)</f>
        <v>2321.282433</v>
      </c>
      <c r="K3" s="10">
        <f>IFERROR(__xludf.DUMMYFUNCTION("H3/REGEXEXTRACT(I3,""-?\d+(?:\.\d+)?"")"),2508.961956304512)</f>
        <v>2508.961956</v>
      </c>
    </row>
    <row r="4">
      <c r="B4" s="7" t="s">
        <v>310</v>
      </c>
      <c r="J4" s="9" t="str">
        <f>IFERROR(__xludf.DUMMYFUNCTION("D4/REGEXEXTRACT(I4,""-?\d+(?:\.\d+)?"")"),"#N/A")</f>
        <v>#N/A</v>
      </c>
      <c r="K4" s="10"/>
    </row>
    <row r="5">
      <c r="B5" s="11"/>
      <c r="J5" s="9" t="str">
        <f>IFERROR(__xludf.DUMMYFUNCTION("D5/REGEXEXTRACT(I5,""-?\d+(?:\.\d+)?"")"),"#N/A")</f>
        <v>#N/A</v>
      </c>
      <c r="K5" s="10"/>
    </row>
    <row r="6">
      <c r="B6" s="7" t="s">
        <v>311</v>
      </c>
      <c r="C6" s="1" t="s">
        <v>312</v>
      </c>
      <c r="D6" s="8" t="s">
        <v>313</v>
      </c>
      <c r="E6" s="8" t="s">
        <v>35</v>
      </c>
      <c r="F6" s="8" t="s">
        <v>35</v>
      </c>
      <c r="G6" s="8" t="s">
        <v>106</v>
      </c>
      <c r="H6" s="8" t="s">
        <v>314</v>
      </c>
      <c r="I6" s="1" t="s">
        <v>315</v>
      </c>
      <c r="J6" s="9">
        <f>IFERROR(__xludf.DUMMYFUNCTION("D6/REGEXEXTRACT(I6,""-?\d+(?:\.\d+)?"")"),616.5888548786656)</f>
        <v>616.5888549</v>
      </c>
      <c r="K6" s="10">
        <f>IFERROR(__xludf.DUMMYFUNCTION("H6/REGEXEXTRACT(I6,""-?\d+(?:\.\d+)?"")"),846.8396415045518)</f>
        <v>846.8396415</v>
      </c>
    </row>
    <row r="7">
      <c r="B7" s="7" t="s">
        <v>316</v>
      </c>
      <c r="C7" s="1" t="s">
        <v>312</v>
      </c>
      <c r="D7" s="8" t="s">
        <v>317</v>
      </c>
      <c r="E7" s="8" t="s">
        <v>35</v>
      </c>
      <c r="F7" s="8" t="s">
        <v>318</v>
      </c>
      <c r="G7" s="8" t="s">
        <v>57</v>
      </c>
      <c r="H7" s="8" t="s">
        <v>319</v>
      </c>
      <c r="I7" s="1" t="s">
        <v>315</v>
      </c>
      <c r="J7" s="9">
        <f>IFERROR(__xludf.DUMMYFUNCTION("D7/REGEXEXTRACT(I7,""-?\d+(?:\.\d+)?"")"),5546.83051657152)</f>
        <v>5546.830517</v>
      </c>
      <c r="K7" s="10">
        <f>IFERROR(__xludf.DUMMYFUNCTION("H7/REGEXEXTRACT(I7,""-?\d+(?:\.\d+)?"")"),6052.659130928503)</f>
        <v>6052.659131</v>
      </c>
    </row>
    <row r="8">
      <c r="B8" s="7" t="s">
        <v>320</v>
      </c>
      <c r="C8" s="1" t="s">
        <v>321</v>
      </c>
      <c r="D8" s="8" t="s">
        <v>322</v>
      </c>
      <c r="E8" s="8" t="s">
        <v>91</v>
      </c>
      <c r="F8" s="8" t="s">
        <v>323</v>
      </c>
      <c r="G8" s="8" t="s">
        <v>35</v>
      </c>
      <c r="H8" s="8" t="s">
        <v>324</v>
      </c>
      <c r="I8" s="1" t="s">
        <v>325</v>
      </c>
      <c r="J8" s="9">
        <f>IFERROR(__xludf.DUMMYFUNCTION("D8/REGEXEXTRACT(I8,""-?\d+(?:\.\d+)?"")"),57.125299528296736)</f>
        <v>57.12529953</v>
      </c>
      <c r="K8" s="10">
        <f>IFERROR(__xludf.DUMMYFUNCTION("H8/REGEXEXTRACT(I8,""\d+"")"),64.03727272727272)</f>
        <v>64.03727273</v>
      </c>
    </row>
    <row r="9">
      <c r="J9" s="1" t="s">
        <v>16</v>
      </c>
      <c r="K9" s="2">
        <f>AVERAGE(K1:K8)</f>
        <v>2368.1245</v>
      </c>
    </row>
    <row r="10">
      <c r="J10" s="1" t="s">
        <v>17</v>
      </c>
      <c r="K10" s="2">
        <f>_xlfn.STDEV.S(K2:K8)</f>
        <v>2659.495955</v>
      </c>
    </row>
    <row r="11">
      <c r="J11" s="1" t="s">
        <v>61</v>
      </c>
      <c r="K11" s="4">
        <f>K10/K9</f>
        <v>1.123038909</v>
      </c>
    </row>
  </sheetData>
  <hyperlinks>
    <hyperlink r:id="rId1" location="q=chamomile%2Bessential%2Boil&amp;lang=default&amp;start=1" ref="B2"/>
    <hyperlink r:id="rId2" ref="B3"/>
    <hyperlink r:id="rId3" ref="B4"/>
    <hyperlink r:id="rId4" ref="B6"/>
    <hyperlink r:id="rId5" ref="B7"/>
    <hyperlink r:id="rId6" ref="B8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19</v>
      </c>
      <c r="B2" s="2">
        <f>0.94*35.274</f>
        <v>33.15756</v>
      </c>
      <c r="C2" s="2">
        <f>0.38/0.029574</f>
        <v>12.84912423</v>
      </c>
      <c r="D2" s="2">
        <f>5.5*2.20462</f>
        <v>12.12541</v>
      </c>
      <c r="E2" s="2">
        <f>0.41*33.81</f>
        <v>13.8621</v>
      </c>
      <c r="F2" s="2">
        <f>0.55*33.81</f>
        <v>18.5955</v>
      </c>
      <c r="G2" s="2">
        <f>42/5*2.02</f>
        <v>16.968</v>
      </c>
      <c r="H2" s="2">
        <f>67.95/5*2.2</f>
        <v>29.898</v>
      </c>
      <c r="I2" s="2">
        <f>35/5*2.2</f>
        <v>15.4</v>
      </c>
      <c r="J2" s="2">
        <f>22/2*2.2</f>
        <v>24.2</v>
      </c>
      <c r="K2" s="2">
        <f>42/5*2.2</f>
        <v>18.48</v>
      </c>
      <c r="L2" s="2">
        <f>3.7*33.81</f>
        <v>125.097</v>
      </c>
      <c r="M2" s="2">
        <f>6.8*33.8</f>
        <v>229.84</v>
      </c>
      <c r="N2" s="2">
        <f>11.5*33.8</f>
        <v>388.7</v>
      </c>
      <c r="O2" s="2">
        <f>3.25*33.81</f>
        <v>109.8825</v>
      </c>
      <c r="P2" s="2">
        <f>2.25*33.81</f>
        <v>76.0725</v>
      </c>
    </row>
    <row r="3">
      <c r="A3" s="1" t="s">
        <v>20</v>
      </c>
      <c r="B3" s="2">
        <f>50/3.17515</f>
        <v>15.74728753</v>
      </c>
      <c r="C3" s="2">
        <f>6.44*2.20462</f>
        <v>14.1977528</v>
      </c>
      <c r="D3" s="2">
        <f>0.3*33.81</f>
        <v>10.143</v>
      </c>
      <c r="E3" s="5">
        <f>0.48*33.81</f>
        <v>16.2288</v>
      </c>
      <c r="F3" s="2">
        <f>81.39/7*2.2</f>
        <v>25.57971429</v>
      </c>
      <c r="G3" s="2">
        <f>53/5*2.2</f>
        <v>23.32</v>
      </c>
      <c r="H3" s="2">
        <f>50/5*2.2</f>
        <v>22</v>
      </c>
      <c r="I3" s="2">
        <f>29/7*2.2</f>
        <v>9.114285714</v>
      </c>
      <c r="J3" s="2">
        <f>33/3*2.2</f>
        <v>24.2</v>
      </c>
      <c r="K3" s="2">
        <f>43.5/5*2.2</f>
        <v>19.14</v>
      </c>
      <c r="L3" s="2">
        <f>7.9*33.81</f>
        <v>267.099</v>
      </c>
      <c r="M3" s="2">
        <f>3.74*33.8</f>
        <v>126.412</v>
      </c>
      <c r="N3" s="2">
        <f>9.94*33.8</f>
        <v>335.972</v>
      </c>
      <c r="O3" s="2">
        <f>4.45*33.81</f>
        <v>150.4545</v>
      </c>
      <c r="P3" s="2">
        <f>4.24*33.81</f>
        <v>143.3544</v>
      </c>
    </row>
    <row r="4">
      <c r="A4" s="1" t="s">
        <v>16</v>
      </c>
      <c r="B4" s="2">
        <f t="shared" ref="B4:P4" si="1">AVERAGE(B2:B3)</f>
        <v>24.45242376</v>
      </c>
      <c r="C4" s="2">
        <f t="shared" si="1"/>
        <v>13.52343852</v>
      </c>
      <c r="D4" s="2">
        <f t="shared" si="1"/>
        <v>11.134205</v>
      </c>
      <c r="E4" s="2">
        <f t="shared" si="1"/>
        <v>15.04545</v>
      </c>
      <c r="F4" s="2">
        <f t="shared" si="1"/>
        <v>22.08760714</v>
      </c>
      <c r="G4" s="2">
        <f t="shared" si="1"/>
        <v>20.144</v>
      </c>
      <c r="H4" s="2">
        <f t="shared" si="1"/>
        <v>25.949</v>
      </c>
      <c r="I4" s="2">
        <f t="shared" si="1"/>
        <v>12.25714286</v>
      </c>
      <c r="J4" s="2">
        <f t="shared" si="1"/>
        <v>24.2</v>
      </c>
      <c r="K4" s="2">
        <f t="shared" si="1"/>
        <v>18.81</v>
      </c>
      <c r="L4" s="2">
        <f t="shared" si="1"/>
        <v>196.098</v>
      </c>
      <c r="M4" s="2">
        <f t="shared" si="1"/>
        <v>178.126</v>
      </c>
      <c r="N4" s="2">
        <f t="shared" si="1"/>
        <v>362.336</v>
      </c>
      <c r="O4" s="2">
        <f t="shared" si="1"/>
        <v>130.1685</v>
      </c>
      <c r="P4" s="2">
        <f t="shared" si="1"/>
        <v>109.71345</v>
      </c>
    </row>
    <row r="5">
      <c r="A5" s="1" t="s">
        <v>17</v>
      </c>
      <c r="B5" s="2">
        <f t="shared" ref="B5:P5" si="2">STDEV(B2:B3)</f>
        <v>12.31092173</v>
      </c>
      <c r="C5" s="2">
        <f t="shared" si="2"/>
        <v>0.9536244066</v>
      </c>
      <c r="D5" s="2">
        <f t="shared" si="2"/>
        <v>1.401775554</v>
      </c>
      <c r="E5" s="2">
        <f t="shared" si="2"/>
        <v>1.673509619</v>
      </c>
      <c r="F5" s="2">
        <f t="shared" si="2"/>
        <v>4.938585283</v>
      </c>
      <c r="G5" s="2">
        <f t="shared" si="2"/>
        <v>4.491542274</v>
      </c>
      <c r="H5" s="2">
        <f t="shared" si="2"/>
        <v>5.584729358</v>
      </c>
      <c r="I5" s="2">
        <f t="shared" si="2"/>
        <v>4.444671196</v>
      </c>
      <c r="J5" s="2">
        <f t="shared" si="2"/>
        <v>0</v>
      </c>
      <c r="K5" s="2">
        <f t="shared" si="2"/>
        <v>0.4666904756</v>
      </c>
      <c r="L5" s="2">
        <f t="shared" si="2"/>
        <v>100.4105771</v>
      </c>
      <c r="M5" s="2">
        <f t="shared" si="2"/>
        <v>73.13464016</v>
      </c>
      <c r="N5" s="2">
        <f t="shared" si="2"/>
        <v>37.28432636</v>
      </c>
      <c r="O5" s="2">
        <f t="shared" si="2"/>
        <v>28.68873633</v>
      </c>
      <c r="P5" s="2">
        <f t="shared" si="2"/>
        <v>47.57548774</v>
      </c>
    </row>
    <row r="6">
      <c r="A6" s="3" t="s">
        <v>18</v>
      </c>
      <c r="B6" s="4">
        <f t="shared" ref="B6:P6" si="3">B5/B4</f>
        <v>0.5034642719</v>
      </c>
      <c r="C6" s="4">
        <f t="shared" si="3"/>
        <v>0.0705164153</v>
      </c>
      <c r="D6" s="4">
        <f t="shared" si="3"/>
        <v>0.1258981269</v>
      </c>
      <c r="E6" s="4">
        <f t="shared" si="3"/>
        <v>0.1112302802</v>
      </c>
      <c r="F6" s="4">
        <f t="shared" si="3"/>
        <v>0.2235907788</v>
      </c>
      <c r="G6" s="4">
        <f t="shared" si="3"/>
        <v>0.2229717173</v>
      </c>
      <c r="H6" s="4">
        <f t="shared" si="3"/>
        <v>0.2152194442</v>
      </c>
      <c r="I6" s="4">
        <f t="shared" si="3"/>
        <v>0.3626188621</v>
      </c>
      <c r="J6" s="4">
        <f t="shared" si="3"/>
        <v>0</v>
      </c>
      <c r="K6" s="4">
        <f t="shared" si="3"/>
        <v>0.02481076425</v>
      </c>
      <c r="L6" s="4">
        <f t="shared" si="3"/>
        <v>0.5120428415</v>
      </c>
      <c r="M6" s="4">
        <f t="shared" si="3"/>
        <v>0.410578131</v>
      </c>
      <c r="N6" s="4">
        <f t="shared" si="3"/>
        <v>0.1028998674</v>
      </c>
      <c r="O6" s="4">
        <f t="shared" si="3"/>
        <v>0.2203969188</v>
      </c>
      <c r="P6" s="4">
        <f t="shared" si="3"/>
        <v>0.4336340507</v>
      </c>
      <c r="Q6" s="4"/>
      <c r="R6" s="4"/>
      <c r="S6" s="4"/>
      <c r="T6" s="4"/>
      <c r="U6" s="4"/>
      <c r="V6" s="4"/>
      <c r="W6" s="4"/>
      <c r="X6" s="4"/>
      <c r="Y6" s="4"/>
      <c r="Z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8.0"/>
    <col customWidth="1" min="10" max="10" width="16.86"/>
    <col customWidth="1" min="11" max="11" width="29.43"/>
  </cols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32</v>
      </c>
      <c r="C2" s="1" t="s">
        <v>33</v>
      </c>
      <c r="D2" s="8" t="s">
        <v>34</v>
      </c>
      <c r="E2" s="8" t="s">
        <v>35</v>
      </c>
      <c r="F2" s="8" t="s">
        <v>35</v>
      </c>
      <c r="G2" s="8" t="s">
        <v>36</v>
      </c>
      <c r="H2" s="8" t="s">
        <v>37</v>
      </c>
      <c r="I2" s="1" t="s">
        <v>38</v>
      </c>
      <c r="J2" s="9">
        <f>IFERROR(__xludf.DUMMYFUNCTION("D2/REGEXEXTRACT(I2,""-?\d+(?:\.\d+)?"")"),11.964801914862141)</f>
        <v>11.96480191</v>
      </c>
      <c r="K2" s="10">
        <f>IFERROR(__xludf.DUMMYFUNCTION("H2/REGEXEXTRACT(I2,""-?\d+(?:\.\d+)?"")"),15.722108754670126)</f>
        <v>15.72210875</v>
      </c>
    </row>
    <row r="3">
      <c r="B3" s="7" t="s">
        <v>39</v>
      </c>
      <c r="C3" s="1" t="s">
        <v>40</v>
      </c>
      <c r="D3" s="8" t="s">
        <v>41</v>
      </c>
      <c r="E3" s="8" t="s">
        <v>35</v>
      </c>
      <c r="F3" s="8" t="s">
        <v>42</v>
      </c>
      <c r="G3" s="8" t="s">
        <v>43</v>
      </c>
      <c r="H3" s="8" t="s">
        <v>44</v>
      </c>
      <c r="I3" s="1" t="s">
        <v>45</v>
      </c>
      <c r="J3" s="9">
        <f>IFERROR(__xludf.DUMMYFUNCTION("D3/REGEXEXTRACT(I3,""-?\d+(?:\.\d+)?"")"),7.407532009411886)</f>
        <v>7.407532009</v>
      </c>
      <c r="K3" s="10">
        <f>IFERROR(__xludf.DUMMYFUNCTION("H3/REGEXEXTRACT(I3,""-?\d+(?:\.\d+)?"")"),13.589293841075852)</f>
        <v>13.58929384</v>
      </c>
    </row>
    <row r="4">
      <c r="B4" s="7" t="s">
        <v>46</v>
      </c>
      <c r="J4" s="9" t="str">
        <f>IFERROR(__xludf.DUMMYFUNCTION("D4/REGEXEXTRACT(I4,""-?\d+(?:\.\d+)?"")"),"#N/A")</f>
        <v>#N/A</v>
      </c>
      <c r="K4" s="10"/>
    </row>
    <row r="5">
      <c r="B5" s="11"/>
      <c r="J5" s="9" t="str">
        <f>IFERROR(__xludf.DUMMYFUNCTION("D5/REGEXEXTRACT(I5,""-?\d+(?:\.\d+)?"")"),"#N/A")</f>
        <v>#N/A</v>
      </c>
      <c r="K5" s="10"/>
    </row>
    <row r="6">
      <c r="B6" s="7" t="s">
        <v>47</v>
      </c>
      <c r="C6" s="1" t="s">
        <v>48</v>
      </c>
      <c r="D6" s="8" t="s">
        <v>49</v>
      </c>
      <c r="E6" s="8" t="s">
        <v>35</v>
      </c>
      <c r="F6" s="8" t="s">
        <v>35</v>
      </c>
      <c r="G6" s="8" t="s">
        <v>50</v>
      </c>
      <c r="H6" s="8" t="s">
        <v>51</v>
      </c>
      <c r="I6" s="1" t="s">
        <v>52</v>
      </c>
      <c r="J6" s="9">
        <f>IFERROR(__xludf.DUMMYFUNCTION("D6/REGEXEXTRACT(I6,""-?\d+(?:\.\d+)?"")"),16597.930049662507)</f>
        <v>16597.93005</v>
      </c>
      <c r="K6" s="10"/>
    </row>
    <row r="7">
      <c r="B7" s="7" t="s">
        <v>53</v>
      </c>
      <c r="C7" s="1" t="s">
        <v>54</v>
      </c>
      <c r="D7" s="8" t="s">
        <v>55</v>
      </c>
      <c r="E7" s="8" t="s">
        <v>35</v>
      </c>
      <c r="F7" s="8" t="s">
        <v>56</v>
      </c>
      <c r="G7" s="8" t="s">
        <v>57</v>
      </c>
      <c r="H7" s="8" t="s">
        <v>58</v>
      </c>
      <c r="I7" s="1" t="s">
        <v>59</v>
      </c>
      <c r="J7" s="9">
        <f>IFERROR(__xludf.DUMMYFUNCTION("D7/REGEXEXTRACT(I7,""-?\d+(?:\.\d+)?"")"),25.904315806723115)</f>
        <v>25.90431581</v>
      </c>
      <c r="K7" s="10">
        <f>IFERROR(__xludf.DUMMYFUNCTION("H7/REGEXEXTRACT(I7,""-?\d+(?:\.\d+)?"")"),32.66148414268961)</f>
        <v>32.66148414</v>
      </c>
    </row>
    <row r="8">
      <c r="B8" s="7" t="s">
        <v>60</v>
      </c>
      <c r="J8" s="9" t="str">
        <f>IFERROR(__xludf.DUMMYFUNCTION("D8/REGEXEXTRACT(I8,""-?\d+(?:\.\d+)?"")"),"#N/A")</f>
        <v>#N/A</v>
      </c>
      <c r="K8" s="10"/>
    </row>
    <row r="9">
      <c r="J9" s="1" t="s">
        <v>16</v>
      </c>
      <c r="K9" s="2">
        <f>AVERAGE(K1:K8)</f>
        <v>20.65762891</v>
      </c>
    </row>
    <row r="10">
      <c r="J10" s="1" t="s">
        <v>17</v>
      </c>
      <c r="K10" s="2">
        <f>_xlfn.STDEV.S(K2:K8)</f>
        <v>10.45019761</v>
      </c>
    </row>
    <row r="11">
      <c r="J11" s="1" t="s">
        <v>61</v>
      </c>
      <c r="K11" s="4">
        <f>K10/K9</f>
        <v>0.5058759482</v>
      </c>
    </row>
  </sheetData>
  <hyperlinks>
    <hyperlink r:id="rId1" location="q=sweet%2Balmond%2Boil&amp;lang=default&amp;start=1" ref="B2"/>
    <hyperlink r:id="rId2" ref="B3"/>
    <hyperlink r:id="rId3" ref="B4"/>
    <hyperlink r:id="rId4" ref="B6"/>
    <hyperlink r:id="rId5" ref="B7"/>
    <hyperlink r:id="rId6" ref="B8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62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 t="s">
        <v>63</v>
      </c>
      <c r="B2" s="11" t="s">
        <v>64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 t="s">
        <v>65</v>
      </c>
      <c r="B3" s="11" t="s">
        <v>66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 t="s">
        <v>67</v>
      </c>
      <c r="B4" s="11" t="s">
        <v>68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 t="s">
        <v>69</v>
      </c>
      <c r="B5" s="11" t="s">
        <v>70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 t="s">
        <v>71</v>
      </c>
      <c r="B6" s="12">
        <v>92673.0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A2" s="7"/>
      <c r="B2" s="7" t="s">
        <v>72</v>
      </c>
      <c r="C2" s="1" t="s">
        <v>33</v>
      </c>
      <c r="D2" s="8" t="s">
        <v>73</v>
      </c>
      <c r="E2" s="8" t="s">
        <v>35</v>
      </c>
      <c r="F2" s="8" t="s">
        <v>35</v>
      </c>
      <c r="G2" s="8" t="s">
        <v>36</v>
      </c>
      <c r="H2" s="8" t="s">
        <v>74</v>
      </c>
      <c r="I2" s="1" t="s">
        <v>38</v>
      </c>
      <c r="J2" s="9">
        <f>IFERROR(__xludf.DUMMYFUNCTION("D2/REGEXEXTRACT(I2,""-?\d+(?:\.\d+)?"")"),9.445233204177825)</f>
        <v>9.445233204</v>
      </c>
      <c r="K2" s="10">
        <f>IFERROR(__xludf.DUMMYFUNCTION("H2/REGEXEXTRACT(I2,""-?\d+(?:\.\d+)?"")"),13.202540043985811)</f>
        <v>13.20254004</v>
      </c>
    </row>
    <row r="3">
      <c r="A3" s="7"/>
      <c r="B3" s="7" t="s">
        <v>75</v>
      </c>
      <c r="C3" s="1" t="s">
        <v>40</v>
      </c>
      <c r="D3" s="8" t="s">
        <v>76</v>
      </c>
      <c r="E3" s="8" t="s">
        <v>35</v>
      </c>
      <c r="F3" s="8" t="s">
        <v>77</v>
      </c>
      <c r="G3" s="8" t="s">
        <v>43</v>
      </c>
      <c r="H3" s="8" t="s">
        <v>78</v>
      </c>
      <c r="I3" s="1" t="s">
        <v>45</v>
      </c>
      <c r="J3" s="9">
        <f>IFERROR(__xludf.DUMMYFUNCTION("D3/REGEXEXTRACT(I3,""-?\d+(?:\.\d+)?"")"),6.025968499719987)</f>
        <v>6.0259685</v>
      </c>
      <c r="K3" s="10">
        <f>IFERROR(__xludf.DUMMYFUNCTION("H3/REGEXEXTRACT(I3,""-?\d+(?:\.\d+)?"")"),12.101908445535214)</f>
        <v>12.10190845</v>
      </c>
    </row>
    <row r="4">
      <c r="A4" s="7"/>
      <c r="B4" s="7" t="s">
        <v>79</v>
      </c>
      <c r="C4" s="1" t="s">
        <v>80</v>
      </c>
      <c r="D4" s="8" t="s">
        <v>81</v>
      </c>
      <c r="E4" s="8" t="s">
        <v>35</v>
      </c>
      <c r="F4" s="8" t="s">
        <v>35</v>
      </c>
      <c r="G4" s="8" t="s">
        <v>82</v>
      </c>
      <c r="H4" s="8" t="s">
        <v>83</v>
      </c>
      <c r="I4" s="1" t="s">
        <v>80</v>
      </c>
      <c r="J4" s="9">
        <f>IFERROR(__xludf.DUMMYFUNCTION("D4/REGEXEXTRACT(I4,""-?\d+(?:\.\d+)?"")"),7.351428571428571)</f>
        <v>7.351428571</v>
      </c>
      <c r="K4" s="10">
        <f>IFERROR(__xludf.DUMMYFUNCTION("H4/REGEXEXTRACT(I4,""-?\d+(?:\.\d+)?"")"),14.588571428571429)</f>
        <v>14.58857143</v>
      </c>
    </row>
    <row r="5">
      <c r="A5" s="7"/>
      <c r="B5" s="7" t="s">
        <v>84</v>
      </c>
      <c r="J5" s="9" t="str">
        <f>IFERROR(__xludf.DUMMYFUNCTION("D5/REGEXEXTRACT(I5,""-?\d+(?:\.\d+)?"")"),"#N/A")</f>
        <v>#N/A</v>
      </c>
      <c r="K5" s="10"/>
    </row>
    <row r="6">
      <c r="A6" s="7"/>
      <c r="B6" s="7" t="s">
        <v>85</v>
      </c>
      <c r="C6" s="1" t="s">
        <v>48</v>
      </c>
      <c r="D6" s="8" t="s">
        <v>86</v>
      </c>
      <c r="E6" s="8" t="s">
        <v>35</v>
      </c>
      <c r="F6" s="8" t="s">
        <v>35</v>
      </c>
      <c r="G6" s="8" t="s">
        <v>87</v>
      </c>
      <c r="H6" s="8" t="s">
        <v>88</v>
      </c>
      <c r="I6" s="1" t="s">
        <v>52</v>
      </c>
      <c r="J6" s="9">
        <f>IFERROR(__xludf.DUMMYFUNCTION("D6/REGEXEXTRACT(I6,""-?\d+(?:\.\d+)?"")"),12941.788845025725)</f>
        <v>12941.78885</v>
      </c>
      <c r="K6" s="10"/>
    </row>
    <row r="7">
      <c r="A7" s="11"/>
      <c r="B7" s="11"/>
      <c r="J7" s="9" t="str">
        <f>IFERROR(__xludf.DUMMYFUNCTION("D7/REGEXEXTRACT(I7,""-?\d+(?:\.\d+)?"")"),"#N/A")</f>
        <v>#N/A</v>
      </c>
      <c r="K7" s="10"/>
    </row>
    <row r="8">
      <c r="A8" s="7"/>
      <c r="B8" s="7" t="s">
        <v>89</v>
      </c>
      <c r="C8" s="1" t="s">
        <v>33</v>
      </c>
      <c r="D8" s="8" t="s">
        <v>90</v>
      </c>
      <c r="E8" s="8" t="s">
        <v>91</v>
      </c>
      <c r="F8" s="8" t="s">
        <v>92</v>
      </c>
      <c r="G8" s="8" t="s">
        <v>35</v>
      </c>
      <c r="H8" s="8" t="s">
        <v>93</v>
      </c>
      <c r="I8" s="1" t="s">
        <v>38</v>
      </c>
      <c r="J8" s="9">
        <f>IFERROR(__xludf.DUMMYFUNCTION("D8/REGEXEXTRACT(I8,""-?\d+(?:\.\d+)?"")"),10.109769451620815)</f>
        <v>10.10976945</v>
      </c>
      <c r="K8" s="10">
        <f>IFERROR(__xludf.DUMMYFUNCTION("H8/REGEXEXTRACT(I8,""\d+"")"),13.666666666666666)</f>
        <v>13.66666667</v>
      </c>
    </row>
    <row r="9">
      <c r="J9" s="2" t="s">
        <v>16</v>
      </c>
      <c r="K9" s="2">
        <f>AVERAGE(K1:K8)</f>
        <v>13.38992165</v>
      </c>
    </row>
    <row r="10">
      <c r="J10" s="2" t="s">
        <v>17</v>
      </c>
      <c r="K10" s="2">
        <f>_xlfn.STDEV.S(K2:K8)</f>
        <v>1.033995322</v>
      </c>
    </row>
    <row r="11">
      <c r="J11" s="2" t="s">
        <v>61</v>
      </c>
      <c r="K11" s="2">
        <f>K10/K9</f>
        <v>0.07722190982</v>
      </c>
    </row>
  </sheetData>
  <hyperlinks>
    <hyperlink r:id="rId1" location="q=olive%2Boil%2Bpomace&amp;lang=default&amp;start=1" ref="B2"/>
    <hyperlink r:id="rId2" ref="B3"/>
    <hyperlink r:id="rId3" ref="B4"/>
    <hyperlink r:id="rId4" ref="B5"/>
    <hyperlink r:id="rId5" ref="B6"/>
    <hyperlink r:id="rId6" ref="B8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9" max="9" width="32.0"/>
    <col customWidth="1" min="10" max="10" width="23.71"/>
    <col customWidth="1" min="11" max="11" width="19.86"/>
  </cols>
  <sheetData>
    <row r="1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13" t="s">
        <v>94</v>
      </c>
      <c r="C2" s="6" t="s">
        <v>33</v>
      </c>
      <c r="D2" s="14" t="s">
        <v>95</v>
      </c>
      <c r="E2" s="14" t="s">
        <v>35</v>
      </c>
      <c r="F2" s="14" t="s">
        <v>35</v>
      </c>
      <c r="G2" s="14" t="s">
        <v>36</v>
      </c>
      <c r="H2" s="14" t="s">
        <v>96</v>
      </c>
      <c r="I2" s="6" t="s">
        <v>38</v>
      </c>
      <c r="J2" s="9">
        <f>IFERROR(__xludf.DUMMYFUNCTION("D2/REGEXEXTRACT(I2,""-?\d+(?:\.\d+)?"")"),6.295772315822432)</f>
        <v>6.295772316</v>
      </c>
      <c r="K2" s="10">
        <f>IFERROR(__xludf.DUMMYFUNCTION("H2/REGEXEXTRACT(I2,""-?\d+(?:\.\d+)?"")"),10.053079155630417)</f>
        <v>10.05307916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13" t="s">
        <v>97</v>
      </c>
      <c r="C3" s="6" t="s">
        <v>33</v>
      </c>
      <c r="D3" s="14" t="s">
        <v>98</v>
      </c>
      <c r="E3" s="14" t="s">
        <v>35</v>
      </c>
      <c r="F3" s="14" t="s">
        <v>99</v>
      </c>
      <c r="G3" s="14" t="s">
        <v>43</v>
      </c>
      <c r="H3" s="14" t="s">
        <v>100</v>
      </c>
      <c r="I3" s="6" t="s">
        <v>38</v>
      </c>
      <c r="J3" s="9">
        <f>IFERROR(__xludf.DUMMYFUNCTION("D3/REGEXEXTRACT(I3,""-?\d+(?:\.\d+)?"")"),7.353991174309845)</f>
        <v>7.353991174</v>
      </c>
      <c r="K3" s="10">
        <f>IFERROR(__xludf.DUMMYFUNCTION("H3/REGEXEXTRACT(I3,""-?\d+(?:\.\d+)?"")"),13.933214970084263)</f>
        <v>13.93321497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13" t="s">
        <v>101</v>
      </c>
      <c r="C4" s="6"/>
      <c r="D4" s="6"/>
      <c r="E4" s="6"/>
      <c r="F4" s="6"/>
      <c r="G4" s="6"/>
      <c r="H4" s="6"/>
      <c r="I4" s="6"/>
      <c r="J4" s="9" t="str">
        <f>IFERROR(__xludf.DUMMYFUNCTION("D4/REGEXEXTRACT(I4,""-?\d+(?:\.\d+)?"")"),"#N/A")</f>
        <v>#N/A</v>
      </c>
      <c r="K4" s="1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15" t="s">
        <v>102</v>
      </c>
      <c r="C5" s="9"/>
      <c r="D5" s="9"/>
      <c r="E5" s="9"/>
      <c r="F5" s="9"/>
      <c r="G5" s="9"/>
      <c r="H5" s="9"/>
      <c r="I5" s="9"/>
      <c r="J5" s="9" t="str">
        <f>IFERROR(__xludf.DUMMYFUNCTION("D5/REGEXEXTRACT(I5,""-?\d+(?:\.\d+)?"")"),"#N/A")</f>
        <v>#N/A</v>
      </c>
      <c r="K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15" t="s">
        <v>103</v>
      </c>
      <c r="C6" s="6" t="s">
        <v>104</v>
      </c>
      <c r="D6" s="14" t="s">
        <v>105</v>
      </c>
      <c r="E6" s="14" t="s">
        <v>35</v>
      </c>
      <c r="F6" s="14" t="s">
        <v>35</v>
      </c>
      <c r="G6" s="14" t="s">
        <v>106</v>
      </c>
      <c r="H6" s="14" t="s">
        <v>107</v>
      </c>
      <c r="I6" s="6" t="s">
        <v>108</v>
      </c>
      <c r="J6" s="9">
        <f>IFERROR(__xludf.DUMMYFUNCTION("D6/REGEXEXTRACT(I6,""-?\d+(?:\.\d+)?"")"),22116.48422342421)</f>
        <v>22116.48422</v>
      </c>
      <c r="K6" s="1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15" t="s">
        <v>109</v>
      </c>
      <c r="C7" s="6" t="s">
        <v>110</v>
      </c>
      <c r="D7" s="14" t="s">
        <v>111</v>
      </c>
      <c r="E7" s="14" t="s">
        <v>35</v>
      </c>
      <c r="F7" s="14" t="s">
        <v>112</v>
      </c>
      <c r="G7" s="14" t="s">
        <v>57</v>
      </c>
      <c r="H7" s="14" t="s">
        <v>113</v>
      </c>
      <c r="I7" s="6" t="s">
        <v>114</v>
      </c>
      <c r="J7" s="9">
        <f>IFERROR(__xludf.DUMMYFUNCTION("D7/REGEXEXTRACT(I7,""-?\d+(?:\.\d+)?"")"),23.148537529412145)</f>
        <v>23.14853753</v>
      </c>
      <c r="K7" s="10">
        <f>IFERROR(__xludf.DUMMYFUNCTION("H7/REGEXEXTRACT(I7,""-?\d+(?:\.\d+)?"")"),42.1303383035301)</f>
        <v>42.1303383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13" t="s">
        <v>115</v>
      </c>
      <c r="C8" s="6" t="s">
        <v>116</v>
      </c>
      <c r="D8" s="14" t="s">
        <v>117</v>
      </c>
      <c r="E8" s="14" t="s">
        <v>91</v>
      </c>
      <c r="F8" s="14" t="s">
        <v>118</v>
      </c>
      <c r="G8" s="14" t="s">
        <v>35</v>
      </c>
      <c r="H8" s="14" t="s">
        <v>119</v>
      </c>
      <c r="I8" s="6" t="s">
        <v>120</v>
      </c>
      <c r="J8" s="9">
        <f>IFERROR(__xludf.DUMMYFUNCTION("D8/REGEXEXTRACT(I8,""-?\d+(?:\.\d+)?"")"),12.285259560252301)</f>
        <v>12.28525956</v>
      </c>
      <c r="K8" s="10">
        <f>IFERROR(__xludf.DUMMYFUNCTION("H8/REGEXEXTRACT(I8,""\d+"")"),18.146666666666665)</f>
        <v>18.14666667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1" t="s">
        <v>16</v>
      </c>
      <c r="K9" s="2">
        <f>AVERAGE(K1:K8)</f>
        <v>21.06582477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1" t="s">
        <v>17</v>
      </c>
      <c r="K10" s="2">
        <f>_xlfn.STDEV.S(K2:K8)</f>
        <v>14.42671022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1" t="s">
        <v>61</v>
      </c>
      <c r="K11" s="4">
        <f>K10/K9</f>
        <v>0.6848395622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 t="str">
        <f>IFERROR(__xludf.DUMMYFUNCTION("REGEXEXTRACT(I7,""-?\d+(?:\.\d+)?"")"),"0.4535923700000001")</f>
        <v>0.4535923700000001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location="q=coconut%2Boil&amp;lang=default&amp;start=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/>
      <c r="J2" s="9" t="str">
        <f>IFERROR(__xludf.DUMMYFUNCTION("D2/REGEXEXTRACT(I2,""-?\d+(?:\.\d+)?"")"),"#N/A")</f>
        <v>#N/A</v>
      </c>
      <c r="K2" s="10" t="str">
        <f>IFERROR(__xludf.DUMMYFUNCTION("H2/REGEXEXTRACT(I2,""-?\d+(?:\.\d+)?"")"),"#N/A")</f>
        <v>#N/A</v>
      </c>
    </row>
    <row r="3">
      <c r="B3" s="7"/>
      <c r="J3" s="9" t="str">
        <f>IFERROR(__xludf.DUMMYFUNCTION("D3/REGEXEXTRACT(I3,""-?\d+(?:\.\d+)?"")"),"#N/A")</f>
        <v>#N/A</v>
      </c>
      <c r="K3" s="10" t="str">
        <f>IFERROR(__xludf.DUMMYFUNCTION("H3/REGEXEXTRACT(I3,""-?\d+(?:\.\d+)?"")"),"#N/A")</f>
        <v>#N/A</v>
      </c>
    </row>
    <row r="4">
      <c r="B4" s="7"/>
      <c r="J4" s="9" t="str">
        <f>IFERROR(__xludf.DUMMYFUNCTION("D4/REGEXEXTRACT(I4,""-?\d+(?:\.\d+)?"")"),"#N/A")</f>
        <v>#N/A</v>
      </c>
      <c r="K4" s="10" t="str">
        <f>IFERROR(__xludf.DUMMYFUNCTION("H4/REGEXEXTRACT(I4,""-?\d+(?:\.\d+)?"")"),"#N/A")</f>
        <v>#N/A</v>
      </c>
    </row>
    <row r="5">
      <c r="B5" s="11"/>
      <c r="J5" s="9" t="str">
        <f>IFERROR(__xludf.DUMMYFUNCTION("D5/REGEXEXTRACT(I5,""-?\d+(?:\.\d+)?"")"),"#N/A")</f>
        <v>#N/A</v>
      </c>
      <c r="K5" s="10" t="str">
        <f>IFERROR(__xludf.DUMMYFUNCTION("H5/REGEXEXTRACT(I5,""-?\d+(?:\.\d+)?"")"),"#N/A")</f>
        <v>#N/A</v>
      </c>
    </row>
    <row r="6">
      <c r="B6" s="7"/>
      <c r="J6" s="9" t="str">
        <f>IFERROR(__xludf.DUMMYFUNCTION("D6/REGEXEXTRACT(I6,""-?\d+(?:\.\d+)?"")"),"#N/A")</f>
        <v>#N/A</v>
      </c>
      <c r="K6" s="10" t="str">
        <f>IFERROR(__xludf.DUMMYFUNCTION("H6/REGEXEXTRACT(I6,""-?\d+(?:\.\d+)?"")"),"#N/A")</f>
        <v>#N/A</v>
      </c>
    </row>
    <row r="7">
      <c r="B7" s="7"/>
      <c r="J7" s="9" t="str">
        <f>IFERROR(__xludf.DUMMYFUNCTION("D7/REGEXEXTRACT(I7,""-?\d+(?:\.\d+)?"")"),"#N/A")</f>
        <v>#N/A</v>
      </c>
      <c r="K7" s="10" t="str">
        <f>IFERROR(__xludf.DUMMYFUNCTION("H7/REGEXEXTRACT(I7,""-?\d+(?:\.\d+)?"")"),"#N/A")</f>
        <v>#N/A</v>
      </c>
    </row>
    <row r="8">
      <c r="B8" s="7"/>
      <c r="J8" s="9" t="str">
        <f>IFERROR(__xludf.DUMMYFUNCTION("D8/REGEXEXTRACT(I8,""-?\d+(?:\.\d+)?"")"),"#N/A")</f>
        <v>#N/A</v>
      </c>
      <c r="K8" s="10" t="str">
        <f>IFERROR(__xludf.DUMMYFUNCTION("H8/REGEXEXTRACT(I8,""\d+"")"),"#N/A")</f>
        <v>#N/A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7" t="s">
        <v>121</v>
      </c>
      <c r="C2" s="1" t="s">
        <v>122</v>
      </c>
      <c r="D2" s="8" t="s">
        <v>123</v>
      </c>
      <c r="E2" s="8" t="s">
        <v>35</v>
      </c>
      <c r="F2" s="8" t="s">
        <v>35</v>
      </c>
      <c r="G2" s="8" t="s">
        <v>124</v>
      </c>
      <c r="H2" s="8" t="s">
        <v>125</v>
      </c>
      <c r="I2" s="1" t="s">
        <v>126</v>
      </c>
      <c r="J2" s="9">
        <f>IFERROR(__xludf.DUMMYFUNCTION("D2/REGEXEXTRACT(I2,""-?\d+(?:\.\d+)?"")"),17.531760349656516)</f>
        <v>17.53176035</v>
      </c>
      <c r="K2" s="10">
        <f>IFERROR(__xludf.DUMMYFUNCTION("H2/REGEXEXTRACT(I2,""-?\d+(?:\.\d+)?"")"),22.90803324339228)</f>
        <v>22.90803324</v>
      </c>
    </row>
    <row r="3">
      <c r="B3" s="11"/>
      <c r="J3" s="9" t="str">
        <f>IFERROR(__xludf.DUMMYFUNCTION("D3/REGEXEXTRACT(I3,""-?\d+(?:\.\d+)?"")"),"#N/A")</f>
        <v>#N/A</v>
      </c>
      <c r="K3" s="10"/>
    </row>
    <row r="4">
      <c r="B4" s="7" t="s">
        <v>127</v>
      </c>
      <c r="C4" s="1" t="s">
        <v>80</v>
      </c>
      <c r="D4" s="8" t="s">
        <v>128</v>
      </c>
      <c r="E4" s="8" t="s">
        <v>35</v>
      </c>
      <c r="F4" s="8" t="s">
        <v>35</v>
      </c>
      <c r="G4" s="8" t="s">
        <v>82</v>
      </c>
      <c r="H4" s="8" t="s">
        <v>129</v>
      </c>
      <c r="I4" s="1" t="s">
        <v>80</v>
      </c>
      <c r="J4" s="9">
        <f>IFERROR(__xludf.DUMMYFUNCTION("D4/REGEXEXTRACT(I4,""-?\d+(?:\.\d+)?"")"),9.4)</f>
        <v>9.4</v>
      </c>
      <c r="K4" s="10">
        <f>IFERROR(__xludf.DUMMYFUNCTION("H4/REGEXEXTRACT(I4,""-?\d+(?:\.\d+)?"")"),16.637142857142855)</f>
        <v>16.63714286</v>
      </c>
    </row>
    <row r="5">
      <c r="B5" s="11"/>
      <c r="J5" s="9" t="str">
        <f>IFERROR(__xludf.DUMMYFUNCTION("D5/REGEXEXTRACT(I5,""-?\d+(?:\.\d+)?"")"),"#N/A")</f>
        <v>#N/A</v>
      </c>
      <c r="K5" s="10"/>
    </row>
    <row r="6">
      <c r="B6" s="11"/>
      <c r="J6" s="9" t="str">
        <f>IFERROR(__xludf.DUMMYFUNCTION("D6/REGEXEXTRACT(I6,""-?\d+(?:\.\d+)?"")"),"#N/A")</f>
        <v>#N/A</v>
      </c>
      <c r="K6" s="10"/>
    </row>
    <row r="7">
      <c r="B7" s="7" t="s">
        <v>130</v>
      </c>
      <c r="C7" s="1" t="s">
        <v>131</v>
      </c>
      <c r="D7" s="8" t="s">
        <v>132</v>
      </c>
      <c r="E7" s="8" t="s">
        <v>35</v>
      </c>
      <c r="F7" s="8" t="s">
        <v>112</v>
      </c>
      <c r="G7" s="8" t="s">
        <v>57</v>
      </c>
      <c r="H7" s="8" t="s">
        <v>133</v>
      </c>
      <c r="I7" s="1" t="s">
        <v>134</v>
      </c>
      <c r="J7" s="9">
        <f>IFERROR(__xludf.DUMMYFUNCTION("D7/REGEXEXTRACT(I7,""-?\d+(?:\.\d+)?"")"),11.298690936974975)</f>
        <v>11.29869094</v>
      </c>
      <c r="K7" s="10">
        <f>IFERROR(__xludf.DUMMYFUNCTION("H7/REGEXEXTRACT(I7,""-?\d+(?:\.\d+)?"")"),20.789591324033953)</f>
        <v>20.78959132</v>
      </c>
    </row>
    <row r="8">
      <c r="B8" s="11"/>
      <c r="J8" s="9" t="str">
        <f>IFERROR(__xludf.DUMMYFUNCTION("D8/REGEXEXTRACT(I8,""-?\d+(?:\.\d+)?"")"),"#N/A")</f>
        <v>#N/A</v>
      </c>
      <c r="K8" s="10"/>
    </row>
    <row r="9">
      <c r="J9" s="2" t="s">
        <v>16</v>
      </c>
      <c r="K9" s="2">
        <f>AVERAGE(K1:K8)</f>
        <v>20.11158914</v>
      </c>
    </row>
    <row r="10">
      <c r="J10" s="2" t="s">
        <v>17</v>
      </c>
      <c r="K10" s="2">
        <f>_xlfn.STDEV.S(K2:K8)</f>
        <v>3.189950122</v>
      </c>
    </row>
    <row r="11">
      <c r="J11" s="2" t="s">
        <v>61</v>
      </c>
      <c r="K11" s="2">
        <f>K10/K9</f>
        <v>0.1586125343</v>
      </c>
    </row>
  </sheetData>
  <hyperlinks>
    <hyperlink r:id="rId1" location="q=palm%2Bkernel%2Boil&amp;lang=default&amp;start=1" ref="B2"/>
    <hyperlink r:id="rId2" ref="B4"/>
    <hyperlink r:id="rId3" ref="B7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</v>
      </c>
      <c r="B1" s="6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6" t="s">
        <v>30</v>
      </c>
      <c r="K1" s="6" t="s">
        <v>31</v>
      </c>
    </row>
    <row r="2">
      <c r="B2" s="11"/>
      <c r="J2" s="9" t="str">
        <f>IFERROR(__xludf.DUMMYFUNCTION("D2/REGEXEXTRACT(I2,""-?\d+(?:\.\d+)?"")"),"#N/A")</f>
        <v>#N/A</v>
      </c>
      <c r="K2" s="10"/>
    </row>
    <row r="3">
      <c r="B3" s="7" t="s">
        <v>135</v>
      </c>
      <c r="J3" s="9" t="str">
        <f>IFERROR(__xludf.DUMMYFUNCTION("D3/REGEXEXTRACT(I3,""-?\d+(?:\.\d+)?"")"),"#N/A")</f>
        <v>#N/A</v>
      </c>
      <c r="K3" s="10"/>
    </row>
    <row r="4">
      <c r="B4" s="7" t="s">
        <v>136</v>
      </c>
      <c r="J4" s="9" t="str">
        <f>IFERROR(__xludf.DUMMYFUNCTION("D4/REGEXEXTRACT(I4,""-?\d+(?:\.\d+)?"")"),"#N/A")</f>
        <v>#N/A</v>
      </c>
      <c r="K4" s="10"/>
    </row>
    <row r="5">
      <c r="B5" s="11"/>
      <c r="J5" s="9" t="str">
        <f>IFERROR(__xludf.DUMMYFUNCTION("D5/REGEXEXTRACT(I5,""-?\d+(?:\.\d+)?"")"),"#N/A")</f>
        <v>#N/A</v>
      </c>
      <c r="K5" s="10"/>
    </row>
    <row r="6">
      <c r="B6" s="11"/>
      <c r="J6" s="9" t="str">
        <f>IFERROR(__xludf.DUMMYFUNCTION("D6/REGEXEXTRACT(I6,""-?\d+(?:\.\d+)?"")"),"#N/A")</f>
        <v>#N/A</v>
      </c>
      <c r="K6" s="10"/>
    </row>
    <row r="7">
      <c r="B7" s="7" t="s">
        <v>137</v>
      </c>
      <c r="C7" s="1" t="s">
        <v>54</v>
      </c>
      <c r="D7" s="8" t="s">
        <v>138</v>
      </c>
      <c r="E7" s="8" t="s">
        <v>35</v>
      </c>
      <c r="F7" s="8" t="s">
        <v>112</v>
      </c>
      <c r="G7" s="8" t="s">
        <v>57</v>
      </c>
      <c r="H7" s="8" t="s">
        <v>139</v>
      </c>
      <c r="I7" s="1" t="s">
        <v>59</v>
      </c>
      <c r="J7" s="9">
        <f>IFERROR(__xludf.DUMMYFUNCTION("D7/REGEXEXTRACT(I7,""-?\d+(?:\.\d+)?"")"),39.683207193277966)</f>
        <v>39.68320719</v>
      </c>
      <c r="K7" s="10">
        <f>IFERROR(__xludf.DUMMYFUNCTION("H7/REGEXEXTRACT(I7,""-?\d+(?:\.\d+)?"")"),44.42865738680745)</f>
        <v>44.42865739</v>
      </c>
    </row>
    <row r="8">
      <c r="B8" s="7" t="s">
        <v>140</v>
      </c>
      <c r="C8" s="1" t="s">
        <v>33</v>
      </c>
      <c r="D8" s="8" t="s">
        <v>141</v>
      </c>
      <c r="E8" s="8" t="s">
        <v>91</v>
      </c>
      <c r="F8" s="8" t="s">
        <v>142</v>
      </c>
      <c r="G8" s="8" t="s">
        <v>35</v>
      </c>
      <c r="H8" s="8" t="s">
        <v>143</v>
      </c>
      <c r="I8" s="1" t="s">
        <v>38</v>
      </c>
      <c r="J8" s="9">
        <f>IFERROR(__xludf.DUMMYFUNCTION("D8/REGEXEXTRACT(I8,""-?\d+(?:\.\d+)?"")"),47.21986709911242)</f>
        <v>47.2198671</v>
      </c>
      <c r="K8" s="10">
        <f>IFERROR(__xludf.DUMMYFUNCTION("H8/REGEXEXTRACT(I8,""\d+"")"),55.98666666666667)</f>
        <v>55.98666667</v>
      </c>
    </row>
    <row r="9">
      <c r="J9" s="2" t="s">
        <v>16</v>
      </c>
      <c r="K9" s="2">
        <f>AVERAGE(K1:K8)</f>
        <v>50.20766203</v>
      </c>
    </row>
    <row r="10">
      <c r="J10" s="2" t="s">
        <v>17</v>
      </c>
      <c r="K10" s="2">
        <f>_xlfn.STDEV.S(K2:K8)</f>
        <v>8.172746739</v>
      </c>
    </row>
    <row r="11">
      <c r="J11" s="2" t="s">
        <v>61</v>
      </c>
      <c r="K11" s="2">
        <f>K10/K9</f>
        <v>0.162778875</v>
      </c>
    </row>
  </sheetData>
  <hyperlinks>
    <hyperlink r:id="rId1" ref="B3"/>
    <hyperlink r:id="rId2" ref="B4"/>
    <hyperlink r:id="rId3" ref="B7"/>
    <hyperlink r:id="rId4" ref="B8"/>
  </hyperlinks>
  <drawing r:id="rId5"/>
</worksheet>
</file>