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135" windowWidth="7755" windowHeight="3870"/>
  </bookViews>
  <sheets>
    <sheet name="Sheet1" sheetId="1" r:id="rId1"/>
    <sheet name="Sheet2" sheetId="2" r:id="rId2"/>
    <sheet name="Sheet3" sheetId="4" r:id="rId3"/>
    <sheet name="Sheet4" sheetId="5" r:id="rId4"/>
  </sheets>
  <calcPr calcId="125725"/>
</workbook>
</file>

<file path=xl/calcChain.xml><?xml version="1.0" encoding="utf-8"?>
<calcChain xmlns="http://schemas.openxmlformats.org/spreadsheetml/2006/main">
  <c r="E80" i="1"/>
  <c r="E87"/>
  <c r="E88"/>
  <c r="E89"/>
  <c r="D91"/>
  <c r="H95"/>
  <c r="E118"/>
  <c r="E119"/>
  <c r="E120"/>
  <c r="C122"/>
  <c r="H127"/>
  <c r="D149"/>
  <c r="G149"/>
  <c r="I149"/>
  <c r="D150"/>
  <c r="G150"/>
  <c r="I150" s="1"/>
  <c r="D151"/>
  <c r="G151"/>
  <c r="I151" s="1"/>
  <c r="D152"/>
  <c r="G152"/>
  <c r="I152" s="1"/>
  <c r="D153"/>
  <c r="G153"/>
  <c r="I153"/>
  <c r="D154"/>
  <c r="G154"/>
  <c r="I154" s="1"/>
  <c r="D155"/>
  <c r="G155"/>
  <c r="I155"/>
  <c r="D156"/>
  <c r="G156"/>
  <c r="I156" s="1"/>
  <c r="D157"/>
  <c r="G157"/>
  <c r="I157"/>
  <c r="D158"/>
  <c r="G158"/>
  <c r="I158" s="1"/>
  <c r="D159"/>
  <c r="G159"/>
  <c r="I159"/>
  <c r="D160"/>
  <c r="G160"/>
  <c r="I160" s="1"/>
  <c r="D161"/>
  <c r="G161"/>
  <c r="I161"/>
  <c r="D162"/>
  <c r="G162"/>
  <c r="I162" s="1"/>
  <c r="D163"/>
  <c r="G163"/>
  <c r="I163"/>
  <c r="D164"/>
  <c r="G164"/>
  <c r="I164" s="1"/>
  <c r="D165"/>
  <c r="G165"/>
  <c r="I165"/>
  <c r="D166"/>
  <c r="G166"/>
  <c r="I166" s="1"/>
  <c r="D167"/>
  <c r="G167"/>
  <c r="I167"/>
  <c r="D177"/>
  <c r="F177"/>
  <c r="G177"/>
  <c r="I177"/>
  <c r="D178"/>
  <c r="E177" s="1"/>
  <c r="F178"/>
  <c r="G178"/>
  <c r="H177" s="1"/>
  <c r="I178"/>
  <c r="D179"/>
  <c r="E178" s="1"/>
  <c r="F179"/>
  <c r="G179"/>
  <c r="H178" s="1"/>
  <c r="I179"/>
  <c r="D180"/>
  <c r="E179" s="1"/>
  <c r="F180"/>
  <c r="G180"/>
  <c r="H179" s="1"/>
  <c r="I180"/>
  <c r="D181"/>
  <c r="E180" s="1"/>
  <c r="F181"/>
  <c r="G181"/>
  <c r="H180" s="1"/>
  <c r="I181"/>
  <c r="D182"/>
  <c r="E181" s="1"/>
  <c r="E182"/>
  <c r="F182"/>
  <c r="G182"/>
  <c r="H181" s="1"/>
  <c r="I182"/>
  <c r="D183"/>
  <c r="E183"/>
  <c r="F183"/>
  <c r="G183"/>
  <c r="H182" s="1"/>
  <c r="I183"/>
  <c r="D184"/>
  <c r="E184"/>
  <c r="F184"/>
  <c r="G184"/>
  <c r="H183" s="1"/>
  <c r="I184"/>
  <c r="D185"/>
  <c r="E185"/>
  <c r="F185"/>
  <c r="G185"/>
  <c r="H184" s="1"/>
  <c r="I185"/>
  <c r="D186"/>
  <c r="E186"/>
  <c r="F186"/>
  <c r="G186"/>
  <c r="H185" s="1"/>
  <c r="I186"/>
  <c r="D187"/>
  <c r="E187"/>
  <c r="F187"/>
  <c r="G187"/>
  <c r="H186" s="1"/>
  <c r="I187"/>
  <c r="D188"/>
  <c r="E188"/>
  <c r="F188"/>
  <c r="G188"/>
  <c r="H187" s="1"/>
  <c r="I188"/>
  <c r="D189"/>
  <c r="E189"/>
  <c r="F189"/>
  <c r="G189"/>
  <c r="H188" s="1"/>
  <c r="I189"/>
  <c r="D190"/>
  <c r="E190"/>
  <c r="F190"/>
  <c r="G190"/>
  <c r="H189" s="1"/>
  <c r="I190"/>
  <c r="D191"/>
  <c r="E191"/>
  <c r="F191"/>
  <c r="G191"/>
  <c r="H190" s="1"/>
  <c r="I191"/>
  <c r="D192"/>
  <c r="E192"/>
  <c r="F192"/>
  <c r="G192"/>
  <c r="H191" s="1"/>
  <c r="I192"/>
  <c r="D193"/>
  <c r="E193"/>
  <c r="F193"/>
  <c r="G193"/>
  <c r="H192" s="1"/>
  <c r="I193"/>
  <c r="D194"/>
  <c r="E194"/>
  <c r="F194"/>
  <c r="G194"/>
  <c r="H193" s="1"/>
  <c r="I194"/>
  <c r="D195"/>
  <c r="F195"/>
  <c r="G195"/>
  <c r="H194" s="1"/>
  <c r="I195"/>
  <c r="C28" i="2"/>
  <c r="C40"/>
  <c r="C45"/>
  <c r="C46"/>
  <c r="C55"/>
  <c r="C60"/>
  <c r="B72" s="1"/>
  <c r="C61"/>
  <c r="B69"/>
  <c r="B70"/>
  <c r="B71"/>
  <c r="D79"/>
  <c r="D80" s="1"/>
  <c r="D86"/>
  <c r="C97"/>
  <c r="C98"/>
  <c r="D100" s="1"/>
  <c r="D101" s="1"/>
  <c r="C128"/>
  <c r="C129"/>
  <c r="D131" s="1"/>
  <c r="D150"/>
  <c r="D152"/>
  <c r="D155"/>
  <c r="D157"/>
  <c r="C165" s="1"/>
  <c r="D168" s="1"/>
  <c r="C166"/>
  <c r="C172"/>
  <c r="C190"/>
  <c r="C191"/>
  <c r="D193"/>
  <c r="C260"/>
  <c r="I260"/>
  <c r="C261"/>
  <c r="G261"/>
  <c r="G268" s="1"/>
  <c r="F277" s="1"/>
  <c r="I261"/>
  <c r="C262"/>
  <c r="G262" s="1"/>
  <c r="I262"/>
  <c r="C263"/>
  <c r="G263"/>
  <c r="E279" s="1"/>
  <c r="F332" s="1"/>
  <c r="I263"/>
  <c r="G267"/>
  <c r="F276" s="1"/>
  <c r="E276"/>
  <c r="F329" s="1"/>
  <c r="E277"/>
  <c r="E303"/>
  <c r="C303" s="1"/>
  <c r="C329" s="1"/>
  <c r="E304"/>
  <c r="C304" s="1"/>
  <c r="E305"/>
  <c r="C305" s="1"/>
  <c r="C331" s="1"/>
  <c r="E306"/>
  <c r="C306" s="1"/>
  <c r="E307"/>
  <c r="C307" s="1"/>
  <c r="C333" s="1"/>
  <c r="D314"/>
  <c r="C314" s="1"/>
  <c r="C340" s="1"/>
  <c r="D315"/>
  <c r="C315" s="1"/>
  <c r="C341" s="1"/>
  <c r="G392" s="1"/>
  <c r="D316"/>
  <c r="C316" s="1"/>
  <c r="C342" s="1"/>
  <c r="D317"/>
  <c r="C317" s="1"/>
  <c r="C343" s="1"/>
  <c r="D318"/>
  <c r="C318" s="1"/>
  <c r="C344" s="1"/>
  <c r="C405" s="1"/>
  <c r="F330"/>
  <c r="D340"/>
  <c r="F340"/>
  <c r="G340"/>
  <c r="H340" s="1"/>
  <c r="F341"/>
  <c r="G341" s="1"/>
  <c r="D342"/>
  <c r="F342"/>
  <c r="G342"/>
  <c r="H342" s="1"/>
  <c r="F343"/>
  <c r="D344"/>
  <c r="D365"/>
  <c r="E365"/>
  <c r="D366"/>
  <c r="D367"/>
  <c r="E367"/>
  <c r="D368"/>
  <c r="D369"/>
  <c r="E369"/>
  <c r="C391"/>
  <c r="E391"/>
  <c r="G391"/>
  <c r="C392"/>
  <c r="C394"/>
  <c r="F41" i="4"/>
  <c r="G144" s="1"/>
  <c r="H144" s="1"/>
  <c r="H41"/>
  <c r="F42"/>
  <c r="H42"/>
  <c r="F43"/>
  <c r="H43"/>
  <c r="F44"/>
  <c r="H44"/>
  <c r="F45"/>
  <c r="H45"/>
  <c r="F46"/>
  <c r="H46"/>
  <c r="F47"/>
  <c r="H47"/>
  <c r="F48"/>
  <c r="H48"/>
  <c r="F49"/>
  <c r="H49"/>
  <c r="C67"/>
  <c r="C68" s="1"/>
  <c r="D77"/>
  <c r="G77"/>
  <c r="G138"/>
  <c r="F140"/>
  <c r="C142"/>
  <c r="D142"/>
  <c r="E144"/>
  <c r="C144" s="1"/>
  <c r="F144"/>
  <c r="D144" s="1"/>
  <c r="E145"/>
  <c r="I144" s="1"/>
  <c r="F145"/>
  <c r="D145" s="1"/>
  <c r="E146"/>
  <c r="I145" s="1"/>
  <c r="F146"/>
  <c r="D146" s="1"/>
  <c r="E147"/>
  <c r="I146" s="1"/>
  <c r="F147"/>
  <c r="D147" s="1"/>
  <c r="E148"/>
  <c r="I147" s="1"/>
  <c r="F148"/>
  <c r="D148" s="1"/>
  <c r="E149"/>
  <c r="I148" s="1"/>
  <c r="F149"/>
  <c r="D149" s="1"/>
  <c r="E150"/>
  <c r="I149" s="1"/>
  <c r="F150"/>
  <c r="D150" s="1"/>
  <c r="G154"/>
  <c r="F156"/>
  <c r="E161"/>
  <c r="C161" s="1"/>
  <c r="F161"/>
  <c r="D161" s="1"/>
  <c r="G161"/>
  <c r="H161"/>
  <c r="E162"/>
  <c r="I161" s="1"/>
  <c r="F162"/>
  <c r="D162" s="1"/>
  <c r="E163"/>
  <c r="I162" s="1"/>
  <c r="F163"/>
  <c r="D163" s="1"/>
  <c r="E164"/>
  <c r="I163" s="1"/>
  <c r="F164"/>
  <c r="D164" s="1"/>
  <c r="E165"/>
  <c r="I164" s="1"/>
  <c r="F165"/>
  <c r="D165" s="1"/>
  <c r="E166"/>
  <c r="I165" s="1"/>
  <c r="F166"/>
  <c r="D166" s="1"/>
  <c r="G170"/>
  <c r="F172"/>
  <c r="D174"/>
  <c r="E178"/>
  <c r="G178"/>
  <c r="E179"/>
  <c r="I178" s="1"/>
  <c r="E180"/>
  <c r="I179" s="1"/>
  <c r="E181"/>
  <c r="I180" s="1"/>
  <c r="E182"/>
  <c r="I181" s="1"/>
  <c r="G186"/>
  <c r="F188"/>
  <c r="D190"/>
  <c r="E195"/>
  <c r="C195" s="1"/>
  <c r="F195"/>
  <c r="D195" s="1"/>
  <c r="G195"/>
  <c r="H195"/>
  <c r="E196"/>
  <c r="I195" s="1"/>
  <c r="F196"/>
  <c r="D196" s="1"/>
  <c r="E197"/>
  <c r="I196" s="1"/>
  <c r="F197"/>
  <c r="D197" s="1"/>
  <c r="E198"/>
  <c r="I197" s="1"/>
  <c r="F198"/>
  <c r="D198" s="1"/>
  <c r="G202"/>
  <c r="F204"/>
  <c r="D206"/>
  <c r="E212"/>
  <c r="G212"/>
  <c r="E213"/>
  <c r="I212" s="1"/>
  <c r="E214"/>
  <c r="I213" s="1"/>
  <c r="G218"/>
  <c r="F220"/>
  <c r="D222"/>
  <c r="E229"/>
  <c r="C229" s="1"/>
  <c r="F229"/>
  <c r="D229" s="1"/>
  <c r="G229"/>
  <c r="H229"/>
  <c r="E230"/>
  <c r="I229" s="1"/>
  <c r="J229" s="1"/>
  <c r="F230"/>
  <c r="D230" s="1"/>
  <c r="G234"/>
  <c r="F236"/>
  <c r="D238"/>
  <c r="E246"/>
  <c r="G246"/>
  <c r="C256"/>
  <c r="D256"/>
  <c r="E256"/>
  <c r="F256"/>
  <c r="G256"/>
  <c r="H256"/>
  <c r="I256"/>
  <c r="C258"/>
  <c r="C259"/>
  <c r="D259"/>
  <c r="C260"/>
  <c r="D260"/>
  <c r="E260"/>
  <c r="C261"/>
  <c r="D261"/>
  <c r="E261"/>
  <c r="F261"/>
  <c r="C262"/>
  <c r="D262"/>
  <c r="E262"/>
  <c r="F262"/>
  <c r="C263"/>
  <c r="D263"/>
  <c r="E263"/>
  <c r="F263"/>
  <c r="G263"/>
  <c r="H263"/>
  <c r="C264"/>
  <c r="D264"/>
  <c r="E264"/>
  <c r="F264"/>
  <c r="G264"/>
  <c r="H264"/>
  <c r="I264"/>
  <c r="C51" i="5"/>
  <c r="D51"/>
  <c r="F51"/>
  <c r="G51"/>
  <c r="C52"/>
  <c r="D52"/>
  <c r="J52" s="1"/>
  <c r="F52"/>
  <c r="G52"/>
  <c r="H52"/>
  <c r="I52"/>
  <c r="C53"/>
  <c r="D53"/>
  <c r="J53" s="1"/>
  <c r="F53"/>
  <c r="G53"/>
  <c r="H53"/>
  <c r="I53"/>
  <c r="C54"/>
  <c r="D54"/>
  <c r="J54" s="1"/>
  <c r="F54"/>
  <c r="G54"/>
  <c r="H54"/>
  <c r="I54"/>
  <c r="C55"/>
  <c r="D55"/>
  <c r="J55" s="1"/>
  <c r="F55"/>
  <c r="G55"/>
  <c r="H55"/>
  <c r="I55"/>
  <c r="C56"/>
  <c r="D56"/>
  <c r="J56" s="1"/>
  <c r="F56"/>
  <c r="G56"/>
  <c r="H56"/>
  <c r="I56"/>
  <c r="C57"/>
  <c r="D57"/>
  <c r="J57" s="1"/>
  <c r="F57"/>
  <c r="G57"/>
  <c r="H57"/>
  <c r="I57"/>
  <c r="C58"/>
  <c r="D58"/>
  <c r="J58" s="1"/>
  <c r="F58"/>
  <c r="G58"/>
  <c r="H58"/>
  <c r="I58"/>
  <c r="C59"/>
  <c r="D59"/>
  <c r="J59" s="1"/>
  <c r="K59" s="1"/>
  <c r="G261" s="1"/>
  <c r="H261" s="1"/>
  <c r="F59"/>
  <c r="G59"/>
  <c r="H59"/>
  <c r="I59"/>
  <c r="H90"/>
  <c r="H91"/>
  <c r="H92"/>
  <c r="H93"/>
  <c r="H94"/>
  <c r="H95"/>
  <c r="G153"/>
  <c r="F155"/>
  <c r="C157"/>
  <c r="D157"/>
  <c r="F159"/>
  <c r="E160"/>
  <c r="F160"/>
  <c r="I160"/>
  <c r="C161"/>
  <c r="F161"/>
  <c r="I161"/>
  <c r="C162"/>
  <c r="F162"/>
  <c r="I162"/>
  <c r="C163"/>
  <c r="F163"/>
  <c r="I163"/>
  <c r="C164"/>
  <c r="F164"/>
  <c r="I164"/>
  <c r="C165"/>
  <c r="F165"/>
  <c r="G169"/>
  <c r="F176"/>
  <c r="C177"/>
  <c r="F177"/>
  <c r="I177"/>
  <c r="J180" s="1"/>
  <c r="C178"/>
  <c r="F178"/>
  <c r="I178"/>
  <c r="C179"/>
  <c r="F179"/>
  <c r="I179"/>
  <c r="C180"/>
  <c r="F180"/>
  <c r="I180"/>
  <c r="C181"/>
  <c r="F181"/>
  <c r="G185"/>
  <c r="D189"/>
  <c r="F193"/>
  <c r="C194"/>
  <c r="F194"/>
  <c r="I194"/>
  <c r="C195"/>
  <c r="F195"/>
  <c r="I195"/>
  <c r="C196"/>
  <c r="F196"/>
  <c r="I196"/>
  <c r="C197"/>
  <c r="F197"/>
  <c r="G201"/>
  <c r="D205"/>
  <c r="F210"/>
  <c r="C211"/>
  <c r="F211"/>
  <c r="I211"/>
  <c r="C212"/>
  <c r="F212"/>
  <c r="I212"/>
  <c r="C213"/>
  <c r="F213"/>
  <c r="G217"/>
  <c r="D221"/>
  <c r="F227"/>
  <c r="C228"/>
  <c r="F228"/>
  <c r="I228"/>
  <c r="C229"/>
  <c r="F229"/>
  <c r="G233"/>
  <c r="D237"/>
  <c r="F244"/>
  <c r="C245"/>
  <c r="F245"/>
  <c r="G249"/>
  <c r="D253"/>
  <c r="F261"/>
  <c r="C271"/>
  <c r="D271"/>
  <c r="E271"/>
  <c r="F271"/>
  <c r="G271"/>
  <c r="H271"/>
  <c r="I271"/>
  <c r="C274"/>
  <c r="C275"/>
  <c r="D275"/>
  <c r="C276"/>
  <c r="D276"/>
  <c r="E276"/>
  <c r="C277"/>
  <c r="D277"/>
  <c r="E277"/>
  <c r="F277"/>
  <c r="C278"/>
  <c r="D278"/>
  <c r="E278"/>
  <c r="F278"/>
  <c r="G278"/>
  <c r="C279"/>
  <c r="D279"/>
  <c r="E279"/>
  <c r="F279"/>
  <c r="G279"/>
  <c r="H279"/>
  <c r="K57" l="1"/>
  <c r="G227" s="1"/>
  <c r="H227" s="1"/>
  <c r="E244"/>
  <c r="K55"/>
  <c r="G193" s="1"/>
  <c r="H193" s="1"/>
  <c r="E210"/>
  <c r="K53"/>
  <c r="G159" s="1"/>
  <c r="H159" s="1"/>
  <c r="E176"/>
  <c r="K52"/>
  <c r="G89"/>
  <c r="H89" s="1"/>
  <c r="H96" s="1"/>
  <c r="C76"/>
  <c r="C77" s="1"/>
  <c r="C89"/>
  <c r="E159"/>
  <c r="J195" i="4"/>
  <c r="J196"/>
  <c r="J197"/>
  <c r="J212"/>
  <c r="J213"/>
  <c r="J178"/>
  <c r="J179"/>
  <c r="J180"/>
  <c r="J181"/>
  <c r="C69"/>
  <c r="C80"/>
  <c r="C82"/>
  <c r="C84"/>
  <c r="C86"/>
  <c r="C70"/>
  <c r="C81"/>
  <c r="C83"/>
  <c r="C85"/>
  <c r="D306" i="2"/>
  <c r="D332" s="1"/>
  <c r="C332"/>
  <c r="D304"/>
  <c r="D330" s="1"/>
  <c r="C330"/>
  <c r="E392" s="1"/>
  <c r="G276"/>
  <c r="G329"/>
  <c r="H329" s="1"/>
  <c r="D169"/>
  <c r="D176"/>
  <c r="D132"/>
  <c r="D135"/>
  <c r="D136" s="1"/>
  <c r="G393"/>
  <c r="K58" i="5"/>
  <c r="G244" s="1"/>
  <c r="H244" s="1"/>
  <c r="E261"/>
  <c r="K56"/>
  <c r="G210" s="1"/>
  <c r="H210" s="1"/>
  <c r="E227"/>
  <c r="K54"/>
  <c r="G176" s="1"/>
  <c r="H176" s="1"/>
  <c r="E193"/>
  <c r="J161" i="4"/>
  <c r="J162"/>
  <c r="J163"/>
  <c r="J164"/>
  <c r="J144"/>
  <c r="J145"/>
  <c r="J146"/>
  <c r="J147"/>
  <c r="J148"/>
  <c r="J149"/>
  <c r="H341" i="2"/>
  <c r="E366"/>
  <c r="G394"/>
  <c r="C403"/>
  <c r="G269"/>
  <c r="F278" s="1"/>
  <c r="E278"/>
  <c r="F331" s="1"/>
  <c r="C393"/>
  <c r="G277"/>
  <c r="G330"/>
  <c r="H330" s="1"/>
  <c r="I159" i="5"/>
  <c r="J165" i="4"/>
  <c r="E393" i="2"/>
  <c r="C160" i="5"/>
  <c r="G262" i="4"/>
  <c r="F246"/>
  <c r="C230"/>
  <c r="F212"/>
  <c r="C212" s="1"/>
  <c r="C198"/>
  <c r="C197"/>
  <c r="C196"/>
  <c r="F178"/>
  <c r="C166"/>
  <c r="C165"/>
  <c r="C164"/>
  <c r="C163"/>
  <c r="C162"/>
  <c r="C150"/>
  <c r="C149"/>
  <c r="C148"/>
  <c r="C147"/>
  <c r="C146"/>
  <c r="C145"/>
  <c r="H77"/>
  <c r="E77"/>
  <c r="G343" i="2"/>
  <c r="D343"/>
  <c r="C404" s="1"/>
  <c r="D341"/>
  <c r="D307"/>
  <c r="D333" s="1"/>
  <c r="D305"/>
  <c r="D331" s="1"/>
  <c r="D303"/>
  <c r="D329" s="1"/>
  <c r="G270"/>
  <c r="F279" s="1"/>
  <c r="C171"/>
  <c r="D174" s="1"/>
  <c r="D175" s="1"/>
  <c r="G279" l="1"/>
  <c r="G332"/>
  <c r="H332" s="1"/>
  <c r="H343"/>
  <c r="E368"/>
  <c r="D178" i="4"/>
  <c r="H178"/>
  <c r="F179"/>
  <c r="J159" i="5"/>
  <c r="J160"/>
  <c r="J161"/>
  <c r="J162"/>
  <c r="J163"/>
  <c r="J164"/>
  <c r="C193"/>
  <c r="I193"/>
  <c r="E275"/>
  <c r="I227"/>
  <c r="C227"/>
  <c r="G277"/>
  <c r="C261"/>
  <c r="I279"/>
  <c r="C409" i="2"/>
  <c r="C411"/>
  <c r="E394"/>
  <c r="C415"/>
  <c r="C417"/>
  <c r="D85" i="4"/>
  <c r="E85"/>
  <c r="H85" s="1"/>
  <c r="G85" s="1"/>
  <c r="D81"/>
  <c r="E81"/>
  <c r="H81" s="1"/>
  <c r="G81" s="1"/>
  <c r="D86"/>
  <c r="E86" s="1"/>
  <c r="H86" s="1"/>
  <c r="G86" s="1"/>
  <c r="D82"/>
  <c r="E82" s="1"/>
  <c r="H82" s="1"/>
  <c r="G82" s="1"/>
  <c r="C159" i="5"/>
  <c r="C273"/>
  <c r="C79"/>
  <c r="C78"/>
  <c r="D212" i="4"/>
  <c r="H212"/>
  <c r="F213"/>
  <c r="D246"/>
  <c r="H246"/>
  <c r="G278" i="2"/>
  <c r="G331"/>
  <c r="H331" s="1"/>
  <c r="C416"/>
  <c r="C410"/>
  <c r="D83" i="4"/>
  <c r="E83" s="1"/>
  <c r="H83" s="1"/>
  <c r="G83" s="1"/>
  <c r="E84"/>
  <c r="H84" s="1"/>
  <c r="G84" s="1"/>
  <c r="D84"/>
  <c r="E80"/>
  <c r="H80" s="1"/>
  <c r="G80" s="1"/>
  <c r="D80"/>
  <c r="C90" i="5"/>
  <c r="E89"/>
  <c r="E90" s="1"/>
  <c r="E91" s="1"/>
  <c r="E92" s="1"/>
  <c r="E93" s="1"/>
  <c r="E94" s="1"/>
  <c r="E95" s="1"/>
  <c r="I176"/>
  <c r="C176"/>
  <c r="D274"/>
  <c r="I210"/>
  <c r="C210"/>
  <c r="F276"/>
  <c r="I244"/>
  <c r="J244" s="1"/>
  <c r="H278"/>
  <c r="C244"/>
  <c r="C247" s="1"/>
  <c r="F247"/>
  <c r="C178" i="4"/>
  <c r="C246"/>
  <c r="J210" i="5" l="1"/>
  <c r="J211"/>
  <c r="J212"/>
  <c r="J176"/>
  <c r="J177"/>
  <c r="J178"/>
  <c r="J179"/>
  <c r="C91"/>
  <c r="D90"/>
  <c r="D213" i="4"/>
  <c r="F214"/>
  <c r="C213"/>
  <c r="J227" i="5"/>
  <c r="J228"/>
  <c r="J194"/>
  <c r="J195"/>
  <c r="J196"/>
  <c r="J193"/>
  <c r="D179" i="4"/>
  <c r="F180"/>
  <c r="C179"/>
  <c r="G87"/>
  <c r="D87"/>
  <c r="D89" i="5"/>
  <c r="C92" l="1"/>
  <c r="D91"/>
  <c r="D214" i="4"/>
  <c r="C214"/>
  <c r="D180"/>
  <c r="F181"/>
  <c r="C180"/>
  <c r="D181" l="1"/>
  <c r="F182"/>
  <c r="C181"/>
  <c r="C93" i="5"/>
  <c r="D92"/>
  <c r="C94" l="1"/>
  <c r="D93"/>
  <c r="D182" i="4"/>
  <c r="C182"/>
  <c r="C95" i="5" l="1"/>
  <c r="D95" s="1"/>
  <c r="D96" s="1"/>
  <c r="D94"/>
</calcChain>
</file>

<file path=xl/sharedStrings.xml><?xml version="1.0" encoding="utf-8"?>
<sst xmlns="http://schemas.openxmlformats.org/spreadsheetml/2006/main" count="1961" uniqueCount="593">
  <si>
    <t>Example 2 in SFAS 133.</t>
  </si>
  <si>
    <t xml:space="preserve">A swap curve is a yield curve for the fair market value of a swap.  In the table </t>
  </si>
  <si>
    <t>consistent with the present value and future value data in the table.  Note that the</t>
  </si>
  <si>
    <t>Quarter t amortization is always equal to the assumed change in the swap's fair</t>
  </si>
  <si>
    <t>value.  You can derive the swap (spot) rates using Excel's RATE function.</t>
  </si>
  <si>
    <t>yield.xls tutorial on yield curve derivations, especially Sheet2 of yield.xls.</t>
  </si>
  <si>
    <t>Paragraph 137 Data of SFAS 133 (No ineffectiveness)</t>
  </si>
  <si>
    <t>LIBOR</t>
  </si>
  <si>
    <t>Variable</t>
  </si>
  <si>
    <t>Bond &amp;</t>
  </si>
  <si>
    <t>Bond</t>
  </si>
  <si>
    <t>Net</t>
  </si>
  <si>
    <t>Swap's</t>
  </si>
  <si>
    <t>Plus</t>
  </si>
  <si>
    <t xml:space="preserve"> Rate</t>
  </si>
  <si>
    <t>Revenue</t>
  </si>
  <si>
    <t>03/31/x2</t>
  </si>
  <si>
    <t>09/30x2</t>
  </si>
  <si>
    <t>Fair Value Hedge of a Commodity Inventory</t>
  </si>
  <si>
    <t xml:space="preserve">   SFAS 133 replaces the Exposure Draft publication Number 162-B, June 1996</t>
  </si>
  <si>
    <t>Example 5 of SFAS 133,  Page 73, Paragraphs 1.129 and 133</t>
  </si>
  <si>
    <t>SFAS 133 Paragraph 129.</t>
  </si>
  <si>
    <t xml:space="preserve">At inception of the hedge, the expected sales price of 100,000 bushels of Commodity A </t>
  </si>
  <si>
    <t>Bob Jensen's web site is at http://www.trinity.edu/rjensen</t>
  </si>
  <si>
    <t>http://WWW.Trinity.edu/rjensen/acct5341/speakers/133glosf.htm</t>
  </si>
  <si>
    <t xml:space="preserve">is $1,100,000.  On the last day of period 1, the fair value of Derivative Z has </t>
  </si>
  <si>
    <t xml:space="preserve">increased by $25,000, and the expected sales price of 100,000 bushels of Commodity A </t>
  </si>
  <si>
    <t xml:space="preserve">has decreased by $25,000.  Both the sale of 100,000 bushels of Commodity A and the </t>
  </si>
  <si>
    <t>the accounting, including the net impact on earnings and other comprehensive income</t>
  </si>
  <si>
    <t>(OCI), for the situation described above.</t>
  </si>
  <si>
    <t>SFAS 133 Paragraph 133.</t>
  </si>
  <si>
    <t xml:space="preserve">On July 1, 20X1, XYZ Company invests $10,000,000 in variable-rate corporate bonds that </t>
  </si>
  <si>
    <t xml:space="preserve">pay interest quarterly at a rate equal to the 3-month US$ LIBOR rate plus 2.25 percent.  </t>
  </si>
  <si>
    <t>The $10,000,000 principal will be repaid on June 30, 20X3.</t>
  </si>
  <si>
    <t>SFAS 133 Terminology is defined and linked in Bob Jensen's SFAS 133 Glossary</t>
  </si>
  <si>
    <t>settlement of Derivative Z occur on the last day of period 1.  The data below illustrate</t>
  </si>
  <si>
    <t>Basic data for Example 5 are shown in the table below:</t>
  </si>
  <si>
    <t>Quarter 2</t>
  </si>
  <si>
    <t>Payment</t>
  </si>
  <si>
    <t>Accrual</t>
  </si>
  <si>
    <t>Quarter 3</t>
  </si>
  <si>
    <t>Beginning</t>
  </si>
  <si>
    <t>Quarter 4</t>
  </si>
  <si>
    <t>Quarter 5</t>
  </si>
  <si>
    <t>Quarter 6</t>
  </si>
  <si>
    <t>Quarter 7</t>
  </si>
  <si>
    <t>Quarter 8</t>
  </si>
  <si>
    <r>
      <t xml:space="preserve">the Example 2 solution provided by the FASB.  </t>
    </r>
    <r>
      <rPr>
        <b/>
        <i/>
        <sz val="10"/>
        <rFont val="Arial"/>
        <family val="2"/>
      </rPr>
      <t>Ceteris-paribus</t>
    </r>
    <r>
      <rPr>
        <b/>
        <sz val="10"/>
        <rFont val="Arial"/>
        <family val="2"/>
      </rPr>
      <t>, seven payments</t>
    </r>
  </si>
  <si>
    <t>of $156 must accumulate to ($1,149).  The interest rate that will allow payments of</t>
  </si>
  <si>
    <t xml:space="preserve">$156 to accumulate to this value can be computed from Excel'a RATE function.  If </t>
  </si>
  <si>
    <t xml:space="preserve">the rate is known, however, Excel's PMT function can be used to computer the </t>
  </si>
  <si>
    <t>amortization amount.  These calculations for Quarter 2 are as follows:</t>
  </si>
  <si>
    <t>= present value of $156.34 for seven periods at the 1.62% quarterly rate</t>
  </si>
  <si>
    <t>= quarterly rate for $156.34 to accumulate to ($1,149)</t>
  </si>
  <si>
    <t>= future value of $156.34 for seven periods at the 1.62% quarterly rate</t>
  </si>
  <si>
    <t xml:space="preserve">    Quarter 2's $1,149 Amortization</t>
  </si>
  <si>
    <t xml:space="preserve">  Quarter 2's $1,149 Amortization</t>
  </si>
  <si>
    <t>Curve</t>
  </si>
  <si>
    <t xml:space="preserve">    Quarter 2's PV Sum =</t>
  </si>
  <si>
    <t xml:space="preserve">below, there are many possible swap curves results in a $156.34 amortization on </t>
  </si>
  <si>
    <t>12/31/x1 at the end of Quarter 2.  Two such swap curves are shown below:</t>
  </si>
  <si>
    <t>Hence, the FASB's Example 2 solution could be generated by an infinite number</t>
  </si>
  <si>
    <t>of imaginative swap curves such as the two illustrated above.</t>
  </si>
  <si>
    <t xml:space="preserve">In the table below, see if you can derive the swap (yield) curve for seven quarters </t>
  </si>
  <si>
    <t>Create a chart showing the swap curves that you think were assumed by the FASB</t>
  </si>
  <si>
    <t>in the solution to Example 2 of SFAS 133 for Quarters 2-8 of Example 2.</t>
  </si>
  <si>
    <t>horizontal line.  This contrary to term structure of interest rates that usually</t>
  </si>
  <si>
    <t>departs from horizontal line swap (yield) curves.</t>
  </si>
  <si>
    <t>Let's begin with a definition from Bob Jensen's SFAS 133 Glossary at</t>
  </si>
  <si>
    <t>Yield Curve =</t>
  </si>
  <si>
    <t>the graphical relationship between yield and time of maturity of debt or investments</t>
  </si>
  <si>
    <t xml:space="preserve">in financial instruments.  In the case of interest rate swaps, yield curves are also </t>
  </si>
  <si>
    <t>Tutorial on the Derivation of Single-Period and Multi-Period Forward Rates</t>
  </si>
  <si>
    <t>Example 5 of SFAS 133,  pp. 72-76, Paragraphs 131-138.</t>
  </si>
  <si>
    <t>that can be used to derive the amortization's given in the FASB's solution to</t>
  </si>
  <si>
    <t>In a similar manner amortization's and accruals are derived for succeeding tables.</t>
  </si>
  <si>
    <t>On July 1, 20X1, ABC Company borrows $1,000,000 to be repaid on June30, 20X3</t>
  </si>
  <si>
    <t>The Quarter 1 change in swap value is ($1,149) with a $156 Quarter 2 amortization in</t>
  </si>
  <si>
    <t>six similar tables  for succeeding quarters.  Note that the $1,149 swap</t>
  </si>
  <si>
    <t>value in Quarter 1 is analyzed as the beginning balance in the Quarter 2 table.</t>
  </si>
  <si>
    <t xml:space="preserve">given the PV and FV values.  In the solution below, the PV and FV values are </t>
  </si>
  <si>
    <t>Derivations of one-year and multi-period forward rates are explained in the</t>
  </si>
  <si>
    <t>Interest accruals are illustrated in the FASB's Paragraph 117 solution to</t>
  </si>
  <si>
    <t>four year note, four single-year notes, or any concatenation thereof across the four-</t>
  </si>
  <si>
    <t>note and achieve a Year 3 return of $957.  Rolling that $957 for one more year at</t>
  </si>
  <si>
    <t xml:space="preserve">called swap curves.  Forward yield (or swap) curves are used to value many types of </t>
  </si>
  <si>
    <t xml:space="preserve">In practice, investors and auditors often rely upon the Bloomberg swaps curve estimations.   </t>
  </si>
  <si>
    <t>iteratively in the following formula:</t>
  </si>
  <si>
    <t>Fill in the missing parts of the table below in  the range marked in solid</t>
  </si>
  <si>
    <t>of Series 1 and 2 spot rates (yields) on the ordinate and maturity on the abscissa.</t>
  </si>
  <si>
    <t xml:space="preserve">derivative financial instruments.   If time is plotted on the abscissa, the yield is </t>
  </si>
  <si>
    <t xml:space="preserve">usually upward sloping due to term structure of interest rates.  Term structure is an </t>
  </si>
  <si>
    <t>empirically observed phenomenon that yields vary with dates to maturity. </t>
  </si>
  <si>
    <t xml:space="preserve">SFAS 133 refers to yield curves at various points such as in Paragraphs 112 and 319.   </t>
  </si>
  <si>
    <t xml:space="preserve">They are also referred to by analogy at various points such as in Paragraphs 162 and </t>
  </si>
  <si>
    <t xml:space="preserve">428.  Financial service firms obtain yield curves by plotting the yields of default-free </t>
  </si>
  <si>
    <t xml:space="preserve">coupon bonds in a given currency against maturity or duration. Yields on debt instruments </t>
  </si>
  <si>
    <t xml:space="preserve">of lower quality are expressed in terms of a spread relative to the default-free yield </t>
  </si>
  <si>
    <t xml:space="preserve">curve.   Paragraph 112 of SFAS 113 refers to the "zero-coupon method."   This method is </t>
  </si>
  <si>
    <t xml:space="preserve">based upon the term structure of spot default-free zero coupon rates.  The interest rate </t>
  </si>
  <si>
    <t xml:space="preserve">for a specific forward period calculated from the incremental period return in adjacent </t>
  </si>
  <si>
    <t xml:space="preserve">instruments. A very interesting web site on swaps curves is at </t>
  </si>
  <si>
    <t xml:space="preserve">http://www.clev.frb.org/research/JAN96ET/yiecur.htm#1b </t>
  </si>
  <si>
    <t xml:space="preserve">  </t>
  </si>
  <si>
    <t xml:space="preserve">The Quarter 1 ending swap value is $24,850 with a $25,830 Quarter 2 expected </t>
  </si>
  <si>
    <t>seven payments of $3,521 must accumulate to $24,850.  The corresponding interest</t>
  </si>
  <si>
    <t>below, there are many possible swap curves that can equate a $24,850</t>
  </si>
  <si>
    <t>present value with a $24,850 future value.  Two such swap curves are given below:</t>
  </si>
  <si>
    <t xml:space="preserve">    Quarter 2's $24,850 Swap Curve</t>
  </si>
  <si>
    <t>Quarter 2's $24,850 Swap Curve</t>
  </si>
  <si>
    <t>The most difficult thing for me in SFAS 133 has been to guess the swap curve</t>
  </si>
  <si>
    <t xml:space="preserve">actually used by the FASB for Quarter 2's interest accrual in Example 5 in </t>
  </si>
  <si>
    <t>Paragraph 137 on Page 75 of SFAS 133.  The beginning Quarter 2 swap value</t>
  </si>
  <si>
    <t>of $24,850 is supposed to be the value of cash flows for seven future quarters.</t>
  </si>
  <si>
    <t>However, in Quarter 2, the swap cash flow is $25,500 with an interest accrual</t>
  </si>
  <si>
    <t>of $330.  It makes little sense to have such a huge Quarter 2 cash flow with a</t>
  </si>
  <si>
    <t>starting swap value of only $24,850.  However, just to illustrate the way the</t>
  </si>
  <si>
    <t>accounting works, I will use the Quarter 2 table shown below.</t>
  </si>
  <si>
    <t>Warning:</t>
  </si>
  <si>
    <t>create a six additional tables for succeeding quarters.  Note that the swap</t>
  </si>
  <si>
    <t>value at the end of one quarter becomes the basis for analysis in the subsequent</t>
  </si>
  <si>
    <t>quarter.  For example, the $24,850 swap value for Quarter 1 became the basis</t>
  </si>
  <si>
    <t>for analysis in the above table for Quarter 2.</t>
  </si>
  <si>
    <t xml:space="preserve">derivation is not so important, because the swap is reset to a new value every quarter.  </t>
  </si>
  <si>
    <t>It makes a greater difference in any period when the swap value is not reset and the</t>
  </si>
  <si>
    <t xml:space="preserve">prior amortization schedule is still in effect.  This tutorial attempts to explain the </t>
  </si>
  <si>
    <t>confusing Paragraphs 112 and 131 of SFAS 133.</t>
  </si>
  <si>
    <t>in the solution to Example 2 of SFAS 133 for Quarters 2-8 of Example 5.</t>
  </si>
  <si>
    <t xml:space="preserve">The main purposes of the Example 5 exercise are to help students understand the </t>
  </si>
  <si>
    <t>The graph is somewhat hard to read, but the swap curves for each quarter</t>
  </si>
  <si>
    <t>are upward sloping for Example 5 rather than the horizontal lines derived</t>
  </si>
  <si>
    <t>in Example 2.  The upward slopes, however, are very small.</t>
  </si>
  <si>
    <t xml:space="preserve">The contact information for Bloomberg Financial Services is as follows: Bloomberg Financial </t>
  </si>
  <si>
    <t xml:space="preserve">Markets, 499 Park Avenue, New York, NY 10022; Telephone: 212-318-2000; Fax: 212-980-4585; </t>
  </si>
  <si>
    <t xml:space="preserve">E-Mail: feedback@bloomberg.com; WWW Link: &lt;http://www.bloomberg.com/&gt; and </t>
  </si>
  <si>
    <t xml:space="preserve">&lt;http://www.wsdinc.com/pgs_www/w5594.shtml&gt;. Various pricing services are available such as </t>
  </si>
  <si>
    <t xml:space="preserve">Anderson Investors Software at  http://www.wsdinc.com/products/p3430.shtml    Cutter &amp; Co. </t>
  </si>
  <si>
    <t xml:space="preserve">provides some illustrations yield curves at http://www.stocktrader.com/summary.html    </t>
  </si>
  <si>
    <t xml:space="preserve">Discussion group messages about yield curves are archived at </t>
  </si>
  <si>
    <t xml:space="preserve">http://csf.colorado.edu/mail/longwaves/current-discussion/0086.html </t>
  </si>
  <si>
    <t xml:space="preserve">Links to various sites can be found at http://www.eight.com/websites.htm    </t>
  </si>
  <si>
    <t xml:space="preserve">You may also want to view my helpers at http://WWW.Trinity.edu/~rjensen/acct5341/index.htm   </t>
  </si>
  <si>
    <t>Also see my interest rate accrual comments in the "Missing Parts of SFAS 133" document at</t>
  </si>
  <si>
    <t xml:space="preserve">http://www.trinity.edu/~rjensen/133accr.htm </t>
  </si>
  <si>
    <t>Journal Entries:  For Example 2 journal entries, go to the file 133ex02.xls Sheets 2 and 3</t>
  </si>
  <si>
    <t>At the end of Quarter 1, there are 8-1=7 quarters remaining.  In Example 5, the</t>
  </si>
  <si>
    <t>Example 5 in SFAS 133.</t>
  </si>
  <si>
    <t>Analysis of the $0 addition to swap value derived in on 12/31/x1</t>
  </si>
  <si>
    <t>Analysis of the $1,074 addition to swap value derived in on 3/31/x2</t>
  </si>
  <si>
    <t>Analysis of the $11,355 addition to swap value derived in on 6/30/x2</t>
  </si>
  <si>
    <t>Analysis of the $9,385 addition to swap value derived in on 9/30/x2</t>
  </si>
  <si>
    <t>Analysis of the $6,848 addition to swap value derived in on 12/31/x2</t>
  </si>
  <si>
    <t>Analysis of the $2,479 addition to swap value derived in on 3/31/x3</t>
  </si>
  <si>
    <t>Analysis of the $52,100 addition to addition to swap value derived in on 9/30/x1</t>
  </si>
  <si>
    <t xml:space="preserve">In the table below, see if you can derive the Quarter 2 interest accrual from </t>
  </si>
  <si>
    <t>data in the table.</t>
  </si>
  <si>
    <t xml:space="preserve">After completing the above table for the Quarter 1 addition to swap value, try to </t>
  </si>
  <si>
    <t xml:space="preserve">After completing the above table for the Quarter 1 swap value, try to create a </t>
  </si>
  <si>
    <t xml:space="preserve">It should be obvious, after working through the SFAS 133 Example 2, that the </t>
  </si>
  <si>
    <t>interest accrual is the difference between expected swap cash flow in a given</t>
  </si>
  <si>
    <t>quarter and that quarter's expected cash flow ex ante.</t>
  </si>
  <si>
    <t>confusing Paragraphs 131 and 137 of SFAS 133.  Paragraph 137 stresses that the</t>
  </si>
  <si>
    <t>Example 5 hedge is a hedge of the quarterly variable interest rate payments and</t>
  </si>
  <si>
    <t>is not a hedge of the bonds themselves.  Unlike Example 2, Example 5 does</t>
  </si>
  <si>
    <t>not require an amortization entry.  However, interest accruals are illustrated in</t>
  </si>
  <si>
    <t>Example 5 without giving the swap curve data needed to derive these accruals.</t>
  </si>
  <si>
    <t>The solution below contains one such swap curve that will derive the accrual</t>
  </si>
  <si>
    <t>in Quarter 2 for the addition of $52,100 in swap value in Quarter 1.</t>
  </si>
  <si>
    <t>Example 2 without giving the swap curve data needed to derive these accruals.</t>
  </si>
  <si>
    <t>In a similar manner amortizations and accruals are derived for succeeding tables.</t>
  </si>
  <si>
    <t>Hence, the FASB's Example 5 solution could be generated by an infinite number</t>
  </si>
  <si>
    <t>swap settlement in Quarter 2.  For illustrative purposes, however, assume that</t>
  </si>
  <si>
    <t>rate and related values are computed below:</t>
  </si>
  <si>
    <t>= quarterly rate for $7,382 to accumulate to $52,100</t>
  </si>
  <si>
    <t>= present value of $7,382 for seven periods at the 0.273% quarterly rate</t>
  </si>
  <si>
    <t>= future value of $7,382 for seven periods at the 0.273% quarterly rate</t>
  </si>
  <si>
    <t>Journal Entries:  For Example 5 journal entries, go to the file 133ex05.xls Sheets 2 and 3</t>
  </si>
  <si>
    <t>= Analysis of the change in FMV for the next seven quarters.</t>
  </si>
  <si>
    <t xml:space="preserve">Warning:  This file is best viewed in Excel software rather than in a web browser.  </t>
  </si>
  <si>
    <t>Tutorial on the Derivation of Yield Curves</t>
  </si>
  <si>
    <t>= Question Number</t>
  </si>
  <si>
    <t>Suppose a bond can be purchased for 93.25 at an annual coupon rate of 4% paid</t>
  </si>
  <si>
    <t xml:space="preserve">semi-annually on March 31 and September 30.  If the bond is purchased on </t>
  </si>
  <si>
    <t xml:space="preserve">When a bond is purchased on a coupon payment date, the yield to maturity rate </t>
  </si>
  <si>
    <t>(or effective rate or economic rate of return) is the annual rate R that equates</t>
  </si>
  <si>
    <t>the purchase price P with the redemption amount and semi-annual cash flows</t>
  </si>
  <si>
    <t>of X/2 based upon the coupon rate.  The default assumption is that the face value</t>
  </si>
  <si>
    <t>of the bond is $1,000.  Assume there are n payments remaining when the bond is</t>
  </si>
  <si>
    <t>purchased just after a coupon payment.  The yield to maturity can be solved</t>
  </si>
  <si>
    <r>
      <t>1000P = (X/2)/[1+R/2]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+ . . .  + (X/2)/[1+R/2]</t>
    </r>
    <r>
      <rPr>
        <vertAlign val="superscript"/>
        <sz val="12"/>
        <rFont val="Arial"/>
        <family val="2"/>
      </rPr>
      <t xml:space="preserve">n </t>
    </r>
    <r>
      <rPr>
        <sz val="12"/>
        <rFont val="Arial"/>
        <family val="2"/>
      </rPr>
      <t>+ ($1,000)/[1+R/2]</t>
    </r>
    <r>
      <rPr>
        <vertAlign val="superscript"/>
        <sz val="12"/>
        <rFont val="Arial"/>
        <family val="2"/>
      </rPr>
      <t>n</t>
    </r>
  </si>
  <si>
    <t xml:space="preserve"> payment dates rather than on a coupon payment date.  In other words, the bond</t>
  </si>
  <si>
    <t>The conventional way to solve this problem is to solve for R in the equation below:</t>
  </si>
  <si>
    <t>Solve the above problem when the bond purchase date is June 24 between coupon</t>
  </si>
  <si>
    <t>payment date.  Assume that the settlement price is $932.50 + accrued interest of</t>
  </si>
  <si>
    <t>This is more easily solved using the YIELD function in Excel.  If you do not have</t>
  </si>
  <si>
    <t>the yield function among your financial functions, click on the Excel menu</t>
  </si>
  <si>
    <t>choices (Tools, Add-Ins, Analysis Toolpack).  You must also use the</t>
  </si>
  <si>
    <t>DATEVALUE function to depict the key dates in the calculation.</t>
  </si>
  <si>
    <t>days since January 1, 1900</t>
  </si>
  <si>
    <t xml:space="preserve">       '9/30/2010 DATEVALUE =</t>
  </si>
  <si>
    <t>R=YIELD=</t>
  </si>
  <si>
    <t>annual APR</t>
  </si>
  <si>
    <r>
      <t>$936.50 = ($40/2)/{[1+R/2]</t>
    </r>
    <r>
      <rPr>
        <vertAlign val="superscript"/>
        <sz val="12"/>
        <rFont val="Arial"/>
        <family val="2"/>
      </rPr>
      <t>(36/180)</t>
    </r>
    <r>
      <rPr>
        <sz val="12"/>
        <rFont val="Arial"/>
        <family val="2"/>
      </rPr>
      <t>][1+R/2]</t>
    </r>
    <r>
      <rPr>
        <vertAlign val="superscript"/>
        <sz val="12"/>
        <rFont val="Arial"/>
        <family val="2"/>
      </rPr>
      <t>0</t>
    </r>
    <r>
      <rPr>
        <sz val="12"/>
        <rFont val="Arial"/>
        <family val="2"/>
      </rPr>
      <t xml:space="preserve">} + . . . </t>
    </r>
  </si>
  <si>
    <t>(36/180)($40/2) = $2.  Hence the settlement price is $936.50.  Assume 180 days</t>
  </si>
  <si>
    <t>in a coupon period with 36 days between June 24 and the September 30 payment.</t>
  </si>
  <si>
    <t>?</t>
  </si>
  <si>
    <t>Implied in the term structure at any date is a set of forward rates on roll over</t>
  </si>
  <si>
    <t>Oxford University Press, 1946),  The derived formula for the one period forward</t>
  </si>
  <si>
    <t>rate is given as follows by James C. Van Horne, Financial Market Rates and Flows,</t>
  </si>
  <si>
    <t xml:space="preserve">Edition 5, (Prentice-Hall, 199, Page 93): </t>
  </si>
  <si>
    <t>dates.  Using derivations going back to J..R. Hicks, Value and Capital (London:</t>
  </si>
  <si>
    <r>
      <t xml:space="preserve"> (1</t>
    </r>
    <r>
      <rPr>
        <sz val="10"/>
        <rFont val="Arial"/>
      </rPr>
      <t xml:space="preserve"> </t>
    </r>
    <r>
      <rPr>
        <sz val="20"/>
        <rFont val="Arial"/>
        <family val="2"/>
      </rPr>
      <t>+</t>
    </r>
    <r>
      <rPr>
        <sz val="10"/>
        <rFont val="Arial"/>
      </rPr>
      <t xml:space="preserve">  t</t>
    </r>
    <r>
      <rPr>
        <b/>
        <sz val="20"/>
        <rFont val="Arial"/>
        <family val="2"/>
      </rPr>
      <t>R</t>
    </r>
    <r>
      <rPr>
        <sz val="10"/>
        <rFont val="Arial"/>
      </rPr>
      <t>n</t>
    </r>
    <r>
      <rPr>
        <sz val="20"/>
        <rFont val="Arial"/>
        <family val="2"/>
      </rPr>
      <t>)</t>
    </r>
    <r>
      <rPr>
        <vertAlign val="superscript"/>
        <sz val="20"/>
        <rFont val="Arial"/>
        <family val="2"/>
      </rPr>
      <t>n</t>
    </r>
  </si>
  <si>
    <t>----------------  - 1</t>
  </si>
  <si>
    <t xml:space="preserve"> </t>
  </si>
  <si>
    <t xml:space="preserve">March 31, 2001 and matures on September 30, 2010, what is the annual (APR) </t>
  </si>
  <si>
    <t>yield to maturity and what are the journal entries for the purchaser on March 31,</t>
  </si>
  <si>
    <t>If the bond had been purchased on March 31, 2001, the yield to maturity across</t>
  </si>
  <si>
    <t>19 periods (9.5 years) is</t>
  </si>
  <si>
    <r>
      <t>$932.50 = ($40/2)/[1+R/2]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+ . . .  + ($40/2)/[1+R/2]</t>
    </r>
    <r>
      <rPr>
        <vertAlign val="superscript"/>
        <sz val="12"/>
        <rFont val="Arial"/>
        <family val="2"/>
      </rPr>
      <t xml:space="preserve">19 </t>
    </r>
    <r>
      <rPr>
        <sz val="12"/>
        <rFont val="Arial"/>
        <family val="2"/>
      </rPr>
      <t>+ ($1,000)/[1+R/2]</t>
    </r>
    <r>
      <rPr>
        <vertAlign val="superscript"/>
        <sz val="12"/>
        <rFont val="Arial"/>
        <family val="2"/>
      </rPr>
      <t>19</t>
    </r>
  </si>
  <si>
    <t>The Excel formula is (2)(RATE) =</t>
  </si>
  <si>
    <t xml:space="preserve">       '3/31/2001 DATEVALUE =</t>
  </si>
  <si>
    <t xml:space="preserve">       '9/30/2001 DATEVALUE =</t>
  </si>
  <si>
    <t>is purchased on June 24, 2001 with s=36 days remaining until the next coupon</t>
  </si>
  <si>
    <r>
      <t xml:space="preserve"> ($40/2)/{[1+R/2]</t>
    </r>
    <r>
      <rPr>
        <vertAlign val="superscript"/>
        <sz val="10"/>
        <rFont val="Arial"/>
        <family val="2"/>
      </rPr>
      <t>(36/180)</t>
    </r>
    <r>
      <rPr>
        <sz val="10"/>
        <rFont val="Arial"/>
      </rPr>
      <t xml:space="preserve">][1+R/2]18} + </t>
    </r>
  </si>
  <si>
    <r>
      <t xml:space="preserve"> ($1,000 + $40/2))/{[1+R/2]</t>
    </r>
    <r>
      <rPr>
        <vertAlign val="superscript"/>
        <sz val="10"/>
        <rFont val="Arial"/>
        <family val="2"/>
      </rPr>
      <t>(36/180)</t>
    </r>
    <r>
      <rPr>
        <sz val="10"/>
        <rFont val="Arial"/>
      </rPr>
      <t>][1+R/2]18}</t>
    </r>
  </si>
  <si>
    <t xml:space="preserve">       '6/24/2001 DATEVALUE =</t>
  </si>
  <si>
    <t>Date</t>
  </si>
  <si>
    <t>Account</t>
  </si>
  <si>
    <t>Investments --- Long term</t>
  </si>
  <si>
    <t>Cash</t>
  </si>
  <si>
    <t>Discount on bonds</t>
  </si>
  <si>
    <t>Debit</t>
  </si>
  <si>
    <t>Credit</t>
  </si>
  <si>
    <t>2001 for an investment in 10 bonds?  Assume a redemption of 100.</t>
  </si>
  <si>
    <t>-To record the investment in ten bonds.  This entry may be netted out.</t>
  </si>
  <si>
    <t>Prepaid interest expense ($20)(10)(36/180)</t>
  </si>
  <si>
    <t>What is the future value (FV) on September 30, 2010 of one bond mentioned above</t>
  </si>
  <si>
    <t>that is purchased on March 31, 2001?</t>
  </si>
  <si>
    <t>= number of semi-annual periods across 9.5 years</t>
  </si>
  <si>
    <t>= coupon payment on March 31 and September 30 each year</t>
  </si>
  <si>
    <t>= the redemption future value when the bond matures</t>
  </si>
  <si>
    <t>Suppose a bond can be purchased for 94.50 at an annual coupon rate of 4% paid</t>
  </si>
  <si>
    <t xml:space="preserve">March 31, 2001 and matures on March 31, 2010, what is the annual (APR) </t>
  </si>
  <si>
    <t>yield to maturity (effective or economic rate of return)?  Assume a risk free bond.</t>
  </si>
  <si>
    <t>= number of semi-annual periods across 9.0 years</t>
  </si>
  <si>
    <t xml:space="preserve">The bonds in Questions 1 and 2 above mature at different dates 19 versus 18 </t>
  </si>
  <si>
    <t>The yield to maturity expressed as an annual rate of return is also the spot rate.</t>
  </si>
  <si>
    <t>Answer</t>
  </si>
  <si>
    <t>In this context, the single period forward rate is that rate of return that will equate</t>
  </si>
  <si>
    <t>the future values of investments or loans that differ by one period in maturity.</t>
  </si>
  <si>
    <t xml:space="preserve">            =</t>
  </si>
  <si>
    <r>
      <t xml:space="preserve"> (1</t>
    </r>
    <r>
      <rPr>
        <sz val="10"/>
        <rFont val="Arial"/>
      </rPr>
      <t xml:space="preserve"> </t>
    </r>
    <r>
      <rPr>
        <sz val="20"/>
        <rFont val="Arial"/>
        <family val="2"/>
      </rPr>
      <t>+</t>
    </r>
    <r>
      <rPr>
        <sz val="10"/>
        <rFont val="Arial"/>
      </rPr>
      <t xml:space="preserve">  t</t>
    </r>
    <r>
      <rPr>
        <b/>
        <sz val="20"/>
        <rFont val="Arial"/>
        <family val="2"/>
      </rPr>
      <t>R</t>
    </r>
    <r>
      <rPr>
        <sz val="10"/>
        <rFont val="Arial"/>
      </rPr>
      <t>n+1</t>
    </r>
    <r>
      <rPr>
        <sz val="20"/>
        <rFont val="Arial"/>
        <family val="2"/>
      </rPr>
      <t>)</t>
    </r>
    <r>
      <rPr>
        <vertAlign val="superscript"/>
        <sz val="20"/>
        <rFont val="Arial"/>
        <family val="2"/>
      </rPr>
      <t>n+1</t>
    </r>
  </si>
  <si>
    <t>for the number of compounding periods.  For example C=12 for monthly and C=2</t>
  </si>
  <si>
    <t>for semi-annual compoundings.</t>
  </si>
  <si>
    <r>
      <t xml:space="preserve"> (1</t>
    </r>
    <r>
      <rPr>
        <sz val="10"/>
        <rFont val="Arial"/>
      </rPr>
      <t xml:space="preserve"> </t>
    </r>
    <r>
      <rPr>
        <sz val="20"/>
        <rFont val="Arial"/>
        <family val="2"/>
      </rPr>
      <t>+</t>
    </r>
    <r>
      <rPr>
        <sz val="10"/>
        <rFont val="Arial"/>
      </rPr>
      <t xml:space="preserve">  t</t>
    </r>
    <r>
      <rPr>
        <b/>
        <sz val="20"/>
        <rFont val="Arial"/>
        <family val="2"/>
      </rPr>
      <t>R</t>
    </r>
    <r>
      <rPr>
        <sz val="10"/>
        <rFont val="Arial"/>
      </rPr>
      <t>n+1</t>
    </r>
    <r>
      <rPr>
        <sz val="20"/>
        <rFont val="Arial"/>
        <family val="2"/>
      </rPr>
      <t>/C)</t>
    </r>
    <r>
      <rPr>
        <vertAlign val="superscript"/>
        <sz val="20"/>
        <rFont val="Arial"/>
        <family val="2"/>
      </rPr>
      <t>n+1</t>
    </r>
  </si>
  <si>
    <r>
      <t xml:space="preserve"> (1</t>
    </r>
    <r>
      <rPr>
        <sz val="10"/>
        <rFont val="Arial"/>
      </rPr>
      <t xml:space="preserve"> </t>
    </r>
    <r>
      <rPr>
        <sz val="20"/>
        <rFont val="Arial"/>
        <family val="2"/>
      </rPr>
      <t>+</t>
    </r>
    <r>
      <rPr>
        <sz val="10"/>
        <rFont val="Arial"/>
      </rPr>
      <t xml:space="preserve">  t</t>
    </r>
    <r>
      <rPr>
        <b/>
        <sz val="20"/>
        <rFont val="Arial"/>
        <family val="2"/>
      </rPr>
      <t>R</t>
    </r>
    <r>
      <rPr>
        <sz val="10"/>
        <rFont val="Arial"/>
      </rPr>
      <t>n</t>
    </r>
    <r>
      <rPr>
        <sz val="20"/>
        <rFont val="Arial"/>
        <family val="2"/>
      </rPr>
      <t>/C)</t>
    </r>
    <r>
      <rPr>
        <vertAlign val="superscript"/>
        <sz val="20"/>
        <rFont val="Arial"/>
        <family val="2"/>
      </rPr>
      <t>n</t>
    </r>
  </si>
  <si>
    <t>--------------------  - 1</t>
  </si>
  <si>
    <t>---------------------------  - 1</t>
  </si>
  <si>
    <r>
      <t>=</t>
    </r>
    <r>
      <rPr>
        <vertAlign val="subscript"/>
        <sz val="12"/>
        <rFont val="Arial"/>
        <family val="2"/>
      </rPr>
      <t xml:space="preserve"> 0</t>
    </r>
    <r>
      <rPr>
        <sz val="12"/>
        <color indexed="10"/>
        <rFont val="Arial"/>
        <family val="2"/>
      </rPr>
      <t>PV</t>
    </r>
    <r>
      <rPr>
        <vertAlign val="subscript"/>
        <sz val="12"/>
        <color indexed="8"/>
        <rFont val="Arial"/>
        <family val="2"/>
      </rPr>
      <t>19</t>
    </r>
    <r>
      <rPr>
        <sz val="12"/>
        <color indexed="10"/>
        <rFont val="Arial"/>
        <family val="2"/>
      </rPr>
      <t xml:space="preserve"> of one bond on March 31, 2001  (Time 0)</t>
    </r>
  </si>
  <si>
    <r>
      <t>=</t>
    </r>
    <r>
      <rPr>
        <vertAlign val="subscript"/>
        <sz val="12"/>
        <rFont val="Arial"/>
        <family val="2"/>
      </rPr>
      <t xml:space="preserve"> 0</t>
    </r>
    <r>
      <rPr>
        <sz val="12"/>
        <color indexed="10"/>
        <rFont val="Arial"/>
        <family val="2"/>
      </rPr>
      <t>PV</t>
    </r>
    <r>
      <rPr>
        <vertAlign val="subscript"/>
        <sz val="12"/>
        <color indexed="8"/>
        <rFont val="Arial"/>
        <family val="2"/>
      </rPr>
      <t>18</t>
    </r>
    <r>
      <rPr>
        <sz val="12"/>
        <color indexed="10"/>
        <rFont val="Arial"/>
        <family val="2"/>
      </rPr>
      <t xml:space="preserve"> of one bond on March 31, 2001  (Time 0)</t>
    </r>
  </si>
  <si>
    <r>
      <t xml:space="preserve">= </t>
    </r>
    <r>
      <rPr>
        <vertAlign val="subscript"/>
        <sz val="12"/>
        <rFont val="Arial"/>
        <family val="2"/>
      </rPr>
      <t>0</t>
    </r>
    <r>
      <rPr>
        <sz val="12"/>
        <color indexed="10"/>
        <rFont val="Arial"/>
        <family val="2"/>
      </rPr>
      <t>FV</t>
    </r>
    <r>
      <rPr>
        <vertAlign val="subscript"/>
        <sz val="12"/>
        <color indexed="8"/>
        <rFont val="Arial"/>
        <family val="2"/>
      </rPr>
      <t>18</t>
    </r>
    <r>
      <rPr>
        <sz val="12"/>
        <color indexed="10"/>
        <rFont val="Arial"/>
        <family val="2"/>
      </rPr>
      <t xml:space="preserve"> of one bond after 18 periods ending on 3/31/2010</t>
    </r>
  </si>
  <si>
    <r>
      <t xml:space="preserve">= </t>
    </r>
    <r>
      <rPr>
        <vertAlign val="subscript"/>
        <sz val="12"/>
        <rFont val="Arial"/>
        <family val="2"/>
      </rPr>
      <t>0</t>
    </r>
    <r>
      <rPr>
        <sz val="12"/>
        <color indexed="10"/>
        <rFont val="Arial"/>
        <family val="2"/>
      </rPr>
      <t>PV</t>
    </r>
    <r>
      <rPr>
        <vertAlign val="subscript"/>
        <sz val="12"/>
        <rFont val="Arial"/>
        <family val="2"/>
      </rPr>
      <t>18</t>
    </r>
    <r>
      <rPr>
        <sz val="12"/>
        <color indexed="10"/>
        <rFont val="Arial"/>
        <family val="2"/>
      </rPr>
      <t xml:space="preserve"> (1 + </t>
    </r>
    <r>
      <rPr>
        <vertAlign val="subscript"/>
        <sz val="12"/>
        <rFont val="Arial"/>
        <family val="2"/>
      </rPr>
      <t>0</t>
    </r>
    <r>
      <rPr>
        <sz val="12"/>
        <color indexed="10"/>
        <rFont val="Arial"/>
        <family val="2"/>
      </rPr>
      <t>R</t>
    </r>
    <r>
      <rPr>
        <vertAlign val="subscript"/>
        <sz val="12"/>
        <rFont val="Arial"/>
        <family val="2"/>
      </rPr>
      <t>18</t>
    </r>
    <r>
      <rPr>
        <sz val="12"/>
        <color indexed="10"/>
        <rFont val="Arial"/>
        <family val="2"/>
      </rPr>
      <t>/2)</t>
    </r>
    <r>
      <rPr>
        <vertAlign val="superscript"/>
        <sz val="12"/>
        <rFont val="Arial"/>
        <family val="2"/>
      </rPr>
      <t>18</t>
    </r>
  </si>
  <si>
    <t>Also compute the future value (FV) on March 31, 2010.</t>
  </si>
  <si>
    <r>
      <t>= the</t>
    </r>
    <r>
      <rPr>
        <vertAlign val="subscript"/>
        <sz val="12"/>
        <rFont val="Arial"/>
        <family val="2"/>
      </rPr>
      <t xml:space="preserve"> 0</t>
    </r>
    <r>
      <rPr>
        <sz val="12"/>
        <color indexed="10"/>
        <rFont val="Arial"/>
        <family val="2"/>
      </rPr>
      <t>R</t>
    </r>
    <r>
      <rPr>
        <vertAlign val="subscript"/>
        <sz val="12"/>
        <rFont val="Arial"/>
        <family val="2"/>
      </rPr>
      <t>19</t>
    </r>
    <r>
      <rPr>
        <sz val="12"/>
        <color indexed="10"/>
        <rFont val="Arial"/>
        <family val="2"/>
      </rPr>
      <t xml:space="preserve"> spot rate derived in Question 1 of Sheet 1.</t>
    </r>
  </si>
  <si>
    <r>
      <t>= the</t>
    </r>
    <r>
      <rPr>
        <vertAlign val="subscript"/>
        <sz val="12"/>
        <rFont val="Arial"/>
        <family val="2"/>
      </rPr>
      <t xml:space="preserve"> 0</t>
    </r>
    <r>
      <rPr>
        <sz val="12"/>
        <color indexed="10"/>
        <rFont val="Arial"/>
        <family val="2"/>
      </rPr>
      <t>R</t>
    </r>
    <r>
      <rPr>
        <vertAlign val="subscript"/>
        <sz val="12"/>
        <rFont val="Arial"/>
        <family val="2"/>
      </rPr>
      <t>18</t>
    </r>
    <r>
      <rPr>
        <sz val="12"/>
        <color indexed="10"/>
        <rFont val="Arial"/>
        <family val="2"/>
      </rPr>
      <t xml:space="preserve"> spot rate for the 18 period bond.</t>
    </r>
  </si>
  <si>
    <r>
      <t>0</t>
    </r>
    <r>
      <rPr>
        <sz val="16"/>
        <color indexed="10"/>
        <rFont val="Arial"/>
        <family val="2"/>
      </rPr>
      <t>FV</t>
    </r>
    <r>
      <rPr>
        <vertAlign val="subscript"/>
        <sz val="16"/>
        <rFont val="Arial"/>
        <family val="2"/>
      </rPr>
      <t>19</t>
    </r>
    <r>
      <rPr>
        <sz val="16"/>
        <rFont val="Arial"/>
        <family val="2"/>
      </rPr>
      <t xml:space="preserve"> =</t>
    </r>
  </si>
  <si>
    <r>
      <t>0</t>
    </r>
    <r>
      <rPr>
        <sz val="16"/>
        <color indexed="10"/>
        <rFont val="Arial"/>
        <family val="2"/>
      </rPr>
      <t>FV</t>
    </r>
    <r>
      <rPr>
        <vertAlign val="subscript"/>
        <sz val="16"/>
        <rFont val="Arial"/>
        <family val="2"/>
      </rPr>
      <t>18</t>
    </r>
    <r>
      <rPr>
        <sz val="16"/>
        <rFont val="Arial"/>
        <family val="2"/>
      </rPr>
      <t xml:space="preserve"> </t>
    </r>
  </si>
  <si>
    <t>The components of the above equation are calculated below:</t>
  </si>
  <si>
    <t>If the periods are C times per year, then the formula must be modified</t>
  </si>
  <si>
    <t>rate of interest" that will give them a common maturity date on September 30,</t>
  </si>
  <si>
    <r>
      <t>periods into the future.  What is the definition of an "</t>
    </r>
    <r>
      <rPr>
        <b/>
        <sz val="10"/>
        <color indexed="12"/>
        <rFont val="Arial"/>
        <family val="2"/>
      </rPr>
      <t>adjusted</t>
    </r>
    <r>
      <rPr>
        <b/>
        <sz val="10"/>
        <rFont val="Arial"/>
        <family val="2"/>
      </rPr>
      <t xml:space="preserve"> single period forward</t>
    </r>
  </si>
  <si>
    <r>
      <t>adjusted</t>
    </r>
    <r>
      <rPr>
        <sz val="12"/>
        <rFont val="Arial"/>
        <family val="2"/>
      </rPr>
      <t xml:space="preserve"> 1-period forward rate beginning at time t+n</t>
    </r>
  </si>
  <si>
    <r>
      <t>(</t>
    </r>
    <r>
      <rPr>
        <vertAlign val="subscript"/>
        <sz val="16"/>
        <rFont val="Arial"/>
        <family val="2"/>
      </rPr>
      <t>0</t>
    </r>
    <r>
      <rPr>
        <sz val="16"/>
        <color indexed="10"/>
        <rFont val="Arial"/>
        <family val="2"/>
      </rPr>
      <t>FV</t>
    </r>
    <r>
      <rPr>
        <vertAlign val="subscript"/>
        <sz val="16"/>
        <rFont val="Arial"/>
        <family val="2"/>
      </rPr>
      <t>19</t>
    </r>
    <r>
      <rPr>
        <sz val="16"/>
        <rFont val="Arial"/>
        <family val="2"/>
      </rPr>
      <t xml:space="preserve"> -</t>
    </r>
  </si>
  <si>
    <r>
      <t>0</t>
    </r>
    <r>
      <rPr>
        <sz val="16"/>
        <color indexed="10"/>
        <rFont val="Arial"/>
        <family val="2"/>
      </rPr>
      <t>FV</t>
    </r>
    <r>
      <rPr>
        <vertAlign val="subscript"/>
        <sz val="16"/>
        <rFont val="Arial"/>
        <family val="2"/>
      </rPr>
      <t>18</t>
    </r>
    <r>
      <rPr>
        <sz val="20"/>
        <rFont val="Arial"/>
        <family val="2"/>
      </rPr>
      <t>)</t>
    </r>
    <r>
      <rPr>
        <sz val="16"/>
        <rFont val="Arial"/>
        <family val="2"/>
      </rPr>
      <t xml:space="preserve">/ </t>
    </r>
  </si>
  <si>
    <t>Derive the single period forward rate of return for Period 18 using the Van Horne</t>
  </si>
  <si>
    <t xml:space="preserve">formula and then reconcile this forward rate with the adjusted forward rate </t>
  </si>
  <si>
    <t>computed above.</t>
  </si>
  <si>
    <r>
      <t xml:space="preserve">   </t>
    </r>
    <r>
      <rPr>
        <sz val="10"/>
        <rFont val="Arial"/>
        <family val="2"/>
      </rPr>
      <t>18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color indexed="10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</si>
  <si>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>adjusted</t>
    </r>
    <r>
      <rPr>
        <sz val="12"/>
        <rFont val="Arial"/>
        <family val="2"/>
      </rPr>
      <t xml:space="preserve"> 1-period forward rate beginning at 3/31/2010</t>
    </r>
  </si>
  <si>
    <r>
      <t xml:space="preserve">   18</t>
    </r>
    <r>
      <rPr>
        <b/>
        <sz val="20"/>
        <color indexed="12"/>
        <rFont val="Arial"/>
        <family val="2"/>
      </rPr>
      <t>a</t>
    </r>
    <r>
      <rPr>
        <sz val="10"/>
        <rFont val="Arial"/>
      </rPr>
      <t xml:space="preserve">10 </t>
    </r>
    <r>
      <rPr>
        <sz val="12"/>
        <rFont val="Arial"/>
        <family val="2"/>
      </rPr>
      <t>=</t>
    </r>
    <r>
      <rPr>
        <sz val="10"/>
        <rFont val="Arial"/>
      </rPr>
      <t xml:space="preserve"> </t>
    </r>
  </si>
  <si>
    <r>
      <t xml:space="preserve"> </t>
    </r>
    <r>
      <rPr>
        <sz val="16"/>
        <rFont val="Arial"/>
        <family val="2"/>
      </rPr>
      <t xml:space="preserve"> (1 + </t>
    </r>
    <r>
      <rPr>
        <sz val="10"/>
        <rFont val="Arial"/>
      </rPr>
      <t>18</t>
    </r>
    <r>
      <rPr>
        <b/>
        <sz val="20"/>
        <color indexed="12"/>
        <rFont val="Arial"/>
        <family val="2"/>
      </rPr>
      <t>a</t>
    </r>
    <r>
      <rPr>
        <sz val="10"/>
        <rFont val="Arial"/>
      </rPr>
      <t xml:space="preserve">1 </t>
    </r>
    <r>
      <rPr>
        <sz val="16"/>
        <rFont val="Arial"/>
        <family val="2"/>
      </rPr>
      <t>)</t>
    </r>
    <r>
      <rPr>
        <vertAlign val="superscript"/>
        <sz val="16"/>
        <rFont val="Arial"/>
        <family val="2"/>
      </rPr>
      <t>10</t>
    </r>
  </si>
  <si>
    <r>
      <t xml:space="preserve"> </t>
    </r>
    <r>
      <rPr>
        <sz val="16"/>
        <rFont val="Arial"/>
        <family val="2"/>
      </rPr>
      <t xml:space="preserve"> (1 + </t>
    </r>
    <r>
      <rPr>
        <sz val="10"/>
        <rFont val="Arial"/>
      </rPr>
      <t>18</t>
    </r>
    <r>
      <rPr>
        <b/>
        <sz val="20"/>
        <color indexed="12"/>
        <rFont val="Arial"/>
        <family val="2"/>
      </rPr>
      <t>a</t>
    </r>
    <r>
      <rPr>
        <sz val="10"/>
        <rFont val="Arial"/>
      </rPr>
      <t xml:space="preserve">10 </t>
    </r>
    <r>
      <rPr>
        <sz val="16"/>
        <rFont val="Arial"/>
        <family val="2"/>
      </rPr>
      <t>)</t>
    </r>
    <r>
      <rPr>
        <vertAlign val="superscript"/>
        <sz val="16"/>
        <rFont val="Arial"/>
        <family val="2"/>
      </rPr>
      <t>1</t>
    </r>
  </si>
  <si>
    <r>
      <t xml:space="preserve">( </t>
    </r>
    <r>
      <rPr>
        <vertAlign val="subscript"/>
        <sz val="16"/>
        <rFont val="Arial"/>
        <family val="2"/>
      </rPr>
      <t>0</t>
    </r>
    <r>
      <rPr>
        <sz val="16"/>
        <color indexed="10"/>
        <rFont val="Arial"/>
        <family val="2"/>
      </rPr>
      <t>PV</t>
    </r>
    <r>
      <rPr>
        <vertAlign val="subscript"/>
        <sz val="16"/>
        <color indexed="8"/>
        <rFont val="Arial"/>
        <family val="2"/>
      </rPr>
      <t>19</t>
    </r>
    <r>
      <rPr>
        <sz val="16"/>
        <color indexed="10"/>
        <rFont val="Arial"/>
        <family val="2"/>
      </rPr>
      <t xml:space="preserve"> / </t>
    </r>
    <r>
      <rPr>
        <vertAlign val="subscript"/>
        <sz val="16"/>
        <rFont val="Arial"/>
        <family val="2"/>
      </rPr>
      <t>0</t>
    </r>
    <r>
      <rPr>
        <sz val="16"/>
        <color indexed="10"/>
        <rFont val="Arial"/>
        <family val="2"/>
      </rPr>
      <t>PV</t>
    </r>
    <r>
      <rPr>
        <vertAlign val="subscript"/>
        <sz val="16"/>
        <rFont val="Arial"/>
        <family val="2"/>
      </rPr>
      <t>18</t>
    </r>
    <r>
      <rPr>
        <sz val="16"/>
        <color indexed="10"/>
        <rFont val="Arial"/>
        <family val="2"/>
      </rPr>
      <t xml:space="preserve"> )</t>
    </r>
  </si>
  <si>
    <t>= 03/31/2010 single period forward rate</t>
  </si>
  <si>
    <t>It will be informative later on to show the equivalence of the formula above with</t>
  </si>
  <si>
    <r>
      <t>(</t>
    </r>
    <r>
      <rPr>
        <sz val="10"/>
        <rFont val="Arial"/>
        <family val="2"/>
      </rPr>
      <t>18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>10</t>
    </r>
    <r>
      <rPr>
        <sz val="16"/>
        <color indexed="10"/>
        <rFont val="Arial"/>
        <family val="2"/>
      </rPr>
      <t xml:space="preserve"> + 1) - 1</t>
    </r>
  </si>
  <si>
    <t>= adjusted 3/31/2010 single period forward rate</t>
  </si>
  <si>
    <t>APR adjusted single period forward rate</t>
  </si>
  <si>
    <t>When does the adjusted forward rate exactly equal the single period forward</t>
  </si>
  <si>
    <t>rate in the equations above?  What spot rate for the 18 period bond would</t>
  </si>
  <si>
    <t>make the adjusted rate equal the forward rate?</t>
  </si>
  <si>
    <t xml:space="preserve">The adjusted forward rate equals the forward rate when the present values are </t>
  </si>
  <si>
    <t xml:space="preserve">identical.  Recall that the present value of the 19 period bond on March 31, 2001 </t>
  </si>
  <si>
    <t>is $932.50.  To achieve the same present value for the 18 period bond, the</t>
  </si>
  <si>
    <t>spot rate (yield to maturity) must be the following:</t>
  </si>
  <si>
    <r>
      <t xml:space="preserve"> if</t>
    </r>
    <r>
      <rPr>
        <i/>
        <sz val="14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sz val="14"/>
        <color indexed="10"/>
        <rFont val="Arial"/>
        <family val="2"/>
      </rPr>
      <t>PV</t>
    </r>
    <r>
      <rPr>
        <sz val="10"/>
        <rFont val="Arial"/>
        <family val="2"/>
      </rPr>
      <t>18</t>
    </r>
    <r>
      <rPr>
        <sz val="14"/>
        <color indexed="10"/>
        <rFont val="Arial"/>
        <family val="2"/>
      </rPr>
      <t xml:space="preserve"> = $932.50</t>
    </r>
  </si>
  <si>
    <r>
      <t xml:space="preserve"> if</t>
    </r>
    <r>
      <rPr>
        <i/>
        <sz val="14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sz val="14"/>
        <color indexed="10"/>
        <rFont val="Arial"/>
        <family val="2"/>
      </rPr>
      <t>PV</t>
    </r>
    <r>
      <rPr>
        <sz val="10"/>
        <rFont val="Arial"/>
        <family val="2"/>
      </rPr>
      <t>19</t>
    </r>
    <r>
      <rPr>
        <sz val="14"/>
        <color indexed="10"/>
        <rFont val="Arial"/>
        <family val="2"/>
      </rPr>
      <t xml:space="preserve"> = $932.50</t>
    </r>
  </si>
  <si>
    <t>= APR 3/31/2010 single period forward rate</t>
  </si>
  <si>
    <t>= APR adjusted single period forward rate</t>
  </si>
  <si>
    <t>An example by James C. Van Horne, Financial Market Rates and Flows, Edition 5,</t>
  </si>
  <si>
    <t>But this identity holds only if the present values of the two alternatives are equal.</t>
  </si>
  <si>
    <r>
      <t xml:space="preserve">   </t>
    </r>
    <r>
      <rPr>
        <sz val="10"/>
        <rFont val="Arial"/>
        <family val="2"/>
      </rPr>
      <t>18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>10</t>
    </r>
    <r>
      <rPr>
        <sz val="14"/>
        <rFont val="Arial"/>
        <family val="2"/>
      </rPr>
      <t>/2</t>
    </r>
    <r>
      <rPr>
        <sz val="10"/>
        <rFont val="Arial"/>
        <family val="2"/>
      </rPr>
      <t xml:space="preserve"> </t>
    </r>
    <r>
      <rPr>
        <sz val="16"/>
        <color indexed="10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</si>
  <si>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>18</t>
    </r>
    <r>
      <rPr>
        <b/>
        <sz val="20"/>
        <color indexed="12"/>
        <rFont val="Arial"/>
        <family val="2"/>
      </rPr>
      <t>a</t>
    </r>
    <r>
      <rPr>
        <sz val="10"/>
        <rFont val="Arial"/>
      </rPr>
      <t>10</t>
    </r>
    <r>
      <rPr>
        <sz val="14"/>
        <rFont val="Arial"/>
        <family val="2"/>
      </rPr>
      <t>/2</t>
    </r>
    <r>
      <rPr>
        <sz val="10"/>
        <rFont val="Arial"/>
      </rPr>
      <t xml:space="preserve"> </t>
    </r>
    <r>
      <rPr>
        <sz val="14"/>
        <rFont val="Arial"/>
        <family val="2"/>
      </rPr>
      <t>=</t>
    </r>
    <r>
      <rPr>
        <sz val="10"/>
        <rFont val="Arial"/>
      </rPr>
      <t xml:space="preserve"> </t>
    </r>
  </si>
  <si>
    <r>
      <t xml:space="preserve"> </t>
    </r>
    <r>
      <rPr>
        <sz val="10"/>
        <rFont val="Arial"/>
        <family val="2"/>
      </rPr>
      <t>18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>10</t>
    </r>
    <r>
      <rPr>
        <sz val="14"/>
        <rFont val="Arial"/>
        <family val="2"/>
      </rPr>
      <t>/2</t>
    </r>
    <r>
      <rPr>
        <sz val="10"/>
        <rFont val="Arial"/>
        <family val="2"/>
      </rPr>
      <t xml:space="preserve">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</si>
  <si>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</t>
    </r>
    <r>
      <rPr>
        <sz val="10"/>
        <rFont val="Arial"/>
        <family val="2"/>
      </rPr>
      <t>18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rFont val="Arial"/>
        <family val="2"/>
      </rPr>
      <t xml:space="preserve"> </t>
    </r>
  </si>
  <si>
    <r>
      <t xml:space="preserve">   18</t>
    </r>
    <r>
      <rPr>
        <b/>
        <sz val="20"/>
        <color indexed="12"/>
        <rFont val="Arial"/>
        <family val="2"/>
      </rPr>
      <t>a</t>
    </r>
    <r>
      <rPr>
        <sz val="10"/>
        <rFont val="Arial"/>
      </rPr>
      <t xml:space="preserve">10 </t>
    </r>
    <r>
      <rPr>
        <sz val="14"/>
        <rFont val="Arial"/>
        <family val="2"/>
      </rPr>
      <t>=</t>
    </r>
    <r>
      <rPr>
        <sz val="10"/>
        <rFont val="Arial"/>
      </rPr>
      <t xml:space="preserve"> </t>
    </r>
  </si>
  <si>
    <t>(Prentice-Hall, 199, Page 94) states that at t=0 the spot rate for a two-year loan</t>
  </si>
  <si>
    <t xml:space="preserve">is 6.00% vis-à-vis a 7.00% spot rate for a three-year loan.  What is the one-period </t>
  </si>
  <si>
    <t>= Year 2 single period forward rate</t>
  </si>
  <si>
    <t>forward rate at n=2?  Compare this with the adjusted one-period forward rate.</t>
  </si>
  <si>
    <t>Since no present value information is given for Time t, the default assumption</t>
  </si>
  <si>
    <t>forward rate.</t>
  </si>
  <si>
    <t>If a loan is needed for three years, the 9.0284% forward rate of a forward contract</t>
  </si>
  <si>
    <t>would lock in the interest rate such that it costs no more to borrow on the two-</t>
  </si>
  <si>
    <t>year note with a forward contract than to borrow on the three-year note?</t>
  </si>
  <si>
    <t>Assuming all other risks being equal, why would the two-year loan with a forward</t>
  </si>
  <si>
    <t>contract be preferred to a three-year loan (assuming identical transactions costs)?</t>
  </si>
  <si>
    <t>If the forward contract provides an option but not an obligation to borrow at the</t>
  </si>
  <si>
    <t>one-year forward rate, then the two-year alternative has more choices.  If interest</t>
  </si>
  <si>
    <t>borrower no worse off than under the three-year loan.  If interest rates are low</t>
  </si>
  <si>
    <t>at the end of Year 2, then the borrower can find cheaper money.</t>
  </si>
  <si>
    <t xml:space="preserve">rates are high at the end of Year 2, a forward contract at 9.0284% leaves the </t>
  </si>
  <si>
    <t>What is the "pure" expectations theory in the above context?</t>
  </si>
  <si>
    <t>Pure expectations theory hypothesizes that it makes no difference whether an</t>
  </si>
  <si>
    <t>investor makes a long-term commitment or rolls over a succession of short term</t>
  </si>
  <si>
    <t>commitments.   In the example above, the theory holds only if the borrowing</t>
  </si>
  <si>
    <t>rate at the end of two years is equal to the 9.0284% one-year forward rate.  The</t>
  </si>
  <si>
    <t>theory does not hold if other borrowing rates transpire.</t>
  </si>
  <si>
    <t>In the bond example when the adjusted forward rate is 4.1613% (or 2.0807% for</t>
  </si>
  <si>
    <t>six months), the theory does not hold if the investor can obtain a higher or</t>
  </si>
  <si>
    <t>The two alternatives are identical only under pure expectations theory.</t>
  </si>
  <si>
    <t xml:space="preserve">The assumption of equal present values applies only if the opportunity value </t>
  </si>
  <si>
    <t>of the proceeds of the 18 year bond for one year is equal to the one-period</t>
  </si>
  <si>
    <t xml:space="preserve">This question assumes that the reader fully understands the questions and </t>
  </si>
  <si>
    <t xml:space="preserve">answers in Sheet 2 of this tutorial.  </t>
  </si>
  <si>
    <t>Period</t>
  </si>
  <si>
    <t>Maturity</t>
  </si>
  <si>
    <t>Period (n)</t>
  </si>
  <si>
    <t>Spot</t>
  </si>
  <si>
    <t>Rate</t>
  </si>
  <si>
    <t>Forward</t>
  </si>
  <si>
    <t>One</t>
  </si>
  <si>
    <t>n</t>
  </si>
  <si>
    <t>Future</t>
  </si>
  <si>
    <t>Value</t>
  </si>
  <si>
    <t>adjusted semi-annual single period forward rate</t>
  </si>
  <si>
    <t>adjusted APR single period forward rate</t>
  </si>
  <si>
    <r>
      <t xml:space="preserve">   18</t>
    </r>
    <r>
      <rPr>
        <b/>
        <sz val="20"/>
        <color indexed="12"/>
        <rFont val="Arial"/>
        <family val="2"/>
      </rPr>
      <t>a</t>
    </r>
    <r>
      <rPr>
        <sz val="10"/>
        <rFont val="Arial"/>
        <family val="2"/>
      </rPr>
      <t>10</t>
    </r>
    <r>
      <rPr>
        <sz val="10"/>
        <rFont val="Arial"/>
      </rPr>
      <t xml:space="preserve"> </t>
    </r>
    <r>
      <rPr>
        <sz val="12"/>
        <rFont val="Arial"/>
        <family val="2"/>
      </rPr>
      <t>=</t>
    </r>
    <r>
      <rPr>
        <sz val="10"/>
        <rFont val="Arial"/>
      </rPr>
      <t xml:space="preserve"> </t>
    </r>
  </si>
  <si>
    <t>After you have filled in the missing parts, create a chart showing the plot</t>
  </si>
  <si>
    <t>Then discuss the differences between the two yield curves as a function of time.</t>
  </si>
  <si>
    <t>Answers</t>
  </si>
  <si>
    <t>Series 1: Bond Yields Constant</t>
  </si>
  <si>
    <t>Series 2: Bond Yields Vary</t>
  </si>
  <si>
    <t xml:space="preserve">Semi- </t>
  </si>
  <si>
    <t>Annual</t>
  </si>
  <si>
    <t>Pure expectations theory assumes a Series 1 flat pattern in which it makes no difference</t>
  </si>
  <si>
    <t>whether bonds are carried over the long-term or whether they are rolled over more</t>
  </si>
  <si>
    <t>frequently.  Series 1 is an example of pure expectations theory outcomes.</t>
  </si>
  <si>
    <t>In the real world, it makes a difference due to existence of term structures that</t>
  </si>
  <si>
    <t>result in increasing or decreasing yields as a function of maturity dates.  Series 2</t>
  </si>
  <si>
    <t>is consistent with demands of investors/creditors for a risk premium that increases</t>
  </si>
  <si>
    <t>as maturity increases.  This is common even when the bonds have no risk (e.g.,</t>
  </si>
  <si>
    <t xml:space="preserve">color.  Go to the Sheet 2 tutorial for help. </t>
  </si>
  <si>
    <t>treasury bonds.)</t>
  </si>
  <si>
    <r>
      <t xml:space="preserve">2010?  Use the following definitions that </t>
    </r>
    <r>
      <rPr>
        <b/>
        <sz val="10"/>
        <color indexed="10"/>
        <rFont val="Arial"/>
        <family val="2"/>
      </rPr>
      <t>assume total rollover of funds each period</t>
    </r>
    <r>
      <rPr>
        <b/>
        <sz val="10"/>
        <rFont val="Arial"/>
        <family val="2"/>
      </rPr>
      <t>.</t>
    </r>
  </si>
  <si>
    <t>In the space below, compute a rollover-adjusted</t>
  </si>
  <si>
    <r>
      <t>18</t>
    </r>
    <r>
      <rPr>
        <b/>
        <sz val="20"/>
        <color indexed="12"/>
        <rFont val="Arial"/>
        <family val="2"/>
      </rPr>
      <t>a</t>
    </r>
    <r>
      <rPr>
        <sz val="10"/>
        <rFont val="Arial"/>
        <family val="2"/>
      </rPr>
      <t>10</t>
    </r>
    <r>
      <rPr>
        <sz val="10"/>
        <rFont val="Arial"/>
      </rPr>
      <t xml:space="preserve"> </t>
    </r>
    <r>
      <rPr>
        <b/>
        <sz val="10"/>
        <rFont val="Arial"/>
        <family val="2"/>
      </rPr>
      <t>amount for Period 18:</t>
    </r>
  </si>
  <si>
    <t>the formula below for the rollover-adjusted one-period forward rate:</t>
  </si>
  <si>
    <t xml:space="preserve">must be that the rollover-adjusted adjusted forward rate is identical to the 9.0284% </t>
  </si>
  <si>
    <t>single-period forward rate.</t>
  </si>
  <si>
    <t>lower return between March 31 and September 30 in the Year 2010.  For example,</t>
  </si>
  <si>
    <t>If the investor/creditor requires higher rates for longer-term maturities, then the</t>
  </si>
  <si>
    <t>pure expectations theory is not valid.</t>
  </si>
  <si>
    <t>APR</t>
  </si>
  <si>
    <t>1 Year</t>
  </si>
  <si>
    <t>2 Year</t>
  </si>
  <si>
    <t>3 Year</t>
  </si>
  <si>
    <t>4 Year</t>
  </si>
  <si>
    <t>One-Year</t>
  </si>
  <si>
    <t>Time 0</t>
  </si>
  <si>
    <t>Yield</t>
  </si>
  <si>
    <t>Year t</t>
  </si>
  <si>
    <t xml:space="preserve">Forward </t>
  </si>
  <si>
    <t>what are the forward rates for Years 1-3?  Facts are shown below.</t>
  </si>
  <si>
    <t>The single-period forward rates are calculated below:</t>
  </si>
  <si>
    <t>0 Year</t>
  </si>
  <si>
    <t>Mean</t>
  </si>
  <si>
    <t>Present</t>
  </si>
  <si>
    <t>in</t>
  </si>
  <si>
    <t>Above</t>
  </si>
  <si>
    <t>Question</t>
  </si>
  <si>
    <t>Derived</t>
  </si>
  <si>
    <t>PV</t>
  </si>
  <si>
    <t>FV</t>
  </si>
  <si>
    <r>
      <t>0</t>
    </r>
    <r>
      <rPr>
        <sz val="16"/>
        <color indexed="10"/>
        <rFont val="Arial"/>
        <family val="2"/>
      </rPr>
      <t>FV</t>
    </r>
    <r>
      <rPr>
        <sz val="10"/>
        <rFont val="Arial"/>
        <family val="2"/>
      </rPr>
      <t>19</t>
    </r>
    <r>
      <rPr>
        <sz val="16"/>
        <rFont val="Arial"/>
        <family val="2"/>
      </rPr>
      <t xml:space="preserve"> =</t>
    </r>
  </si>
  <si>
    <r>
      <t>0</t>
    </r>
    <r>
      <rPr>
        <sz val="16"/>
        <color indexed="10"/>
        <rFont val="Arial"/>
        <family val="2"/>
      </rPr>
      <t>FV</t>
    </r>
    <r>
      <rPr>
        <sz val="10"/>
        <rFont val="Arial"/>
        <family val="2"/>
      </rPr>
      <t>19</t>
    </r>
  </si>
  <si>
    <r>
      <t xml:space="preserve"> </t>
    </r>
    <r>
      <rPr>
        <sz val="10"/>
        <rFont val="Arial"/>
        <family val="2"/>
      </rPr>
      <t>0</t>
    </r>
    <r>
      <rPr>
        <sz val="20"/>
        <color indexed="10"/>
        <rFont val="Arial"/>
        <family val="2"/>
      </rPr>
      <t>PV</t>
    </r>
    <r>
      <rPr>
        <sz val="10"/>
        <rFont val="Arial"/>
        <family val="2"/>
      </rPr>
      <t>19</t>
    </r>
    <r>
      <rPr>
        <sz val="20"/>
        <rFont val="Arial"/>
        <family val="2"/>
      </rPr>
      <t>(1</t>
    </r>
    <r>
      <rPr>
        <sz val="10"/>
        <rFont val="Arial"/>
      </rPr>
      <t xml:space="preserve"> </t>
    </r>
    <r>
      <rPr>
        <sz val="20"/>
        <rFont val="Arial"/>
        <family val="2"/>
      </rPr>
      <t>+</t>
    </r>
    <r>
      <rPr>
        <sz val="10"/>
        <rFont val="Arial"/>
      </rPr>
      <t xml:space="preserve">  0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>19</t>
    </r>
    <r>
      <rPr>
        <sz val="20"/>
        <rFont val="Arial"/>
        <family val="2"/>
      </rPr>
      <t>/2)</t>
    </r>
    <r>
      <rPr>
        <vertAlign val="superscript"/>
        <sz val="20"/>
        <rFont val="Arial"/>
        <family val="2"/>
      </rPr>
      <t>19</t>
    </r>
  </si>
  <si>
    <r>
      <t xml:space="preserve"> </t>
    </r>
    <r>
      <rPr>
        <sz val="10"/>
        <rFont val="Arial"/>
        <family val="2"/>
      </rPr>
      <t>0</t>
    </r>
    <r>
      <rPr>
        <sz val="20"/>
        <color indexed="10"/>
        <rFont val="Arial"/>
        <family val="2"/>
      </rPr>
      <t>PV</t>
    </r>
    <r>
      <rPr>
        <sz val="10"/>
        <rFont val="Arial"/>
        <family val="2"/>
      </rPr>
      <t>18</t>
    </r>
    <r>
      <rPr>
        <sz val="20"/>
        <rFont val="Arial"/>
        <family val="2"/>
      </rPr>
      <t>(1</t>
    </r>
    <r>
      <rPr>
        <sz val="10"/>
        <rFont val="Arial"/>
      </rPr>
      <t xml:space="preserve"> </t>
    </r>
    <r>
      <rPr>
        <sz val="20"/>
        <rFont val="Arial"/>
        <family val="2"/>
      </rPr>
      <t>+</t>
    </r>
    <r>
      <rPr>
        <sz val="10"/>
        <rFont val="Arial"/>
      </rPr>
      <t xml:space="preserve">  0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>18</t>
    </r>
    <r>
      <rPr>
        <sz val="20"/>
        <rFont val="Arial"/>
        <family val="2"/>
      </rPr>
      <t>/2)</t>
    </r>
    <r>
      <rPr>
        <vertAlign val="superscript"/>
        <sz val="20"/>
        <rFont val="Arial"/>
        <family val="2"/>
      </rPr>
      <t>18</t>
    </r>
  </si>
  <si>
    <t>Time t</t>
  </si>
  <si>
    <r>
      <t xml:space="preserve">= </t>
    </r>
    <r>
      <rPr>
        <sz val="8"/>
        <rFont val="Arial"/>
        <family val="2"/>
      </rPr>
      <t>0</t>
    </r>
    <r>
      <rPr>
        <sz val="12"/>
        <color indexed="10"/>
        <rFont val="Arial"/>
        <family val="2"/>
      </rPr>
      <t>PV</t>
    </r>
    <r>
      <rPr>
        <vertAlign val="subscript"/>
        <sz val="12"/>
        <rFont val="Arial"/>
        <family val="2"/>
      </rPr>
      <t>19</t>
    </r>
    <r>
      <rPr>
        <sz val="12"/>
        <color indexed="10"/>
        <rFont val="Arial"/>
        <family val="2"/>
      </rPr>
      <t xml:space="preserve"> (1 + R/2)</t>
    </r>
    <r>
      <rPr>
        <vertAlign val="superscript"/>
        <sz val="12"/>
        <rFont val="Arial"/>
        <family val="2"/>
      </rPr>
      <t xml:space="preserve">19 </t>
    </r>
    <r>
      <rPr>
        <sz val="12"/>
        <color indexed="10"/>
        <rFont val="Arial"/>
        <family val="2"/>
      </rPr>
      <t>future value</t>
    </r>
    <r>
      <rPr>
        <sz val="12"/>
        <rFont val="Arial"/>
        <family val="2"/>
      </rPr>
      <t xml:space="preserve"> </t>
    </r>
  </si>
  <si>
    <r>
      <t xml:space="preserve">= </t>
    </r>
    <r>
      <rPr>
        <sz val="8"/>
        <rFont val="Arial"/>
        <family val="2"/>
      </rPr>
      <t>0</t>
    </r>
    <r>
      <rPr>
        <sz val="12"/>
        <color indexed="10"/>
        <rFont val="Arial"/>
        <family val="2"/>
      </rPr>
      <t>FV</t>
    </r>
    <r>
      <rPr>
        <sz val="8"/>
        <color indexed="8"/>
        <rFont val="Arial"/>
        <family val="2"/>
      </rPr>
      <t>19</t>
    </r>
    <r>
      <rPr>
        <sz val="12"/>
        <color indexed="10"/>
        <rFont val="Arial"/>
        <family val="2"/>
      </rPr>
      <t xml:space="preserve"> of one bond after 19 periods ending 9/30/2010</t>
    </r>
  </si>
  <si>
    <r>
      <t>=</t>
    </r>
    <r>
      <rPr>
        <vertAlign val="subscript"/>
        <sz val="12"/>
        <rFont val="Arial"/>
        <family val="2"/>
      </rPr>
      <t xml:space="preserve"> </t>
    </r>
    <r>
      <rPr>
        <sz val="8"/>
        <rFont val="Arial"/>
        <family val="2"/>
      </rPr>
      <t>0</t>
    </r>
    <r>
      <rPr>
        <sz val="12"/>
        <color indexed="10"/>
        <rFont val="Arial"/>
        <family val="2"/>
      </rPr>
      <t>PV</t>
    </r>
    <r>
      <rPr>
        <sz val="8"/>
        <color indexed="8"/>
        <rFont val="Arial"/>
        <family val="2"/>
      </rPr>
      <t>19</t>
    </r>
    <r>
      <rPr>
        <sz val="12"/>
        <color indexed="10"/>
        <rFont val="Arial"/>
        <family val="2"/>
      </rPr>
      <t xml:space="preserve"> of one bond on March 31, 2001  (Time 0)</t>
    </r>
  </si>
  <si>
    <r>
      <t>= the</t>
    </r>
    <r>
      <rPr>
        <vertAlign val="subscript"/>
        <sz val="12"/>
        <rFont val="Arial"/>
        <family val="2"/>
      </rPr>
      <t xml:space="preserve"> </t>
    </r>
    <r>
      <rPr>
        <sz val="8"/>
        <rFont val="Arial"/>
        <family val="2"/>
      </rPr>
      <t>0</t>
    </r>
    <r>
      <rPr>
        <sz val="12"/>
        <color indexed="10"/>
        <rFont val="Arial"/>
        <family val="2"/>
      </rPr>
      <t>R</t>
    </r>
    <r>
      <rPr>
        <sz val="8"/>
        <rFont val="Arial"/>
        <family val="2"/>
      </rPr>
      <t>19</t>
    </r>
    <r>
      <rPr>
        <sz val="12"/>
        <color indexed="10"/>
        <rFont val="Arial"/>
        <family val="2"/>
      </rPr>
      <t xml:space="preserve"> spot rate derived in Question 1 of Sheet 1.</t>
    </r>
  </si>
  <si>
    <r>
      <t xml:space="preserve">= </t>
    </r>
    <r>
      <rPr>
        <sz val="10"/>
        <rFont val="Arial"/>
      </rPr>
      <t xml:space="preserve"> 0</t>
    </r>
    <r>
      <rPr>
        <b/>
        <sz val="16"/>
        <rFont val="Arial"/>
        <family val="2"/>
      </rPr>
      <t>R</t>
    </r>
    <r>
      <rPr>
        <sz val="10"/>
        <rFont val="Arial"/>
        <family val="2"/>
      </rPr>
      <t>19</t>
    </r>
    <r>
      <rPr>
        <b/>
        <sz val="10"/>
        <rFont val="Arial"/>
        <family val="2"/>
      </rPr>
      <t xml:space="preserve">  = spot rate (yield to maturity) of the 19 period bond</t>
    </r>
  </si>
  <si>
    <r>
      <t xml:space="preserve">      t</t>
    </r>
    <r>
      <rPr>
        <b/>
        <sz val="16"/>
        <rFont val="Arial"/>
        <family val="2"/>
      </rPr>
      <t>R</t>
    </r>
    <r>
      <rPr>
        <sz val="10"/>
        <rFont val="Arial"/>
      </rPr>
      <t>n</t>
    </r>
    <r>
      <rPr>
        <b/>
        <sz val="10"/>
        <rFont val="Arial"/>
        <family val="2"/>
      </rPr>
      <t xml:space="preserve">   = spot rate (yield to maturity) at time t of a n period loan</t>
    </r>
  </si>
  <si>
    <r>
      <t xml:space="preserve"> =  0</t>
    </r>
    <r>
      <rPr>
        <b/>
        <sz val="16"/>
        <rFont val="Arial"/>
        <family val="2"/>
      </rPr>
      <t>R</t>
    </r>
    <r>
      <rPr>
        <sz val="10"/>
        <rFont val="Arial"/>
        <family val="2"/>
      </rPr>
      <t>18</t>
    </r>
    <r>
      <rPr>
        <b/>
        <sz val="10"/>
        <rFont val="Arial"/>
        <family val="2"/>
      </rPr>
      <t xml:space="preserve"> = spot rate (yield to maturity) of the 18 period bond</t>
    </r>
  </si>
  <si>
    <r>
      <t xml:space="preserve">=  </t>
    </r>
    <r>
      <rPr>
        <sz val="10"/>
        <rFont val="Arial"/>
        <family val="2"/>
      </rPr>
      <t>0</t>
    </r>
    <r>
      <rPr>
        <b/>
        <sz val="12"/>
        <color indexed="10"/>
        <rFont val="Arial"/>
        <family val="2"/>
      </rPr>
      <t>FV</t>
    </r>
    <r>
      <rPr>
        <vertAlign val="subscript"/>
        <sz val="12"/>
        <color indexed="8"/>
        <rFont val="Arial"/>
        <family val="2"/>
      </rPr>
      <t xml:space="preserve">19 </t>
    </r>
    <r>
      <rPr>
        <sz val="12"/>
        <color indexed="10"/>
        <rFont val="Arial"/>
        <family val="2"/>
      </rPr>
      <t xml:space="preserve"> </t>
    </r>
    <r>
      <rPr>
        <b/>
        <sz val="10"/>
        <rFont val="Arial"/>
        <family val="2"/>
      </rPr>
      <t>of one bond after 19 periods ending 9/30/2010</t>
    </r>
  </si>
  <si>
    <r>
      <t>=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 0</t>
    </r>
    <r>
      <rPr>
        <b/>
        <sz val="12"/>
        <color indexed="10"/>
        <rFont val="Arial"/>
        <family val="2"/>
      </rPr>
      <t>FV</t>
    </r>
    <r>
      <rPr>
        <vertAlign val="subscript"/>
        <sz val="12"/>
        <color indexed="8"/>
        <rFont val="Arial"/>
        <family val="2"/>
      </rPr>
      <t>18</t>
    </r>
    <r>
      <rPr>
        <sz val="12"/>
        <color indexed="10"/>
        <rFont val="Arial"/>
        <family val="2"/>
      </rPr>
      <t xml:space="preserve">  </t>
    </r>
    <r>
      <rPr>
        <b/>
        <sz val="10"/>
        <rFont val="Arial"/>
        <family val="2"/>
      </rPr>
      <t>of one bond after 18 periods ending on 3/31/2010</t>
    </r>
  </si>
  <si>
    <r>
      <t xml:space="preserve">     n</t>
    </r>
    <r>
      <rPr>
        <b/>
        <sz val="20"/>
        <color indexed="12"/>
        <rFont val="Arial"/>
        <family val="2"/>
      </rPr>
      <t>a</t>
    </r>
    <r>
      <rPr>
        <sz val="10"/>
        <rFont val="Arial"/>
        <family val="2"/>
      </rPr>
      <t>1t</t>
    </r>
    <r>
      <rPr>
        <sz val="10"/>
        <rFont val="Arial"/>
      </rPr>
      <t xml:space="preserve"> </t>
    </r>
    <r>
      <rPr>
        <sz val="12"/>
        <rFont val="Arial"/>
        <family val="2"/>
      </rPr>
      <t>=</t>
    </r>
    <r>
      <rPr>
        <sz val="10"/>
        <rFont val="Arial"/>
      </rPr>
      <t xml:space="preserve"> </t>
    </r>
  </si>
  <si>
    <r>
      <t>=</t>
    </r>
    <r>
      <rPr>
        <vertAlign val="subscript"/>
        <sz val="2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sz val="16"/>
        <color indexed="10"/>
        <rFont val="Arial"/>
        <family val="2"/>
      </rPr>
      <t>PV</t>
    </r>
    <r>
      <rPr>
        <sz val="10"/>
        <rFont val="Arial"/>
        <family val="2"/>
      </rPr>
      <t>19</t>
    </r>
    <r>
      <rPr>
        <sz val="16"/>
        <rFont val="Arial"/>
        <family val="2"/>
      </rPr>
      <t xml:space="preserve">(1 + </t>
    </r>
    <r>
      <rPr>
        <sz val="10"/>
        <rFont val="Arial"/>
      </rPr>
      <t xml:space="preserve"> 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19</t>
    </r>
    <r>
      <rPr>
        <sz val="16"/>
        <rFont val="Arial"/>
        <family val="2"/>
      </rPr>
      <t>/2)</t>
    </r>
    <r>
      <rPr>
        <vertAlign val="superscript"/>
        <sz val="16"/>
        <rFont val="Arial"/>
        <family val="2"/>
      </rPr>
      <t>19</t>
    </r>
  </si>
  <si>
    <r>
      <t xml:space="preserve">= </t>
    </r>
    <r>
      <rPr>
        <sz val="10"/>
        <rFont val="Arial"/>
        <family val="2"/>
      </rPr>
      <t>0</t>
    </r>
    <r>
      <rPr>
        <sz val="16"/>
        <color indexed="10"/>
        <rFont val="Arial"/>
        <family val="2"/>
      </rPr>
      <t>PV</t>
    </r>
    <r>
      <rPr>
        <sz val="10"/>
        <rFont val="Arial"/>
        <family val="2"/>
      </rPr>
      <t>18</t>
    </r>
    <r>
      <rPr>
        <sz val="16"/>
        <rFont val="Arial"/>
        <family val="2"/>
      </rPr>
      <t>(1 +</t>
    </r>
    <r>
      <rPr>
        <sz val="10"/>
        <rFont val="Arial"/>
      </rPr>
      <t xml:space="preserve">  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18</t>
    </r>
    <r>
      <rPr>
        <sz val="16"/>
        <rFont val="Arial"/>
        <family val="2"/>
      </rPr>
      <t>/2)</t>
    </r>
    <r>
      <rPr>
        <vertAlign val="superscript"/>
        <sz val="16"/>
        <rFont val="Arial"/>
        <family val="2"/>
      </rPr>
      <t>18</t>
    </r>
  </si>
  <si>
    <r>
      <t>18</t>
    </r>
    <r>
      <rPr>
        <b/>
        <sz val="20"/>
        <color indexed="12"/>
        <rFont val="Arial"/>
        <family val="2"/>
      </rPr>
      <t>a</t>
    </r>
    <r>
      <rPr>
        <sz val="10"/>
        <rFont val="Arial"/>
      </rPr>
      <t>10</t>
    </r>
    <r>
      <rPr>
        <sz val="16"/>
        <rFont val="Arial"/>
        <family val="2"/>
      </rPr>
      <t>/2</t>
    </r>
    <r>
      <rPr>
        <sz val="10"/>
        <rFont val="Arial"/>
      </rPr>
      <t xml:space="preserve"> </t>
    </r>
    <r>
      <rPr>
        <sz val="12"/>
        <rFont val="Arial"/>
        <family val="2"/>
      </rPr>
      <t>=</t>
    </r>
    <r>
      <rPr>
        <sz val="10"/>
        <rFont val="Arial"/>
      </rPr>
      <t xml:space="preserve"> </t>
    </r>
  </si>
  <si>
    <r>
      <t xml:space="preserve">    18</t>
    </r>
    <r>
      <rPr>
        <b/>
        <sz val="20"/>
        <color indexed="12"/>
        <rFont val="Arial"/>
        <family val="2"/>
      </rPr>
      <t>a</t>
    </r>
    <r>
      <rPr>
        <sz val="10"/>
        <rFont val="Arial"/>
      </rPr>
      <t xml:space="preserve">10 </t>
    </r>
    <r>
      <rPr>
        <sz val="12"/>
        <rFont val="Arial"/>
        <family val="2"/>
      </rPr>
      <t>=</t>
    </r>
    <r>
      <rPr>
        <sz val="10"/>
        <rFont val="Arial"/>
      </rPr>
      <t xml:space="preserve"> </t>
    </r>
  </si>
  <si>
    <r>
      <t xml:space="preserve">     n</t>
    </r>
    <r>
      <rPr>
        <b/>
        <sz val="20"/>
        <rFont val="Arial"/>
        <family val="2"/>
      </rPr>
      <t>r</t>
    </r>
    <r>
      <rPr>
        <sz val="10"/>
        <rFont val="Arial"/>
      </rPr>
      <t xml:space="preserve">1t </t>
    </r>
    <r>
      <rPr>
        <sz val="16"/>
        <rFont val="Arial"/>
        <family val="2"/>
      </rPr>
      <t>=</t>
    </r>
    <r>
      <rPr>
        <sz val="10"/>
        <rFont val="Arial"/>
      </rPr>
      <t xml:space="preserve"> </t>
    </r>
  </si>
  <si>
    <r>
      <t xml:space="preserve"> </t>
    </r>
    <r>
      <rPr>
        <sz val="16"/>
        <color indexed="10"/>
        <rFont val="Arial"/>
        <family val="2"/>
      </rPr>
      <t xml:space="preserve">= (1 </t>
    </r>
    <r>
      <rPr>
        <sz val="20"/>
        <color indexed="10"/>
        <rFont val="Arial"/>
        <family val="2"/>
      </rPr>
      <t>+</t>
    </r>
    <r>
      <rPr>
        <sz val="16"/>
        <color indexed="10"/>
        <rFont val="Arial"/>
        <family val="2"/>
      </rPr>
      <t xml:space="preserve"> 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19</t>
    </r>
    <r>
      <rPr>
        <sz val="16"/>
        <color indexed="10"/>
        <rFont val="Arial"/>
        <family val="2"/>
      </rPr>
      <t>/2)</t>
    </r>
    <r>
      <rPr>
        <vertAlign val="superscript"/>
        <sz val="16"/>
        <color indexed="10"/>
        <rFont val="Arial"/>
        <family val="2"/>
      </rPr>
      <t>19</t>
    </r>
  </si>
  <si>
    <r>
      <t xml:space="preserve"> </t>
    </r>
    <r>
      <rPr>
        <sz val="16"/>
        <color indexed="10"/>
        <rFont val="Arial"/>
        <family val="2"/>
      </rPr>
      <t xml:space="preserve">= (1 </t>
    </r>
    <r>
      <rPr>
        <sz val="20"/>
        <color indexed="10"/>
        <rFont val="Arial"/>
        <family val="2"/>
      </rPr>
      <t>+</t>
    </r>
    <r>
      <rPr>
        <sz val="16"/>
        <color indexed="10"/>
        <rFont val="Arial"/>
        <family val="2"/>
      </rPr>
      <t xml:space="preserve"> 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18</t>
    </r>
    <r>
      <rPr>
        <sz val="16"/>
        <color indexed="10"/>
        <rFont val="Arial"/>
        <family val="2"/>
      </rPr>
      <t>/2)</t>
    </r>
    <r>
      <rPr>
        <vertAlign val="superscript"/>
        <sz val="16"/>
        <color indexed="10"/>
        <rFont val="Arial"/>
        <family val="2"/>
      </rPr>
      <t>18</t>
    </r>
  </si>
  <si>
    <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18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>/2</t>
    </r>
    <r>
      <rPr>
        <sz val="16"/>
        <rFont val="Arial"/>
        <family val="2"/>
      </rPr>
      <t>=</t>
    </r>
    <r>
      <rPr>
        <b/>
        <sz val="10"/>
        <rFont val="Arial"/>
        <family val="2"/>
      </rPr>
      <t xml:space="preserve"> spot rate (yield to maturity) of the 18 period bond</t>
    </r>
  </si>
  <si>
    <r>
      <t xml:space="preserve">   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18</t>
    </r>
    <r>
      <rPr>
        <b/>
        <sz val="10"/>
        <rFont val="Arial"/>
        <family val="2"/>
      </rPr>
      <t xml:space="preserve">  </t>
    </r>
    <r>
      <rPr>
        <sz val="16"/>
        <rFont val="Arial"/>
        <family val="2"/>
      </rPr>
      <t>=</t>
    </r>
    <r>
      <rPr>
        <b/>
        <sz val="10"/>
        <rFont val="Arial"/>
        <family val="2"/>
      </rPr>
      <t xml:space="preserve"> APR spot rate (yield to maturity) of the 18 period bond</t>
    </r>
  </si>
  <si>
    <r>
      <t>0</t>
    </r>
    <r>
      <rPr>
        <b/>
        <sz val="18"/>
        <color indexed="10"/>
        <rFont val="Arial"/>
        <family val="2"/>
      </rPr>
      <t>R</t>
    </r>
    <r>
      <rPr>
        <sz val="10"/>
        <rFont val="Arial"/>
        <family val="2"/>
      </rPr>
      <t>19</t>
    </r>
    <r>
      <rPr>
        <sz val="16"/>
        <rFont val="Arial"/>
        <family val="2"/>
      </rPr>
      <t xml:space="preserve"> /2</t>
    </r>
    <r>
      <rPr>
        <sz val="16"/>
        <rFont val="Arial"/>
        <family val="2"/>
      </rPr>
      <t>=</t>
    </r>
    <r>
      <rPr>
        <b/>
        <sz val="10"/>
        <rFont val="Arial"/>
        <family val="2"/>
      </rPr>
      <t xml:space="preserve"> spot rate (yield to maturity) of the 19 period bond</t>
    </r>
  </si>
  <si>
    <r>
      <t xml:space="preserve">   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 xml:space="preserve">19  </t>
    </r>
    <r>
      <rPr>
        <sz val="16"/>
        <rFont val="Arial"/>
        <family val="2"/>
      </rPr>
      <t>=</t>
    </r>
    <r>
      <rPr>
        <b/>
        <sz val="10"/>
        <rFont val="Arial"/>
        <family val="2"/>
      </rPr>
      <t xml:space="preserve"> APR spot rate (yield to maturity) of the 19 period bond</t>
    </r>
  </si>
  <si>
    <r>
      <t xml:space="preserve"> =</t>
    </r>
    <r>
      <rPr>
        <vertAlign val="subscript"/>
        <sz val="2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sz val="16"/>
        <color indexed="10"/>
        <rFont val="Arial"/>
        <family val="2"/>
      </rPr>
      <t>PV</t>
    </r>
    <r>
      <rPr>
        <sz val="10"/>
        <rFont val="Arial"/>
        <family val="2"/>
      </rPr>
      <t>19</t>
    </r>
    <r>
      <rPr>
        <sz val="16"/>
        <rFont val="Arial"/>
        <family val="2"/>
      </rPr>
      <t xml:space="preserve">(1 +  </t>
    </r>
    <r>
      <rPr>
        <sz val="10"/>
        <rFont val="Arial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19</t>
    </r>
    <r>
      <rPr>
        <sz val="16"/>
        <rFont val="Arial"/>
        <family val="2"/>
      </rPr>
      <t>/2)</t>
    </r>
    <r>
      <rPr>
        <vertAlign val="superscript"/>
        <sz val="16"/>
        <rFont val="Arial"/>
        <family val="2"/>
      </rPr>
      <t>19</t>
    </r>
  </si>
  <si>
    <r>
      <t xml:space="preserve"> =</t>
    </r>
    <r>
      <rPr>
        <vertAlign val="subscript"/>
        <sz val="2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sz val="16"/>
        <color indexed="10"/>
        <rFont val="Arial"/>
        <family val="2"/>
      </rPr>
      <t>PV</t>
    </r>
    <r>
      <rPr>
        <sz val="10"/>
        <rFont val="Arial"/>
        <family val="2"/>
      </rPr>
      <t>18</t>
    </r>
    <r>
      <rPr>
        <sz val="16"/>
        <rFont val="Arial"/>
        <family val="2"/>
      </rPr>
      <t>(1 +</t>
    </r>
    <r>
      <rPr>
        <sz val="10"/>
        <rFont val="Arial"/>
      </rPr>
      <t xml:space="preserve">  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18</t>
    </r>
    <r>
      <rPr>
        <sz val="16"/>
        <rFont val="Arial"/>
        <family val="2"/>
      </rPr>
      <t>/2)</t>
    </r>
    <r>
      <rPr>
        <vertAlign val="superscript"/>
        <sz val="16"/>
        <rFont val="Arial"/>
        <family val="2"/>
      </rPr>
      <t>18</t>
    </r>
  </si>
  <si>
    <r>
      <t xml:space="preserve"> </t>
    </r>
    <r>
      <rPr>
        <sz val="16"/>
        <color indexed="10"/>
        <rFont val="Arial"/>
        <family val="2"/>
      </rPr>
      <t xml:space="preserve">= (1 </t>
    </r>
    <r>
      <rPr>
        <sz val="20"/>
        <color indexed="10"/>
        <rFont val="Arial"/>
        <family val="2"/>
      </rPr>
      <t>+</t>
    </r>
    <r>
      <rPr>
        <sz val="16"/>
        <color indexed="10"/>
        <rFont val="Arial"/>
        <family val="2"/>
      </rPr>
      <t xml:space="preserve"> 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3</t>
    </r>
    <r>
      <rPr>
        <sz val="16"/>
        <color indexed="10"/>
        <rFont val="Arial"/>
        <family val="2"/>
      </rPr>
      <t>)</t>
    </r>
    <r>
      <rPr>
        <vertAlign val="superscript"/>
        <sz val="16"/>
        <color indexed="10"/>
        <rFont val="Arial"/>
        <family val="2"/>
      </rPr>
      <t>3</t>
    </r>
  </si>
  <si>
    <r>
      <t xml:space="preserve"> = (1 +</t>
    </r>
    <r>
      <rPr>
        <sz val="10"/>
        <color indexed="10"/>
        <rFont val="Arial"/>
        <family val="2"/>
      </rPr>
      <t xml:space="preserve"> 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2</t>
    </r>
    <r>
      <rPr>
        <sz val="16"/>
        <color indexed="10"/>
        <rFont val="Arial"/>
        <family val="2"/>
      </rPr>
      <t>)</t>
    </r>
    <r>
      <rPr>
        <vertAlign val="superscript"/>
        <sz val="16"/>
        <color indexed="10"/>
        <rFont val="Arial"/>
        <family val="2"/>
      </rPr>
      <t>2</t>
    </r>
  </si>
  <si>
    <r>
      <t xml:space="preserve"> = (1 + 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4</t>
    </r>
    <r>
      <rPr>
        <sz val="16"/>
        <color indexed="10"/>
        <rFont val="Arial"/>
        <family val="2"/>
      </rPr>
      <t>)</t>
    </r>
    <r>
      <rPr>
        <vertAlign val="superscript"/>
        <sz val="16"/>
        <color indexed="10"/>
        <rFont val="Arial"/>
        <family val="2"/>
      </rPr>
      <t>4</t>
    </r>
  </si>
  <si>
    <r>
      <t xml:space="preserve"> </t>
    </r>
    <r>
      <rPr>
        <sz val="16"/>
        <color indexed="10"/>
        <rFont val="Arial"/>
        <family val="2"/>
      </rPr>
      <t xml:space="preserve">= (1 </t>
    </r>
    <r>
      <rPr>
        <sz val="20"/>
        <color indexed="10"/>
        <rFont val="Arial"/>
        <family val="2"/>
      </rPr>
      <t>+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1</t>
    </r>
    <r>
      <rPr>
        <sz val="16"/>
        <color indexed="10"/>
        <rFont val="Arial"/>
        <family val="2"/>
      </rPr>
      <t>)</t>
    </r>
    <r>
      <rPr>
        <vertAlign val="superscript"/>
        <sz val="16"/>
        <color indexed="10"/>
        <rFont val="Arial"/>
        <family val="2"/>
      </rPr>
      <t>1</t>
    </r>
    <r>
      <rPr>
        <sz val="10"/>
        <rFont val="Arial"/>
      </rPr>
      <t/>
    </r>
  </si>
  <si>
    <r>
      <t xml:space="preserve"> </t>
    </r>
    <r>
      <rPr>
        <sz val="16"/>
        <color indexed="10"/>
        <rFont val="Arial"/>
        <family val="2"/>
      </rPr>
      <t xml:space="preserve">= (1 </t>
    </r>
    <r>
      <rPr>
        <sz val="20"/>
        <color indexed="10"/>
        <rFont val="Arial"/>
        <family val="2"/>
      </rPr>
      <t>+</t>
    </r>
    <r>
      <rPr>
        <sz val="16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2</t>
    </r>
    <r>
      <rPr>
        <sz val="16"/>
        <color indexed="10"/>
        <rFont val="Arial"/>
        <family val="2"/>
      </rPr>
      <t>)</t>
    </r>
    <r>
      <rPr>
        <vertAlign val="superscript"/>
        <sz val="16"/>
        <color indexed="10"/>
        <rFont val="Arial"/>
        <family val="2"/>
      </rPr>
      <t>2</t>
    </r>
  </si>
  <si>
    <r>
      <t xml:space="preserve"> </t>
    </r>
    <r>
      <rPr>
        <sz val="16"/>
        <color indexed="10"/>
        <rFont val="Arial"/>
        <family val="2"/>
      </rPr>
      <t xml:space="preserve">= (1 </t>
    </r>
    <r>
      <rPr>
        <sz val="20"/>
        <color indexed="10"/>
        <rFont val="Arial"/>
        <family val="2"/>
      </rPr>
      <t>+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3</t>
    </r>
    <r>
      <rPr>
        <sz val="16"/>
        <color indexed="10"/>
        <rFont val="Arial"/>
        <family val="2"/>
      </rPr>
      <t>)</t>
    </r>
    <r>
      <rPr>
        <vertAlign val="superscript"/>
        <sz val="16"/>
        <color indexed="10"/>
        <rFont val="Arial"/>
        <family val="2"/>
      </rPr>
      <t>3</t>
    </r>
  </si>
  <si>
    <r>
      <t xml:space="preserve">    0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</si>
  <si>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1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20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</si>
  <si>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2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30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</si>
  <si>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3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40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</si>
  <si>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0</t>
    </r>
    <r>
      <rPr>
        <b/>
        <sz val="20"/>
        <color indexed="10"/>
        <rFont val="Arial"/>
        <family val="2"/>
      </rPr>
      <t>g</t>
    </r>
    <r>
      <rPr>
        <sz val="10"/>
        <rFont val="Arial"/>
        <family val="2"/>
      </rPr>
      <t xml:space="preserve">1 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</si>
  <si>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0</t>
    </r>
    <r>
      <rPr>
        <b/>
        <sz val="20"/>
        <color indexed="10"/>
        <rFont val="Arial"/>
        <family val="2"/>
      </rPr>
      <t>g</t>
    </r>
    <r>
      <rPr>
        <sz val="10"/>
        <rFont val="Arial"/>
        <family val="2"/>
      </rPr>
      <t xml:space="preserve">2 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</si>
  <si>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0</t>
    </r>
    <r>
      <rPr>
        <b/>
        <sz val="20"/>
        <color indexed="10"/>
        <rFont val="Arial"/>
        <family val="2"/>
      </rPr>
      <t>g</t>
    </r>
    <r>
      <rPr>
        <sz val="10"/>
        <rFont val="Arial"/>
        <family val="2"/>
      </rPr>
      <t xml:space="preserve">3 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</si>
  <si>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0</t>
    </r>
    <r>
      <rPr>
        <b/>
        <sz val="20"/>
        <color indexed="10"/>
        <rFont val="Arial"/>
        <family val="2"/>
      </rPr>
      <t>g</t>
    </r>
    <r>
      <rPr>
        <sz val="10"/>
        <rFont val="Arial"/>
        <family val="2"/>
      </rPr>
      <t xml:space="preserve">4 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</si>
  <si>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</t>
    </r>
    <r>
      <rPr>
        <sz val="10"/>
        <rFont val="Arial"/>
        <family val="2"/>
      </rPr>
      <t>2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</si>
  <si>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</t>
    </r>
    <r>
      <rPr>
        <sz val="10"/>
        <rFont val="Arial"/>
        <family val="2"/>
      </rPr>
      <t>0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</si>
  <si>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</t>
    </r>
    <r>
      <rPr>
        <sz val="10"/>
        <rFont val="Arial"/>
        <family val="2"/>
      </rPr>
      <t>1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</si>
  <si>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</t>
    </r>
    <r>
      <rPr>
        <sz val="10"/>
        <rFont val="Arial"/>
        <family val="2"/>
      </rPr>
      <t>3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</si>
  <si>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t>Note that in the above illustration, the multi-period forward rates of return are</t>
  </si>
  <si>
    <t xml:space="preserve">at a given date are very close to the historical spot rate yields to maturity.  </t>
  </si>
  <si>
    <t>Hint:  In Excel, there is a "statistical" GEOMEAN geometric mean function.  For</t>
  </si>
  <si>
    <t>What is the definition of a multi-period forward rate?  In the above example,</t>
  </si>
  <si>
    <t>notational consistency, use the following symbols for  the multi-period forward</t>
  </si>
  <si>
    <t>the end of a given Year n:</t>
  </si>
  <si>
    <r>
      <t xml:space="preserve">    t</t>
    </r>
    <r>
      <rPr>
        <b/>
        <sz val="20"/>
        <color indexed="10"/>
        <rFont val="Arial"/>
        <family val="2"/>
      </rPr>
      <t>g</t>
    </r>
    <r>
      <rPr>
        <sz val="10"/>
        <rFont val="Arial"/>
        <family val="2"/>
      </rPr>
      <t xml:space="preserve">n 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</si>
  <si>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t>rate of return for a the span of time between Time t and Time n.</t>
  </si>
  <si>
    <t xml:space="preserve">geometric mean of the one-year forward rates between Time t </t>
  </si>
  <si>
    <t xml:space="preserve">and Time n.  </t>
  </si>
  <si>
    <r>
      <t xml:space="preserve">    0</t>
    </r>
    <r>
      <rPr>
        <b/>
        <sz val="20"/>
        <color indexed="10"/>
        <rFont val="Arial"/>
        <family val="2"/>
      </rPr>
      <t>g</t>
    </r>
    <r>
      <rPr>
        <sz val="10"/>
        <rFont val="Arial"/>
        <family val="2"/>
      </rPr>
      <t>1</t>
    </r>
    <r>
      <rPr>
        <sz val="10"/>
        <color indexed="10"/>
        <rFont val="Arial"/>
        <family val="2"/>
      </rPr>
      <t xml:space="preserve"> </t>
    </r>
  </si>
  <si>
    <r>
      <t xml:space="preserve">    0</t>
    </r>
    <r>
      <rPr>
        <b/>
        <sz val="20"/>
        <color indexed="10"/>
        <rFont val="Arial"/>
        <family val="2"/>
      </rPr>
      <t>g</t>
    </r>
    <r>
      <rPr>
        <sz val="10"/>
        <rFont val="Arial"/>
        <family val="2"/>
      </rPr>
      <t>2</t>
    </r>
    <r>
      <rPr>
        <sz val="10"/>
        <color indexed="10"/>
        <rFont val="Arial"/>
        <family val="2"/>
      </rPr>
      <t/>
    </r>
  </si>
  <si>
    <r>
      <t xml:space="preserve">    0</t>
    </r>
    <r>
      <rPr>
        <b/>
        <sz val="20"/>
        <color indexed="10"/>
        <rFont val="Arial"/>
        <family val="2"/>
      </rPr>
      <t>g</t>
    </r>
    <r>
      <rPr>
        <sz val="10"/>
        <rFont val="Arial"/>
        <family val="2"/>
      </rPr>
      <t>3</t>
    </r>
    <r>
      <rPr>
        <sz val="10"/>
        <color indexed="10"/>
        <rFont val="Arial"/>
        <family val="2"/>
      </rPr>
      <t/>
    </r>
  </si>
  <si>
    <r>
      <t xml:space="preserve">    0</t>
    </r>
    <r>
      <rPr>
        <b/>
        <sz val="20"/>
        <color indexed="10"/>
        <rFont val="Arial"/>
        <family val="2"/>
      </rPr>
      <t>g</t>
    </r>
    <r>
      <rPr>
        <sz val="10"/>
        <rFont val="Arial"/>
        <family val="2"/>
      </rPr>
      <t>4</t>
    </r>
    <r>
      <rPr>
        <sz val="10"/>
        <color indexed="10"/>
        <rFont val="Arial"/>
        <family val="2"/>
      </rPr>
      <t/>
    </r>
  </si>
  <si>
    <r>
      <t xml:space="preserve">    1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</si>
  <si>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2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</si>
  <si>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 3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</si>
  <si>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t>Answer:</t>
  </si>
  <si>
    <t>You are to compute the missing values in the table below:</t>
  </si>
  <si>
    <t>The multi-period forward rate is the geometric mean across the period covered.</t>
  </si>
  <si>
    <t>What impact do variations in the present values at Time 0 make on the</t>
  </si>
  <si>
    <t>this question in terms of the tables shown below for Case 1 versus Case 2.</t>
  </si>
  <si>
    <t>APR Yield</t>
  </si>
  <si>
    <t>in Year t+1</t>
  </si>
  <si>
    <t>less Geo. Mean</t>
  </si>
  <si>
    <t>in Year t</t>
  </si>
  <si>
    <t>Geometric</t>
  </si>
  <si>
    <t>relationship between forward rates and yields to maturity?  Please answer</t>
  </si>
  <si>
    <t xml:space="preserve">Do the changed present values in Case 1 versus Case 2 impact upon the </t>
  </si>
  <si>
    <t>It will be convenient to fill in the missing numbers in Cases 1 and 2.  The two tables</t>
  </si>
  <si>
    <t>below have no missing numbers.</t>
  </si>
  <si>
    <t>The</t>
  </si>
  <si>
    <t>Spot Rate</t>
  </si>
  <si>
    <t>Time 0-t</t>
  </si>
  <si>
    <r>
      <t>Problem:  Case 1 with present values</t>
    </r>
    <r>
      <rPr>
        <sz val="10"/>
        <color indexed="10"/>
        <rFont val="Arial"/>
        <family val="2"/>
      </rPr>
      <t xml:space="preserve"> vary</t>
    </r>
    <r>
      <rPr>
        <sz val="10"/>
        <rFont val="Arial"/>
      </rPr>
      <t xml:space="preserve"> with maturity dates</t>
    </r>
  </si>
  <si>
    <r>
      <t>Problem:  Case 2 with present values that</t>
    </r>
    <r>
      <rPr>
        <sz val="10"/>
        <color indexed="10"/>
        <rFont val="Arial"/>
        <family val="2"/>
      </rPr>
      <t xml:space="preserve"> do not vary</t>
    </r>
    <r>
      <rPr>
        <sz val="10"/>
        <rFont val="Arial"/>
      </rPr>
      <t xml:space="preserve"> with maturity dates</t>
    </r>
  </si>
  <si>
    <t>Answer:  Case 1 with present values vary with maturity dates</t>
  </si>
  <si>
    <t>Answer:  Case 2 with present values that do not vary with maturity dates</t>
  </si>
  <si>
    <t>Cases 1 and 2 have differing Time 0 yields to maturity arising from differing</t>
  </si>
  <si>
    <t>maturities.  However, both cases have identical yields to maturity for a given</t>
  </si>
  <si>
    <t>investment period.  Since these the yields to maturity are identical for any</t>
  </si>
  <si>
    <t>given holding period, the one-period and multi-period (geometric mean) rates</t>
  </si>
  <si>
    <t>tied up for four years, it does not matter whether the investor chooses a long-term</t>
  </si>
  <si>
    <t>year time span.</t>
  </si>
  <si>
    <t>In both Cases 1 and 2, securities with different maturities are perfect substitutes</t>
  </si>
  <si>
    <t>for one another.  It must be assumed in this instance that investors are risk neutral.</t>
  </si>
  <si>
    <t>are identical for Case 1 and Case 2 for any given maturity row.</t>
  </si>
  <si>
    <t>Present values have no impact as long as spot rates are identical in each</t>
  </si>
  <si>
    <t xml:space="preserve">maturity period.  In Case 2 it is obvious that as long as $781 is to be </t>
  </si>
  <si>
    <t>Note the one year lag in the geometric mean rate versus the Time 0 spot rate:</t>
  </si>
  <si>
    <t>Time 0 Spot</t>
  </si>
  <si>
    <t>Geometric Mean</t>
  </si>
  <si>
    <t>When answering your question, plot the yield curve against the geometric</t>
  </si>
  <si>
    <t>mean multi-period forward rate.</t>
  </si>
  <si>
    <t>one-period and multi-period forward rates?  Assume that all interim yields</t>
  </si>
  <si>
    <t>must be rolled over in Case 1 or Case 2 for the entire four year period.</t>
  </si>
  <si>
    <t xml:space="preserve">        Cases 1 and 2</t>
  </si>
  <si>
    <t xml:space="preserve">               Case 1 </t>
  </si>
  <si>
    <t xml:space="preserve">               Case 2 </t>
  </si>
  <si>
    <t>achieve a Year 4 return of $1,043.  Similarly, she can purchase a $781 three-year</t>
  </si>
  <si>
    <t>Case 1</t>
  </si>
  <si>
    <t>Case 2</t>
  </si>
  <si>
    <t>Four year note</t>
  </si>
  <si>
    <t>its one-year forward rate brings the Year 4 return up to the same Year 4 value:</t>
  </si>
  <si>
    <r>
      <t xml:space="preserve"> </t>
    </r>
    <r>
      <rPr>
        <sz val="14"/>
        <rFont val="Arial"/>
        <family val="2"/>
      </rPr>
      <t>= $981(1+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4</t>
    </r>
    <r>
      <rPr>
        <sz val="14"/>
        <rFont val="Arial"/>
        <family val="2"/>
      </rPr>
      <t>)</t>
    </r>
    <r>
      <rPr>
        <vertAlign val="superscript"/>
        <sz val="16"/>
        <rFont val="Arial"/>
        <family val="2"/>
      </rPr>
      <t xml:space="preserve">4 </t>
    </r>
    <r>
      <rPr>
        <sz val="14"/>
        <color indexed="10"/>
        <rFont val="Arial"/>
        <family val="2"/>
      </rPr>
      <t xml:space="preserve"> </t>
    </r>
  </si>
  <si>
    <t>Three year note</t>
  </si>
  <si>
    <t>Three year note + a one year note</t>
  </si>
  <si>
    <t>For example, in Case 2 an investor can purchase a $781 four-year note and</t>
  </si>
  <si>
    <r>
      <t xml:space="preserve"> </t>
    </r>
    <r>
      <rPr>
        <sz val="14"/>
        <rFont val="Arial"/>
        <family val="2"/>
      </rPr>
      <t>= $816(1+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3</t>
    </r>
    <r>
      <rPr>
        <sz val="14"/>
        <rFont val="Arial"/>
        <family val="2"/>
      </rPr>
      <t>)</t>
    </r>
    <r>
      <rPr>
        <vertAlign val="superscript"/>
        <sz val="16"/>
        <rFont val="Arial"/>
        <family val="2"/>
      </rPr>
      <t xml:space="preserve">3 </t>
    </r>
    <r>
      <rPr>
        <sz val="14"/>
        <color indexed="10"/>
        <rFont val="Arial"/>
        <family val="2"/>
      </rPr>
      <t xml:space="preserve"> </t>
    </r>
  </si>
  <si>
    <r>
      <t xml:space="preserve"> </t>
    </r>
    <r>
      <rPr>
        <sz val="14"/>
        <rFont val="Arial"/>
        <family val="2"/>
      </rPr>
      <t>= $1000(1+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3</t>
    </r>
    <r>
      <rPr>
        <b/>
        <sz val="20"/>
        <color indexed="10"/>
        <rFont val="Arial"/>
        <family val="2"/>
      </rPr>
      <t>r</t>
    </r>
    <r>
      <rPr>
        <sz val="10"/>
        <rFont val="Arial"/>
        <family val="2"/>
      </rPr>
      <t>10</t>
    </r>
    <r>
      <rPr>
        <sz val="14"/>
        <rFont val="Arial"/>
        <family val="2"/>
      </rPr>
      <t xml:space="preserve">) </t>
    </r>
    <r>
      <rPr>
        <sz val="14"/>
        <color indexed="10"/>
        <rFont val="Arial"/>
        <family val="2"/>
      </rPr>
      <t xml:space="preserve"> </t>
    </r>
  </si>
  <si>
    <r>
      <t xml:space="preserve"> </t>
    </r>
    <r>
      <rPr>
        <sz val="14"/>
        <rFont val="Arial"/>
        <family val="2"/>
      </rPr>
      <t>= $749(1+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0</t>
    </r>
    <r>
      <rPr>
        <b/>
        <sz val="16"/>
        <color indexed="10"/>
        <rFont val="Arial"/>
        <family val="2"/>
      </rPr>
      <t>R</t>
    </r>
    <r>
      <rPr>
        <sz val="10"/>
        <rFont val="Arial"/>
        <family val="2"/>
      </rPr>
      <t>4</t>
    </r>
    <r>
      <rPr>
        <sz val="14"/>
        <rFont val="Arial"/>
        <family val="2"/>
      </rPr>
      <t>)</t>
    </r>
    <r>
      <rPr>
        <vertAlign val="superscript"/>
        <sz val="16"/>
        <rFont val="Arial"/>
        <family val="2"/>
      </rPr>
      <t xml:space="preserve">4 </t>
    </r>
    <r>
      <rPr>
        <sz val="14"/>
        <color indexed="10"/>
        <rFont val="Arial"/>
        <family val="2"/>
      </rPr>
      <t xml:space="preserve"> </t>
    </r>
  </si>
  <si>
    <r>
      <t xml:space="preserve">   </t>
    </r>
    <r>
      <rPr>
        <sz val="10"/>
        <rFont val="Arial"/>
        <family val="2"/>
      </rPr>
      <t>1</t>
    </r>
    <r>
      <rPr>
        <sz val="20"/>
        <color indexed="12"/>
        <rFont val="Arial"/>
        <family val="2"/>
      </rPr>
      <t>a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</si>
  <si>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</t>
    </r>
    <r>
      <rPr>
        <sz val="10"/>
        <rFont val="Arial"/>
        <family val="2"/>
      </rPr>
      <t>2</t>
    </r>
    <r>
      <rPr>
        <sz val="20"/>
        <color indexed="12"/>
        <rFont val="Arial"/>
        <family val="2"/>
      </rPr>
      <t>a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</si>
  <si>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</t>
    </r>
    <r>
      <rPr>
        <sz val="10"/>
        <rFont val="Arial"/>
        <family val="2"/>
      </rPr>
      <t>3</t>
    </r>
    <r>
      <rPr>
        <sz val="20"/>
        <color indexed="12"/>
        <rFont val="Arial"/>
        <family val="2"/>
      </rPr>
      <t>a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</si>
  <si>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r>
      <t xml:space="preserve">   </t>
    </r>
    <r>
      <rPr>
        <sz val="10"/>
        <rFont val="Arial"/>
        <family val="2"/>
      </rPr>
      <t>0</t>
    </r>
    <r>
      <rPr>
        <sz val="20"/>
        <color indexed="12"/>
        <rFont val="Arial"/>
        <family val="2"/>
      </rPr>
      <t>a</t>
    </r>
    <r>
      <rPr>
        <sz val="10"/>
        <rFont val="Arial"/>
        <family val="2"/>
      </rPr>
      <t xml:space="preserve">10 </t>
    </r>
    <r>
      <rPr>
        <sz val="16"/>
        <rFont val="Arial"/>
        <family val="2"/>
      </rPr>
      <t>=</t>
    </r>
    <r>
      <rPr>
        <sz val="10"/>
        <color indexed="10"/>
        <rFont val="Arial"/>
        <family val="2"/>
      </rPr>
      <t xml:space="preserve"> </t>
    </r>
  </si>
  <si>
    <t xml:space="preserve">In the above problem, when are adjusted one-period forward rates needed to </t>
  </si>
  <si>
    <r>
      <t xml:space="preserve">This will </t>
    </r>
    <r>
      <rPr>
        <b/>
        <sz val="10"/>
        <color indexed="12"/>
        <rFont val="Arial"/>
        <family val="2"/>
      </rPr>
      <t>not work</t>
    </r>
    <r>
      <rPr>
        <b/>
        <sz val="10"/>
        <color indexed="10"/>
        <rFont val="Arial"/>
        <family val="2"/>
      </rPr>
      <t xml:space="preserve"> in Case 1 as is illustrated below:</t>
    </r>
  </si>
  <si>
    <r>
      <t xml:space="preserve">To make it </t>
    </r>
    <r>
      <rPr>
        <b/>
        <sz val="10"/>
        <color indexed="12"/>
        <rFont val="Arial"/>
        <family val="2"/>
      </rPr>
      <t>work</t>
    </r>
    <r>
      <rPr>
        <b/>
        <sz val="10"/>
        <color indexed="10"/>
        <rFont val="Arial"/>
        <family val="2"/>
      </rPr>
      <t xml:space="preserve"> in Case 1, </t>
    </r>
    <r>
      <rPr>
        <b/>
        <sz val="10"/>
        <color indexed="12"/>
        <rFont val="Arial"/>
        <family val="2"/>
      </rPr>
      <t>adjusted one-year forward rates</t>
    </r>
    <r>
      <rPr>
        <b/>
        <sz val="10"/>
        <color indexed="10"/>
        <rFont val="Arial"/>
        <family val="2"/>
      </rPr>
      <t xml:space="preserve"> must be used as follows:</t>
    </r>
  </si>
  <si>
    <t>The reason for this is really quite simple.  In Case 2, the investor has $781 tied up</t>
  </si>
  <si>
    <t>to add up to four years.</t>
  </si>
  <si>
    <t>is tied up for an added year to reach the end of Year 4.</t>
  </si>
  <si>
    <t xml:space="preserve">In the case of a long-term four year note, only $749 is tied up for four years.  In the </t>
  </si>
  <si>
    <t>case of a three-year note, $816 is tied up for three years plus its return of $1,000</t>
  </si>
  <si>
    <t>for four years no matter what combination of note maturities are concatenated</t>
  </si>
  <si>
    <t xml:space="preserve">The main point is that in order for unadjusted one-year forward rates to achieve </t>
  </si>
  <si>
    <t>identical results, all options must have identical Time 0 present values.</t>
  </si>
  <si>
    <t>In both Cases 1 and 2, however, the yield curves unadjusted one-year forward</t>
  </si>
  <si>
    <t>rates, and geometric mean multi-year forward rates are identical.</t>
  </si>
  <si>
    <t>In Case 1, the investor has an option regarding how much to tie up for four years.</t>
  </si>
  <si>
    <t>achieve identical outcomes between shorter and longer maturity concatenations?</t>
  </si>
  <si>
    <t xml:space="preserve">Unadjusted rates can be used in Case 2 where Time 0 present values are equal. </t>
  </si>
  <si>
    <r>
      <t xml:space="preserve"> </t>
    </r>
    <r>
      <rPr>
        <sz val="14"/>
        <rFont val="Arial"/>
        <family val="2"/>
      </rPr>
      <t>= $1000(1+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3</t>
    </r>
    <r>
      <rPr>
        <b/>
        <sz val="20"/>
        <color indexed="12"/>
        <rFont val="Arial"/>
        <family val="2"/>
      </rPr>
      <t>a</t>
    </r>
    <r>
      <rPr>
        <sz val="10"/>
        <rFont val="Arial"/>
        <family val="2"/>
      </rPr>
      <t>10</t>
    </r>
    <r>
      <rPr>
        <sz val="14"/>
        <rFont val="Arial"/>
        <family val="2"/>
      </rPr>
      <t xml:space="preserve">) </t>
    </r>
    <r>
      <rPr>
        <sz val="14"/>
        <color indexed="10"/>
        <rFont val="Arial"/>
        <family val="2"/>
      </rPr>
      <t xml:space="preserve"> </t>
    </r>
  </si>
  <si>
    <t>One-</t>
  </si>
  <si>
    <t>There is a term structure, however, with yields correlated with maturity dates.</t>
  </si>
  <si>
    <t>Example 2 of SFAS 133, pp. 61-67, Paragraphs 111-120.</t>
  </si>
  <si>
    <t>Paragraph 117 Data of SFAS 133 (No ineffectiveness)</t>
  </si>
  <si>
    <t>Estimated</t>
  </si>
  <si>
    <t>Percent</t>
  </si>
  <si>
    <t>Interest</t>
  </si>
  <si>
    <t>Change</t>
  </si>
  <si>
    <t>in Debt</t>
  </si>
  <si>
    <t>Original</t>
  </si>
  <si>
    <t>Current</t>
  </si>
  <si>
    <t>Debt</t>
  </si>
  <si>
    <t>Quarter</t>
  </si>
  <si>
    <t>FMV%</t>
  </si>
  <si>
    <t>Principal</t>
  </si>
  <si>
    <t>FMV</t>
  </si>
  <si>
    <t>07/01/x1</t>
  </si>
  <si>
    <t>09/30/x1</t>
  </si>
  <si>
    <t>12/31/x1</t>
  </si>
  <si>
    <t>06/30/x2</t>
  </si>
  <si>
    <t>09/30/x2</t>
  </si>
  <si>
    <t>12/31/x2</t>
  </si>
  <si>
    <t>03/31/x3</t>
  </si>
  <si>
    <t>06/30/x3</t>
  </si>
  <si>
    <t>Swap</t>
  </si>
  <si>
    <t>Amortization</t>
  </si>
  <si>
    <t xml:space="preserve">    Fair Value Hedge of Fixed-Rate Interest-Bearing Debt</t>
  </si>
  <si>
    <t>Statement on derivatives is available as Publication Number 186-B, June 1998, Product Code S133</t>
  </si>
  <si>
    <t xml:space="preserve">                   FASB Statement No. 133, Accounting for Derivative  Instruments and Hedging Activities</t>
  </si>
  <si>
    <t xml:space="preserve">                   Call (800) 748-0659 or go to web site http://www.rutgers.edu/Accounting/raw/fasb/home2.html</t>
  </si>
  <si>
    <t xml:space="preserve">                   Copies are $11.50 each and are subject to academic discounting.</t>
  </si>
  <si>
    <t xml:space="preserve">  SFAS 133 replaces the Exposure Draft publication Number 162-B, June 1996</t>
  </si>
  <si>
    <t>Questions</t>
  </si>
  <si>
    <t>This is Bob Jensen's answer file.</t>
  </si>
  <si>
    <t>Example 2 of SFAS 133, Page 63, Paragraph 115</t>
  </si>
  <si>
    <t>On that same date, ABC also enters into a two-year receive-fixed, pay-variable interest rate</t>
  </si>
  <si>
    <t xml:space="preserve">swap.   ABC designates the interest rate swap as a hedge of the changes in the fair value </t>
  </si>
  <si>
    <t>of the fixed-rate debt attributable to changes in market interest rates.  The terms of the</t>
  </si>
  <si>
    <t>interest rate swap and the debt are shown below:</t>
  </si>
  <si>
    <t>present values or their equivalent yields to maturity are needed to derive the yield</t>
  </si>
  <si>
    <t>What is the yield curve for the note's FMV on 9/30/x1 at the end of Quarter 1?</t>
  </si>
  <si>
    <t>At the end of Quarter 1, there are 8-1=7 quarters remaining.  In Example 2, the</t>
  </si>
  <si>
    <t>FASB does not provide the Time 1 present values for the seven quarters.  These</t>
  </si>
  <si>
    <t>= amortization of the change in FMV for the next seven quarters.</t>
  </si>
  <si>
    <t>Quarterly</t>
  </si>
  <si>
    <t>Quarter t</t>
  </si>
  <si>
    <t>Swap FMV</t>
  </si>
  <si>
    <t>Amortization of the $1,149 swap value derived in on 9/30/x1</t>
  </si>
  <si>
    <t>Amortization of the $0 swap value derived in on 12/31/x1</t>
  </si>
  <si>
    <t>Students may want to use the RATE function to solve for the quarterly spot rate</t>
  </si>
  <si>
    <t>derived to show how they were obtained in the above table.</t>
  </si>
  <si>
    <t>Amortization of the $1,074 swap value derived in on 3/31/x2</t>
  </si>
  <si>
    <t>Amortization of the $11,355 swap value derived in on 6/30/x2</t>
  </si>
  <si>
    <t>Amortization of the $9,385 swap value derived in on 9/30/x2</t>
  </si>
  <si>
    <t>Amortization of the $6,848 swap value derived in on 12/31/x2</t>
  </si>
  <si>
    <t>Amortization of the $2,479 swap value derived in on 3/31/x3</t>
  </si>
  <si>
    <t>Assumed Quarterly Yields to Maturity</t>
  </si>
  <si>
    <t xml:space="preserve">The graph is somewhat hard to read, but it is obvious that each swap curve is a </t>
  </si>
  <si>
    <t>The main purposes of this exercise are to introduce swap curve creation to</t>
  </si>
  <si>
    <t>student and potential uses of the swap curve.  In Example 2, the swap curve</t>
  </si>
  <si>
    <t>curve for Quarter 1.  In fact, there are an infinite number of possible yield curves</t>
  </si>
</sst>
</file>

<file path=xl/styles.xml><?xml version="1.0" encoding="utf-8"?>
<styleSheet xmlns="http://schemas.openxmlformats.org/spreadsheetml/2006/main">
  <numFmts count="9">
    <numFmt numFmtId="164" formatCode="&quot;$&quot;#,##0_);\(&quot;$&quot;#,##0\)"/>
    <numFmt numFmtId="165" formatCode="&quot;$&quot;#,##0_);[Red]\(&quot;$&quot;#,##0\)"/>
    <numFmt numFmtId="167" formatCode="&quot;$&quot;#,##0.00_);[Red]\(&quot;$&quot;#,##0.00\)"/>
    <numFmt numFmtId="172" formatCode="0_);\(0\)"/>
    <numFmt numFmtId="173" formatCode="0.000000_);\(0.000000\)"/>
    <numFmt numFmtId="175" formatCode="0.000%"/>
    <numFmt numFmtId="177" formatCode="0.0000"/>
    <numFmt numFmtId="178" formatCode="0.0000%"/>
    <numFmt numFmtId="184" formatCode="0.00_);\(0.00\)"/>
  </numFmts>
  <fonts count="49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vertAlign val="superscript"/>
      <sz val="20"/>
      <name val="Arial"/>
      <family val="2"/>
    </font>
    <font>
      <sz val="16"/>
      <name val="Arial"/>
      <family val="2"/>
    </font>
    <font>
      <vertAlign val="superscript"/>
      <sz val="16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vertAlign val="subscript"/>
      <sz val="12"/>
      <color indexed="8"/>
      <name val="Arial"/>
      <family val="2"/>
    </font>
    <font>
      <vertAlign val="subscript"/>
      <sz val="16"/>
      <name val="Arial"/>
      <family val="2"/>
    </font>
    <font>
      <sz val="16"/>
      <color indexed="10"/>
      <name val="Arial"/>
      <family val="2"/>
    </font>
    <font>
      <vertAlign val="subscript"/>
      <sz val="12"/>
      <name val="Arial"/>
      <family val="2"/>
    </font>
    <font>
      <sz val="20"/>
      <color indexed="10"/>
      <name val="Arial"/>
      <family val="2"/>
    </font>
    <font>
      <vertAlign val="subscript"/>
      <sz val="20"/>
      <name val="Arial"/>
      <family val="2"/>
    </font>
    <font>
      <b/>
      <sz val="14"/>
      <name val="Arial"/>
      <family val="2"/>
    </font>
    <font>
      <b/>
      <sz val="2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16"/>
      <color indexed="10"/>
      <name val="Arial"/>
      <family val="2"/>
    </font>
    <font>
      <b/>
      <sz val="20"/>
      <color indexed="12"/>
      <name val="Arial"/>
      <family val="2"/>
    </font>
    <font>
      <vertAlign val="subscript"/>
      <sz val="16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i/>
      <sz val="14"/>
      <color indexed="10"/>
      <name val="Arial"/>
      <family val="2"/>
    </font>
    <font>
      <b/>
      <sz val="10"/>
      <color indexed="62"/>
      <name val="Arial"/>
      <family val="2"/>
    </font>
    <font>
      <b/>
      <sz val="10"/>
      <color indexed="14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vertAlign val="superscript"/>
      <sz val="16"/>
      <color indexed="10"/>
      <name val="Arial"/>
      <family val="2"/>
    </font>
    <font>
      <b/>
      <sz val="18"/>
      <color indexed="10"/>
      <name val="Arial"/>
      <family val="2"/>
    </font>
    <font>
      <b/>
      <sz val="8"/>
      <name val="Arial"/>
      <family val="2"/>
    </font>
    <font>
      <sz val="20"/>
      <color indexed="12"/>
      <name val="Arial"/>
      <family val="2"/>
    </font>
    <font>
      <b/>
      <sz val="10"/>
      <color indexed="17"/>
      <name val="Arial"/>
      <family val="2"/>
    </font>
    <font>
      <sz val="9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2">
    <xf numFmtId="0" fontId="0" fillId="0" borderId="0" xfId="0"/>
    <xf numFmtId="172" fontId="2" fillId="0" borderId="0" xfId="0" applyNumberFormat="1" applyFont="1"/>
    <xf numFmtId="172" fontId="3" fillId="0" borderId="0" xfId="0" applyNumberFormat="1" applyFont="1" applyAlignment="1">
      <alignment horizontal="left"/>
    </xf>
    <xf numFmtId="173" fontId="3" fillId="0" borderId="0" xfId="0" applyNumberFormat="1" applyFont="1"/>
    <xf numFmtId="173" fontId="0" fillId="0" borderId="0" xfId="0" applyNumberFormat="1"/>
    <xf numFmtId="172" fontId="0" fillId="0" borderId="0" xfId="0" applyNumberFormat="1"/>
    <xf numFmtId="0" fontId="3" fillId="2" borderId="0" xfId="0" applyFont="1" applyFill="1" applyAlignment="1">
      <alignment horizontal="center"/>
    </xf>
    <xf numFmtId="0" fontId="0" fillId="2" borderId="0" xfId="0" quotePrefix="1" applyFill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0" fontId="8" fillId="0" borderId="0" xfId="0" applyNumberFormat="1" applyFont="1"/>
    <xf numFmtId="15" fontId="9" fillId="0" borderId="0" xfId="0" applyNumberFormat="1" applyFont="1" applyAlignment="1">
      <alignment horizontal="left"/>
    </xf>
    <xf numFmtId="175" fontId="8" fillId="0" borderId="0" xfId="0" applyNumberFormat="1" applyFont="1"/>
    <xf numFmtId="10" fontId="9" fillId="0" borderId="0" xfId="0" applyNumberFormat="1" applyFont="1"/>
    <xf numFmtId="0" fontId="3" fillId="0" borderId="0" xfId="0" applyFont="1" applyAlignment="1">
      <alignment horizontal="left"/>
    </xf>
    <xf numFmtId="0" fontId="11" fillId="0" borderId="0" xfId="0" applyFont="1"/>
    <xf numFmtId="0" fontId="11" fillId="0" borderId="0" xfId="0" quotePrefix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4" fontId="0" fillId="0" borderId="0" xfId="0" applyNumberFormat="1" applyAlignment="1">
      <alignment horizontal="right"/>
    </xf>
    <xf numFmtId="0" fontId="0" fillId="0" borderId="0" xfId="0" quotePrefix="1"/>
    <xf numFmtId="172" fontId="0" fillId="0" borderId="0" xfId="0" applyNumberFormat="1" applyAlignment="1">
      <alignment horizontal="right"/>
    </xf>
    <xf numFmtId="0" fontId="2" fillId="0" borderId="0" xfId="0" quotePrefix="1" applyFont="1"/>
    <xf numFmtId="0" fontId="2" fillId="0" borderId="0" xfId="0" applyFont="1"/>
    <xf numFmtId="165" fontId="0" fillId="0" borderId="0" xfId="0" applyNumberFormat="1"/>
    <xf numFmtId="165" fontId="4" fillId="0" borderId="0" xfId="0" applyNumberFormat="1" applyFont="1"/>
    <xf numFmtId="175" fontId="15" fillId="0" borderId="0" xfId="0" applyNumberFormat="1" applyFont="1"/>
    <xf numFmtId="0" fontId="16" fillId="0" borderId="0" xfId="0" quotePrefix="1" applyFont="1"/>
    <xf numFmtId="165" fontId="15" fillId="0" borderId="0" xfId="0" applyNumberFormat="1" applyFont="1"/>
    <xf numFmtId="0" fontId="15" fillId="0" borderId="0" xfId="0" applyFont="1"/>
    <xf numFmtId="165" fontId="8" fillId="0" borderId="0" xfId="0" applyNumberFormat="1" applyFont="1"/>
    <xf numFmtId="0" fontId="6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0" fontId="15" fillId="0" borderId="0" xfId="0" applyNumberFormat="1" applyFont="1"/>
    <xf numFmtId="0" fontId="4" fillId="0" borderId="0" xfId="0" applyFont="1" applyAlignment="1">
      <alignment horizontal="center"/>
    </xf>
    <xf numFmtId="167" fontId="15" fillId="0" borderId="0" xfId="0" applyNumberFormat="1" applyFont="1"/>
    <xf numFmtId="0" fontId="21" fillId="0" borderId="0" xfId="0" applyFont="1"/>
    <xf numFmtId="165" fontId="23" fillId="0" borderId="0" xfId="0" applyNumberFormat="1" applyFont="1"/>
    <xf numFmtId="0" fontId="18" fillId="0" borderId="0" xfId="0" applyFont="1" applyAlignment="1">
      <alignment horizontal="right"/>
    </xf>
    <xf numFmtId="0" fontId="27" fillId="0" borderId="0" xfId="0" applyFont="1"/>
    <xf numFmtId="0" fontId="26" fillId="0" borderId="0" xfId="0" applyFont="1"/>
    <xf numFmtId="177" fontId="28" fillId="0" borderId="0" xfId="0" applyNumberFormat="1" applyFont="1"/>
    <xf numFmtId="0" fontId="19" fillId="0" borderId="0" xfId="0" applyFont="1"/>
    <xf numFmtId="0" fontId="19" fillId="0" borderId="0" xfId="0" applyFont="1" applyAlignment="1"/>
    <xf numFmtId="178" fontId="31" fillId="0" borderId="0" xfId="0" applyNumberFormat="1" applyFont="1"/>
    <xf numFmtId="178" fontId="32" fillId="0" borderId="0" xfId="0" applyNumberFormat="1" applyFont="1"/>
    <xf numFmtId="0" fontId="26" fillId="0" borderId="0" xfId="0" quotePrefix="1" applyFont="1"/>
    <xf numFmtId="10" fontId="33" fillId="0" borderId="0" xfId="0" applyNumberFormat="1" applyFont="1"/>
    <xf numFmtId="0" fontId="35" fillId="0" borderId="0" xfId="0" applyFont="1"/>
    <xf numFmtId="0" fontId="4" fillId="0" borderId="0" xfId="0" quotePrefix="1" applyFont="1"/>
    <xf numFmtId="0" fontId="25" fillId="0" borderId="0" xfId="0" quotePrefix="1" applyFont="1"/>
    <xf numFmtId="0" fontId="0" fillId="2" borderId="0" xfId="0" applyFill="1"/>
    <xf numFmtId="14" fontId="3" fillId="0" borderId="0" xfId="0" applyNumberFormat="1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0" fillId="0" borderId="0" xfId="0" applyFill="1"/>
    <xf numFmtId="173" fontId="0" fillId="0" borderId="0" xfId="0" applyNumberFormat="1" applyFill="1"/>
    <xf numFmtId="0" fontId="0" fillId="0" borderId="0" xfId="0" applyFill="1" applyAlignment="1">
      <alignment horizontal="center"/>
    </xf>
    <xf numFmtId="184" fontId="0" fillId="0" borderId="0" xfId="0" applyNumberFormat="1" applyFill="1" applyAlignment="1">
      <alignment horizontal="right"/>
    </xf>
    <xf numFmtId="172" fontId="0" fillId="0" borderId="0" xfId="0" applyNumberFormat="1" applyFill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177" fontId="2" fillId="3" borderId="2" xfId="0" applyNumberFormat="1" applyFont="1" applyFill="1" applyBorder="1"/>
    <xf numFmtId="0" fontId="2" fillId="3" borderId="0" xfId="0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/>
    </xf>
    <xf numFmtId="0" fontId="0" fillId="3" borderId="5" xfId="0" applyFill="1" applyBorder="1"/>
    <xf numFmtId="0" fontId="0" fillId="0" borderId="7" xfId="0" applyFill="1" applyBorder="1"/>
    <xf numFmtId="0" fontId="3" fillId="0" borderId="8" xfId="0" applyFont="1" applyFill="1" applyBorder="1" applyAlignment="1">
      <alignment horizontal="center"/>
    </xf>
    <xf numFmtId="0" fontId="0" fillId="0" borderId="9" xfId="0" applyFill="1" applyBorder="1"/>
    <xf numFmtId="165" fontId="3" fillId="0" borderId="1" xfId="0" applyNumberFormat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center"/>
    </xf>
    <xf numFmtId="165" fontId="3" fillId="0" borderId="11" xfId="0" applyNumberFormat="1" applyFont="1" applyFill="1" applyBorder="1" applyAlignment="1">
      <alignment horizontal="center"/>
    </xf>
    <xf numFmtId="165" fontId="3" fillId="0" borderId="12" xfId="0" applyNumberFormat="1" applyFont="1" applyFill="1" applyBorder="1" applyAlignment="1">
      <alignment horizontal="center"/>
    </xf>
    <xf numFmtId="165" fontId="3" fillId="0" borderId="13" xfId="0" applyNumberFormat="1" applyFont="1" applyFill="1" applyBorder="1" applyAlignment="1">
      <alignment horizontal="center"/>
    </xf>
    <xf numFmtId="175" fontId="4" fillId="0" borderId="10" xfId="0" applyNumberFormat="1" applyFont="1" applyFill="1" applyBorder="1" applyAlignment="1">
      <alignment horizontal="center"/>
    </xf>
    <xf numFmtId="175" fontId="4" fillId="0" borderId="11" xfId="0" applyNumberFormat="1" applyFont="1" applyFill="1" applyBorder="1" applyAlignment="1">
      <alignment horizontal="center"/>
    </xf>
    <xf numFmtId="177" fontId="2" fillId="3" borderId="12" xfId="0" applyNumberFormat="1" applyFont="1" applyFill="1" applyBorder="1"/>
    <xf numFmtId="175" fontId="38" fillId="2" borderId="10" xfId="0" applyNumberFormat="1" applyFont="1" applyFill="1" applyBorder="1" applyAlignment="1">
      <alignment horizontal="center"/>
    </xf>
    <xf numFmtId="175" fontId="38" fillId="2" borderId="11" xfId="0" applyNumberFormat="1" applyFont="1" applyFill="1" applyBorder="1" applyAlignment="1">
      <alignment horizontal="center"/>
    </xf>
    <xf numFmtId="175" fontId="38" fillId="2" borderId="12" xfId="0" applyNumberFormat="1" applyFont="1" applyFill="1" applyBorder="1" applyAlignment="1">
      <alignment horizontal="center"/>
    </xf>
    <xf numFmtId="165" fontId="4" fillId="0" borderId="10" xfId="0" applyNumberFormat="1" applyFont="1" applyFill="1" applyBorder="1" applyAlignment="1">
      <alignment horizontal="center"/>
    </xf>
    <xf numFmtId="165" fontId="4" fillId="0" borderId="11" xfId="0" applyNumberFormat="1" applyFont="1" applyFill="1" applyBorder="1" applyAlignment="1">
      <alignment horizontal="center"/>
    </xf>
    <xf numFmtId="165" fontId="4" fillId="0" borderId="12" xfId="0" applyNumberFormat="1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175" fontId="4" fillId="0" borderId="9" xfId="0" applyNumberFormat="1" applyFont="1" applyFill="1" applyBorder="1" applyAlignment="1">
      <alignment horizontal="center"/>
    </xf>
    <xf numFmtId="175" fontId="37" fillId="2" borderId="10" xfId="0" applyNumberFormat="1" applyFont="1" applyFill="1" applyBorder="1" applyAlignment="1">
      <alignment horizontal="center"/>
    </xf>
    <xf numFmtId="175" fontId="37" fillId="2" borderId="11" xfId="0" applyNumberFormat="1" applyFont="1" applyFill="1" applyBorder="1" applyAlignment="1">
      <alignment horizontal="center"/>
    </xf>
    <xf numFmtId="175" fontId="37" fillId="2" borderId="12" xfId="0" applyNumberFormat="1" applyFont="1" applyFill="1" applyBorder="1" applyAlignment="1">
      <alignment horizontal="center"/>
    </xf>
    <xf numFmtId="175" fontId="4" fillId="0" borderId="8" xfId="0" applyNumberFormat="1" applyFont="1" applyFill="1" applyBorder="1" applyAlignment="1">
      <alignment horizontal="center"/>
    </xf>
    <xf numFmtId="0" fontId="9" fillId="0" borderId="0" xfId="0" applyFont="1"/>
    <xf numFmtId="175" fontId="31" fillId="0" borderId="0" xfId="0" applyNumberFormat="1" applyFont="1"/>
    <xf numFmtId="0" fontId="0" fillId="0" borderId="10" xfId="0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5" fontId="3" fillId="0" borderId="11" xfId="0" applyNumberFormat="1" applyFont="1" applyBorder="1" applyAlignment="1">
      <alignment horizontal="center"/>
    </xf>
    <xf numFmtId="175" fontId="3" fillId="0" borderId="12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75" fontId="4" fillId="0" borderId="11" xfId="0" applyNumberFormat="1" applyFont="1" applyBorder="1" applyAlignment="1">
      <alignment horizontal="center"/>
    </xf>
    <xf numFmtId="175" fontId="4" fillId="0" borderId="12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165" fontId="3" fillId="0" borderId="11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0" fontId="6" fillId="0" borderId="0" xfId="0" quotePrefix="1" applyFont="1"/>
    <xf numFmtId="0" fontId="13" fillId="0" borderId="0" xfId="0" quotePrefix="1" applyFont="1"/>
    <xf numFmtId="0" fontId="13" fillId="0" borderId="0" xfId="0" applyFont="1"/>
    <xf numFmtId="165" fontId="23" fillId="0" borderId="0" xfId="0" quotePrefix="1" applyNumberFormat="1" applyFont="1"/>
    <xf numFmtId="177" fontId="31" fillId="0" borderId="0" xfId="0" applyNumberFormat="1" applyFont="1"/>
    <xf numFmtId="177" fontId="31" fillId="0" borderId="14" xfId="0" applyNumberFormat="1" applyFont="1" applyBorder="1"/>
    <xf numFmtId="0" fontId="21" fillId="0" borderId="15" xfId="0" applyFont="1" applyBorder="1"/>
    <xf numFmtId="0" fontId="2" fillId="0" borderId="13" xfId="0" applyFont="1" applyBorder="1"/>
    <xf numFmtId="177" fontId="31" fillId="0" borderId="5" xfId="0" applyNumberFormat="1" applyFont="1" applyBorder="1"/>
    <xf numFmtId="0" fontId="21" fillId="0" borderId="0" xfId="0" applyFont="1" applyBorder="1"/>
    <xf numFmtId="0" fontId="2" fillId="0" borderId="1" xfId="0" applyFont="1" applyBorder="1"/>
    <xf numFmtId="177" fontId="31" fillId="0" borderId="6" xfId="0" applyNumberFormat="1" applyFont="1" applyBorder="1"/>
    <xf numFmtId="0" fontId="19" fillId="0" borderId="2" xfId="0" applyFont="1" applyBorder="1"/>
    <xf numFmtId="0" fontId="2" fillId="0" borderId="3" xfId="0" applyFont="1" applyBorder="1"/>
    <xf numFmtId="0" fontId="2" fillId="0" borderId="14" xfId="0" applyFont="1" applyBorder="1"/>
    <xf numFmtId="178" fontId="31" fillId="0" borderId="13" xfId="0" applyNumberFormat="1" applyFont="1" applyBorder="1"/>
    <xf numFmtId="0" fontId="2" fillId="0" borderId="5" xfId="0" applyFont="1" applyBorder="1"/>
    <xf numFmtId="178" fontId="31" fillId="0" borderId="1" xfId="0" applyNumberFormat="1" applyFont="1" applyBorder="1"/>
    <xf numFmtId="0" fontId="2" fillId="0" borderId="6" xfId="0" applyFont="1" applyBorder="1"/>
    <xf numFmtId="178" fontId="31" fillId="0" borderId="3" xfId="0" applyNumberFormat="1" applyFont="1" applyBorder="1"/>
    <xf numFmtId="0" fontId="0" fillId="0" borderId="14" xfId="0" applyBorder="1"/>
    <xf numFmtId="0" fontId="22" fillId="0" borderId="15" xfId="0" applyFont="1" applyBorder="1"/>
    <xf numFmtId="0" fontId="0" fillId="0" borderId="15" xfId="0" applyBorder="1"/>
    <xf numFmtId="0" fontId="0" fillId="0" borderId="13" xfId="0" applyBorder="1"/>
    <xf numFmtId="0" fontId="0" fillId="0" borderId="5" xfId="0" applyBorder="1"/>
    <xf numFmtId="0" fontId="11" fillId="0" borderId="0" xfId="0" quotePrefix="1" applyFont="1" applyBorder="1"/>
    <xf numFmtId="0" fontId="0" fillId="0" borderId="0" xfId="0" applyBorder="1"/>
    <xf numFmtId="0" fontId="0" fillId="0" borderId="1" xfId="0" applyBorder="1"/>
    <xf numFmtId="0" fontId="0" fillId="0" borderId="6" xfId="0" applyBorder="1"/>
    <xf numFmtId="0" fontId="11" fillId="0" borderId="2" xfId="0" applyFont="1" applyBorder="1"/>
    <xf numFmtId="0" fontId="0" fillId="0" borderId="2" xfId="0" applyBorder="1"/>
    <xf numFmtId="0" fontId="0" fillId="0" borderId="3" xfId="0" applyBorder="1"/>
    <xf numFmtId="0" fontId="11" fillId="0" borderId="15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3" fillId="0" borderId="0" xfId="0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175" fontId="4" fillId="0" borderId="0" xfId="0" applyNumberFormat="1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7" xfId="0" applyFont="1" applyBorder="1"/>
    <xf numFmtId="175" fontId="4" fillId="0" borderId="10" xfId="0" applyNumberFormat="1" applyFont="1" applyBorder="1" applyAlignment="1">
      <alignment horizontal="center"/>
    </xf>
    <xf numFmtId="175" fontId="3" fillId="0" borderId="10" xfId="0" applyNumberFormat="1" applyFont="1" applyBorder="1" applyAlignment="1">
      <alignment horizontal="center"/>
    </xf>
    <xf numFmtId="10" fontId="3" fillId="0" borderId="11" xfId="0" applyNumberFormat="1" applyFont="1" applyFill="1" applyBorder="1" applyAlignment="1">
      <alignment horizontal="center"/>
    </xf>
    <xf numFmtId="10" fontId="3" fillId="0" borderId="10" xfId="0" applyNumberFormat="1" applyFont="1" applyFill="1" applyBorder="1" applyAlignment="1">
      <alignment horizontal="center"/>
    </xf>
    <xf numFmtId="10" fontId="3" fillId="0" borderId="12" xfId="0" applyNumberFormat="1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4" borderId="1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5" borderId="14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3" fillId="2" borderId="7" xfId="0" applyFont="1" applyFill="1" applyBorder="1"/>
    <xf numFmtId="0" fontId="9" fillId="2" borderId="9" xfId="0" applyFont="1" applyFill="1" applyBorder="1"/>
    <xf numFmtId="0" fontId="3" fillId="4" borderId="7" xfId="0" applyFont="1" applyFill="1" applyBorder="1"/>
    <xf numFmtId="0" fontId="9" fillId="4" borderId="9" xfId="0" applyFont="1" applyFill="1" applyBorder="1"/>
    <xf numFmtId="0" fontId="3" fillId="5" borderId="7" xfId="0" applyFont="1" applyFill="1" applyBorder="1"/>
    <xf numFmtId="0" fontId="9" fillId="5" borderId="9" xfId="0" applyFont="1" applyFill="1" applyBorder="1"/>
    <xf numFmtId="178" fontId="3" fillId="2" borderId="13" xfId="0" applyNumberFormat="1" applyFont="1" applyFill="1" applyBorder="1" applyAlignment="1">
      <alignment horizontal="center"/>
    </xf>
    <xf numFmtId="178" fontId="3" fillId="2" borderId="1" xfId="0" applyNumberFormat="1" applyFont="1" applyFill="1" applyBorder="1" applyAlignment="1">
      <alignment horizontal="center"/>
    </xf>
    <xf numFmtId="178" fontId="3" fillId="2" borderId="3" xfId="0" applyNumberFormat="1" applyFont="1" applyFill="1" applyBorder="1" applyAlignment="1">
      <alignment horizontal="center"/>
    </xf>
    <xf numFmtId="178" fontId="3" fillId="4" borderId="13" xfId="0" applyNumberFormat="1" applyFont="1" applyFill="1" applyBorder="1" applyAlignment="1">
      <alignment horizontal="center"/>
    </xf>
    <xf numFmtId="178" fontId="3" fillId="4" borderId="1" xfId="0" applyNumberFormat="1" applyFont="1" applyFill="1" applyBorder="1" applyAlignment="1">
      <alignment horizontal="center"/>
    </xf>
    <xf numFmtId="178" fontId="3" fillId="4" borderId="3" xfId="0" applyNumberFormat="1" applyFont="1" applyFill="1" applyBorder="1" applyAlignment="1">
      <alignment horizontal="center"/>
    </xf>
    <xf numFmtId="178" fontId="3" fillId="5" borderId="13" xfId="0" applyNumberFormat="1" applyFont="1" applyFill="1" applyBorder="1" applyAlignment="1">
      <alignment horizontal="center"/>
    </xf>
    <xf numFmtId="178" fontId="3" fillId="5" borderId="1" xfId="0" applyNumberFormat="1" applyFont="1" applyFill="1" applyBorder="1" applyAlignment="1">
      <alignment horizontal="center"/>
    </xf>
    <xf numFmtId="178" fontId="3" fillId="5" borderId="3" xfId="0" applyNumberFormat="1" applyFont="1" applyFill="1" applyBorder="1" applyAlignment="1">
      <alignment horizontal="center"/>
    </xf>
    <xf numFmtId="165" fontId="34" fillId="0" borderId="0" xfId="0" applyNumberFormat="1" applyFont="1"/>
    <xf numFmtId="0" fontId="2" fillId="0" borderId="0" xfId="0" applyFont="1" applyFill="1" applyBorder="1" applyAlignment="1">
      <alignment horizontal="left"/>
    </xf>
    <xf numFmtId="164" fontId="3" fillId="0" borderId="0" xfId="0" applyNumberFormat="1" applyFont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left"/>
    </xf>
    <xf numFmtId="0" fontId="0" fillId="0" borderId="16" xfId="0" applyBorder="1"/>
    <xf numFmtId="0" fontId="3" fillId="0" borderId="16" xfId="0" applyFont="1" applyBorder="1" applyAlignment="1">
      <alignment horizontal="center"/>
    </xf>
    <xf numFmtId="0" fontId="0" fillId="0" borderId="17" xfId="0" applyBorder="1"/>
    <xf numFmtId="0" fontId="3" fillId="0" borderId="17" xfId="0" applyFont="1" applyBorder="1" applyAlignment="1">
      <alignment horizontal="center"/>
    </xf>
    <xf numFmtId="0" fontId="0" fillId="0" borderId="17" xfId="0" applyFill="1" applyBorder="1"/>
    <xf numFmtId="0" fontId="0" fillId="0" borderId="16" xfId="0" applyFill="1" applyBorder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175" fontId="3" fillId="5" borderId="16" xfId="0" applyNumberFormat="1" applyFont="1" applyFill="1" applyBorder="1" applyAlignment="1">
      <alignment horizontal="center"/>
    </xf>
    <xf numFmtId="175" fontId="3" fillId="5" borderId="16" xfId="0" applyNumberFormat="1" applyFont="1" applyFill="1" applyBorder="1"/>
    <xf numFmtId="178" fontId="9" fillId="5" borderId="16" xfId="0" applyNumberFormat="1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75" fontId="3" fillId="2" borderId="17" xfId="0" applyNumberFormat="1" applyFont="1" applyFill="1" applyBorder="1" applyAlignment="1">
      <alignment horizontal="center"/>
    </xf>
    <xf numFmtId="175" fontId="3" fillId="2" borderId="17" xfId="0" applyNumberFormat="1" applyFont="1" applyFill="1" applyBorder="1"/>
    <xf numFmtId="178" fontId="9" fillId="2" borderId="17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75" fontId="3" fillId="6" borderId="17" xfId="0" applyNumberFormat="1" applyFont="1" applyFill="1" applyBorder="1" applyAlignment="1">
      <alignment horizontal="center"/>
    </xf>
    <xf numFmtId="175" fontId="3" fillId="6" borderId="17" xfId="0" applyNumberFormat="1" applyFont="1" applyFill="1" applyBorder="1"/>
    <xf numFmtId="178" fontId="9" fillId="6" borderId="17" xfId="0" applyNumberFormat="1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175" fontId="3" fillId="7" borderId="17" xfId="0" applyNumberFormat="1" applyFont="1" applyFill="1" applyBorder="1" applyAlignment="1">
      <alignment horizontal="center"/>
    </xf>
    <xf numFmtId="175" fontId="3" fillId="7" borderId="17" xfId="0" applyNumberFormat="1" applyFont="1" applyFill="1" applyBorder="1"/>
    <xf numFmtId="178" fontId="9" fillId="7" borderId="17" xfId="0" applyNumberFormat="1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9" fillId="8" borderId="0" xfId="0" applyFont="1" applyFill="1" applyAlignment="1">
      <alignment horizontal="center"/>
    </xf>
    <xf numFmtId="175" fontId="3" fillId="8" borderId="17" xfId="0" applyNumberFormat="1" applyFont="1" applyFill="1" applyBorder="1" applyAlignment="1">
      <alignment horizontal="center"/>
    </xf>
    <xf numFmtId="175" fontId="3" fillId="8" borderId="17" xfId="0" applyNumberFormat="1" applyFont="1" applyFill="1" applyBorder="1"/>
    <xf numFmtId="178" fontId="9" fillId="8" borderId="17" xfId="0" applyNumberFormat="1" applyFon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/>
    </xf>
    <xf numFmtId="175" fontId="3" fillId="9" borderId="17" xfId="0" applyNumberFormat="1" applyFont="1" applyFill="1" applyBorder="1" applyAlignment="1">
      <alignment horizontal="center"/>
    </xf>
    <xf numFmtId="175" fontId="3" fillId="9" borderId="17" xfId="0" applyNumberFormat="1" applyFont="1" applyFill="1" applyBorder="1"/>
    <xf numFmtId="178" fontId="9" fillId="9" borderId="17" xfId="0" applyNumberFormat="1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9" fillId="9" borderId="17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175" fontId="3" fillId="5" borderId="17" xfId="0" applyNumberFormat="1" applyFont="1" applyFill="1" applyBorder="1" applyAlignment="1">
      <alignment horizontal="center"/>
    </xf>
    <xf numFmtId="175" fontId="3" fillId="5" borderId="17" xfId="0" applyNumberFormat="1" applyFont="1" applyFill="1" applyBorder="1"/>
    <xf numFmtId="178" fontId="9" fillId="5" borderId="17" xfId="0" applyNumberFormat="1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175" fontId="3" fillId="4" borderId="18" xfId="0" applyNumberFormat="1" applyFont="1" applyFill="1" applyBorder="1" applyAlignment="1">
      <alignment horizontal="center"/>
    </xf>
    <xf numFmtId="175" fontId="3" fillId="4" borderId="18" xfId="0" applyNumberFormat="1" applyFont="1" applyFill="1" applyBorder="1"/>
    <xf numFmtId="178" fontId="9" fillId="4" borderId="18" xfId="0" applyNumberFormat="1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9" fillId="0" borderId="0" xfId="0" applyFont="1" applyAlignment="1">
      <alignment horizontal="left"/>
    </xf>
    <xf numFmtId="0" fontId="46" fillId="0" borderId="0" xfId="0" applyFont="1"/>
    <xf numFmtId="165" fontId="0" fillId="0" borderId="0" xfId="0" applyNumberFormat="1" applyFill="1" applyAlignment="1">
      <alignment horizontal="center"/>
    </xf>
    <xf numFmtId="0" fontId="9" fillId="0" borderId="7" xfId="0" applyFont="1" applyBorder="1"/>
    <xf numFmtId="165" fontId="3" fillId="3" borderId="10" xfId="0" applyNumberFormat="1" applyFont="1" applyFill="1" applyBorder="1" applyAlignment="1">
      <alignment horizontal="center"/>
    </xf>
    <xf numFmtId="10" fontId="3" fillId="3" borderId="10" xfId="0" applyNumberFormat="1" applyFont="1" applyFill="1" applyBorder="1" applyAlignment="1">
      <alignment horizontal="center"/>
    </xf>
    <xf numFmtId="165" fontId="3" fillId="3" borderId="0" xfId="0" applyNumberFormat="1" applyFont="1" applyFill="1" applyAlignment="1">
      <alignment horizontal="center"/>
    </xf>
    <xf numFmtId="175" fontId="3" fillId="3" borderId="10" xfId="0" applyNumberFormat="1" applyFont="1" applyFill="1" applyBorder="1" applyAlignment="1">
      <alignment horizontal="center"/>
    </xf>
    <xf numFmtId="175" fontId="4" fillId="3" borderId="10" xfId="0" applyNumberFormat="1" applyFont="1" applyFill="1" applyBorder="1" applyAlignment="1">
      <alignment horizontal="center"/>
    </xf>
    <xf numFmtId="16" fontId="3" fillId="0" borderId="12" xfId="0" applyNumberFormat="1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3" fillId="2" borderId="11" xfId="0" applyNumberFormat="1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165" fontId="3" fillId="6" borderId="11" xfId="0" applyNumberFormat="1" applyFont="1" applyFill="1" applyBorder="1" applyAlignment="1">
      <alignment horizontal="center"/>
    </xf>
    <xf numFmtId="10" fontId="3" fillId="6" borderId="11" xfId="0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165" fontId="3" fillId="7" borderId="11" xfId="0" applyNumberFormat="1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165" fontId="3" fillId="8" borderId="11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10" fontId="4" fillId="3" borderId="10" xfId="0" applyNumberFormat="1" applyFont="1" applyFill="1" applyBorder="1" applyAlignment="1">
      <alignment horizontal="center"/>
    </xf>
    <xf numFmtId="175" fontId="4" fillId="3" borderId="11" xfId="0" applyNumberFormat="1" applyFont="1" applyFill="1" applyBorder="1" applyAlignment="1">
      <alignment horizontal="center"/>
    </xf>
    <xf numFmtId="10" fontId="4" fillId="3" borderId="11" xfId="0" applyNumberFormat="1" applyFont="1" applyFill="1" applyBorder="1" applyAlignment="1">
      <alignment horizontal="center"/>
    </xf>
    <xf numFmtId="165" fontId="3" fillId="9" borderId="11" xfId="0" applyNumberFormat="1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165" fontId="3" fillId="2" borderId="12" xfId="0" applyNumberFormat="1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165" fontId="3" fillId="5" borderId="11" xfId="0" applyNumberFormat="1" applyFont="1" applyFill="1" applyBorder="1" applyAlignment="1">
      <alignment horizontal="center"/>
    </xf>
    <xf numFmtId="165" fontId="3" fillId="4" borderId="12" xfId="0" applyNumberFormat="1" applyFont="1" applyFill="1" applyBorder="1" applyAlignment="1">
      <alignment horizontal="center"/>
    </xf>
    <xf numFmtId="175" fontId="3" fillId="2" borderId="11" xfId="0" applyNumberFormat="1" applyFont="1" applyFill="1" applyBorder="1" applyAlignment="1">
      <alignment horizontal="center"/>
    </xf>
    <xf numFmtId="175" fontId="3" fillId="6" borderId="11" xfId="0" applyNumberFormat="1" applyFont="1" applyFill="1" applyBorder="1" applyAlignment="1">
      <alignment horizontal="center"/>
    </xf>
    <xf numFmtId="175" fontId="3" fillId="7" borderId="11" xfId="0" applyNumberFormat="1" applyFont="1" applyFill="1" applyBorder="1" applyAlignment="1">
      <alignment horizontal="center"/>
    </xf>
    <xf numFmtId="175" fontId="3" fillId="0" borderId="11" xfId="0" applyNumberFormat="1" applyFont="1" applyFill="1" applyBorder="1" applyAlignment="1">
      <alignment horizontal="center"/>
    </xf>
    <xf numFmtId="175" fontId="3" fillId="8" borderId="11" xfId="0" applyNumberFormat="1" applyFont="1" applyFill="1" applyBorder="1" applyAlignment="1">
      <alignment horizontal="center"/>
    </xf>
    <xf numFmtId="175" fontId="3" fillId="3" borderId="11" xfId="0" applyNumberFormat="1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175" fontId="3" fillId="9" borderId="11" xfId="0" applyNumberFormat="1" applyFont="1" applyFill="1" applyBorder="1" applyAlignment="1">
      <alignment horizontal="center"/>
    </xf>
    <xf numFmtId="175" fontId="3" fillId="5" borderId="11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47" fillId="0" borderId="0" xfId="0" applyFont="1"/>
    <xf numFmtId="0" fontId="3" fillId="0" borderId="0" xfId="0" applyFont="1" applyBorder="1" applyAlignment="1">
      <alignment horizontal="left"/>
    </xf>
    <xf numFmtId="165" fontId="3" fillId="6" borderId="10" xfId="0" applyNumberFormat="1" applyFont="1" applyFill="1" applyBorder="1" applyAlignment="1">
      <alignment horizontal="center"/>
    </xf>
    <xf numFmtId="172" fontId="3" fillId="0" borderId="0" xfId="0" applyNumberFormat="1" applyFont="1" applyAlignment="1">
      <alignment horizontal="right"/>
    </xf>
    <xf numFmtId="173" fontId="25" fillId="0" borderId="0" xfId="0" applyNumberFormat="1" applyFont="1"/>
    <xf numFmtId="0" fontId="26" fillId="0" borderId="0" xfId="0" applyFont="1" applyAlignment="1">
      <alignment horizontal="left"/>
    </xf>
    <xf numFmtId="172" fontId="0" fillId="0" borderId="16" xfId="0" applyNumberFormat="1" applyBorder="1"/>
    <xf numFmtId="173" fontId="3" fillId="0" borderId="16" xfId="0" applyNumberFormat="1" applyFont="1" applyBorder="1" applyAlignment="1">
      <alignment horizontal="center"/>
    </xf>
    <xf numFmtId="172" fontId="3" fillId="0" borderId="16" xfId="0" applyNumberFormat="1" applyFont="1" applyBorder="1" applyAlignment="1">
      <alignment horizontal="center"/>
    </xf>
    <xf numFmtId="173" fontId="3" fillId="0" borderId="16" xfId="0" applyNumberFormat="1" applyFont="1" applyFill="1" applyBorder="1" applyAlignment="1">
      <alignment horizontal="center"/>
    </xf>
    <xf numFmtId="172" fontId="0" fillId="0" borderId="17" xfId="0" applyNumberFormat="1" applyBorder="1"/>
    <xf numFmtId="173" fontId="3" fillId="0" borderId="17" xfId="0" applyNumberFormat="1" applyFont="1" applyBorder="1" applyAlignment="1">
      <alignment horizontal="center"/>
    </xf>
    <xf numFmtId="172" fontId="3" fillId="0" borderId="17" xfId="0" applyNumberFormat="1" applyFont="1" applyBorder="1" applyAlignment="1">
      <alignment horizontal="center"/>
    </xf>
    <xf numFmtId="173" fontId="3" fillId="0" borderId="17" xfId="0" applyNumberFormat="1" applyFont="1" applyFill="1" applyBorder="1" applyAlignment="1">
      <alignment horizontal="center"/>
    </xf>
    <xf numFmtId="172" fontId="3" fillId="0" borderId="18" xfId="0" applyNumberFormat="1" applyFont="1" applyBorder="1" applyAlignment="1">
      <alignment horizontal="center"/>
    </xf>
    <xf numFmtId="173" fontId="3" fillId="0" borderId="18" xfId="0" applyNumberFormat="1" applyFont="1" applyBorder="1" applyAlignment="1">
      <alignment horizontal="center"/>
    </xf>
    <xf numFmtId="173" fontId="3" fillId="0" borderId="18" xfId="0" applyNumberFormat="1" applyFont="1" applyFill="1" applyBorder="1" applyAlignment="1">
      <alignment horizontal="center"/>
    </xf>
    <xf numFmtId="172" fontId="9" fillId="5" borderId="17" xfId="0" applyNumberFormat="1" applyFont="1" applyFill="1" applyBorder="1" applyAlignment="1">
      <alignment horizontal="center"/>
    </xf>
    <xf numFmtId="178" fontId="3" fillId="5" borderId="17" xfId="0" applyNumberFormat="1" applyFont="1" applyFill="1" applyBorder="1" applyAlignment="1">
      <alignment horizontal="center"/>
    </xf>
    <xf numFmtId="178" fontId="3" fillId="5" borderId="16" xfId="0" applyNumberFormat="1" applyFont="1" applyFill="1" applyBorder="1" applyAlignment="1">
      <alignment horizontal="center"/>
    </xf>
    <xf numFmtId="173" fontId="9" fillId="5" borderId="17" xfId="0" applyNumberFormat="1" applyFont="1" applyFill="1" applyBorder="1" applyAlignment="1">
      <alignment horizontal="center"/>
    </xf>
    <xf numFmtId="172" fontId="0" fillId="5" borderId="17" xfId="0" applyNumberFormat="1" applyFill="1" applyBorder="1" applyAlignment="1">
      <alignment horizontal="center"/>
    </xf>
    <xf numFmtId="173" fontId="0" fillId="5" borderId="17" xfId="0" applyNumberFormat="1" applyFill="1" applyBorder="1" applyAlignment="1">
      <alignment horizontal="center"/>
    </xf>
    <xf numFmtId="172" fontId="9" fillId="2" borderId="17" xfId="0" applyNumberFormat="1" applyFont="1" applyFill="1" applyBorder="1" applyAlignment="1">
      <alignment horizontal="center"/>
    </xf>
    <xf numFmtId="178" fontId="3" fillId="2" borderId="17" xfId="0" applyNumberFormat="1" applyFont="1" applyFill="1" applyBorder="1" applyAlignment="1">
      <alignment horizontal="center"/>
    </xf>
    <xf numFmtId="173" fontId="9" fillId="2" borderId="17" xfId="0" applyNumberFormat="1" applyFont="1" applyFill="1" applyBorder="1" applyAlignment="1">
      <alignment horizontal="center"/>
    </xf>
    <xf numFmtId="172" fontId="0" fillId="2" borderId="17" xfId="0" applyNumberFormat="1" applyFill="1" applyBorder="1" applyAlignment="1">
      <alignment horizontal="center"/>
    </xf>
    <xf numFmtId="173" fontId="0" fillId="2" borderId="17" xfId="0" applyNumberFormat="1" applyFill="1" applyBorder="1" applyAlignment="1">
      <alignment horizontal="center"/>
    </xf>
    <xf numFmtId="172" fontId="9" fillId="6" borderId="17" xfId="0" applyNumberFormat="1" applyFont="1" applyFill="1" applyBorder="1" applyAlignment="1">
      <alignment horizontal="center"/>
    </xf>
    <xf numFmtId="178" fontId="3" fillId="6" borderId="17" xfId="0" applyNumberFormat="1" applyFont="1" applyFill="1" applyBorder="1" applyAlignment="1">
      <alignment horizontal="center"/>
    </xf>
    <xf numFmtId="173" fontId="9" fillId="6" borderId="17" xfId="0" applyNumberFormat="1" applyFont="1" applyFill="1" applyBorder="1" applyAlignment="1">
      <alignment horizontal="center"/>
    </xf>
    <xf numFmtId="172" fontId="0" fillId="6" borderId="17" xfId="0" applyNumberFormat="1" applyFill="1" applyBorder="1" applyAlignment="1">
      <alignment horizontal="center"/>
    </xf>
    <xf numFmtId="173" fontId="0" fillId="6" borderId="17" xfId="0" applyNumberFormat="1" applyFill="1" applyBorder="1" applyAlignment="1">
      <alignment horizontal="center"/>
    </xf>
    <xf numFmtId="172" fontId="9" fillId="7" borderId="17" xfId="0" applyNumberFormat="1" applyFont="1" applyFill="1" applyBorder="1" applyAlignment="1">
      <alignment horizontal="center"/>
    </xf>
    <xf numFmtId="178" fontId="3" fillId="7" borderId="17" xfId="0" applyNumberFormat="1" applyFont="1" applyFill="1" applyBorder="1" applyAlignment="1">
      <alignment horizontal="center"/>
    </xf>
    <xf numFmtId="173" fontId="9" fillId="7" borderId="17" xfId="0" applyNumberFormat="1" applyFont="1" applyFill="1" applyBorder="1" applyAlignment="1">
      <alignment horizontal="center"/>
    </xf>
    <xf numFmtId="172" fontId="0" fillId="7" borderId="17" xfId="0" applyNumberFormat="1" applyFill="1" applyBorder="1" applyAlignment="1">
      <alignment horizontal="center"/>
    </xf>
    <xf numFmtId="173" fontId="0" fillId="7" borderId="17" xfId="0" applyNumberFormat="1" applyFill="1" applyBorder="1" applyAlignment="1">
      <alignment horizontal="center"/>
    </xf>
    <xf numFmtId="172" fontId="9" fillId="8" borderId="17" xfId="0" applyNumberFormat="1" applyFont="1" applyFill="1" applyBorder="1" applyAlignment="1">
      <alignment horizontal="center"/>
    </xf>
    <xf numFmtId="178" fontId="3" fillId="8" borderId="17" xfId="0" applyNumberFormat="1" applyFont="1" applyFill="1" applyBorder="1" applyAlignment="1">
      <alignment horizontal="center"/>
    </xf>
    <xf numFmtId="173" fontId="9" fillId="8" borderId="17" xfId="0" applyNumberFormat="1" applyFont="1" applyFill="1" applyBorder="1" applyAlignment="1">
      <alignment horizontal="center"/>
    </xf>
    <xf numFmtId="172" fontId="0" fillId="8" borderId="17" xfId="0" applyNumberFormat="1" applyFill="1" applyBorder="1" applyAlignment="1">
      <alignment horizontal="center"/>
    </xf>
    <xf numFmtId="173" fontId="0" fillId="8" borderId="17" xfId="0" applyNumberFormat="1" applyFill="1" applyBorder="1" applyAlignment="1">
      <alignment horizontal="center"/>
    </xf>
    <xf numFmtId="172" fontId="9" fillId="9" borderId="17" xfId="0" applyNumberFormat="1" applyFont="1" applyFill="1" applyBorder="1" applyAlignment="1">
      <alignment horizontal="center"/>
    </xf>
    <xf numFmtId="178" fontId="3" fillId="9" borderId="17" xfId="0" applyNumberFormat="1" applyFont="1" applyFill="1" applyBorder="1" applyAlignment="1">
      <alignment horizontal="center"/>
    </xf>
    <xf numFmtId="173" fontId="9" fillId="9" borderId="17" xfId="0" applyNumberFormat="1" applyFont="1" applyFill="1" applyBorder="1" applyAlignment="1">
      <alignment horizontal="center"/>
    </xf>
    <xf numFmtId="172" fontId="0" fillId="9" borderId="17" xfId="0" applyNumberFormat="1" applyFill="1" applyBorder="1" applyAlignment="1">
      <alignment horizontal="center"/>
    </xf>
    <xf numFmtId="173" fontId="0" fillId="9" borderId="17" xfId="0" applyNumberFormat="1" applyFill="1" applyBorder="1" applyAlignment="1">
      <alignment horizontal="center"/>
    </xf>
    <xf numFmtId="172" fontId="9" fillId="4" borderId="17" xfId="0" applyNumberFormat="1" applyFont="1" applyFill="1" applyBorder="1" applyAlignment="1">
      <alignment horizontal="center"/>
    </xf>
    <xf numFmtId="178" fontId="3" fillId="4" borderId="17" xfId="0" applyNumberFormat="1" applyFont="1" applyFill="1" applyBorder="1" applyAlignment="1">
      <alignment horizontal="center"/>
    </xf>
    <xf numFmtId="173" fontId="9" fillId="4" borderId="17" xfId="0" applyNumberFormat="1" applyFont="1" applyFill="1" applyBorder="1" applyAlignment="1">
      <alignment horizontal="center"/>
    </xf>
    <xf numFmtId="172" fontId="0" fillId="4" borderId="17" xfId="0" applyNumberFormat="1" applyFill="1" applyBorder="1" applyAlignment="1">
      <alignment horizontal="center"/>
    </xf>
    <xf numFmtId="173" fontId="0" fillId="4" borderId="17" xfId="0" applyNumberFormat="1" applyFill="1" applyBorder="1" applyAlignment="1">
      <alignment horizontal="center"/>
    </xf>
    <xf numFmtId="172" fontId="9" fillId="5" borderId="18" xfId="0" applyNumberFormat="1" applyFont="1" applyFill="1" applyBorder="1" applyAlignment="1">
      <alignment horizontal="center"/>
    </xf>
    <xf numFmtId="178" fontId="3" fillId="5" borderId="18" xfId="0" applyNumberFormat="1" applyFont="1" applyFill="1" applyBorder="1" applyAlignment="1">
      <alignment horizontal="center"/>
    </xf>
    <xf numFmtId="173" fontId="9" fillId="5" borderId="18" xfId="0" applyNumberFormat="1" applyFont="1" applyFill="1" applyBorder="1" applyAlignment="1">
      <alignment horizontal="center"/>
    </xf>
    <xf numFmtId="172" fontId="0" fillId="5" borderId="18" xfId="0" applyNumberFormat="1" applyFill="1" applyBorder="1" applyAlignment="1">
      <alignment horizontal="center"/>
    </xf>
    <xf numFmtId="173" fontId="0" fillId="5" borderId="18" xfId="0" applyNumberFormat="1" applyFill="1" applyBorder="1" applyAlignment="1">
      <alignment horizontal="center"/>
    </xf>
    <xf numFmtId="172" fontId="9" fillId="0" borderId="0" xfId="0" applyNumberFormat="1" applyFont="1"/>
    <xf numFmtId="172" fontId="3" fillId="0" borderId="0" xfId="0" applyNumberFormat="1" applyFont="1" applyFill="1" applyAlignment="1">
      <alignment horizontal="center"/>
    </xf>
    <xf numFmtId="172" fontId="3" fillId="0" borderId="0" xfId="0" applyNumberFormat="1" applyFont="1" applyFill="1" applyAlignment="1">
      <alignment horizontal="left"/>
    </xf>
    <xf numFmtId="172" fontId="0" fillId="0" borderId="21" xfId="0" applyNumberFormat="1" applyBorder="1"/>
    <xf numFmtId="172" fontId="0" fillId="0" borderId="19" xfId="0" applyNumberFormat="1" applyBorder="1"/>
    <xf numFmtId="172" fontId="3" fillId="0" borderId="20" xfId="0" applyNumberFormat="1" applyFont="1" applyBorder="1" applyAlignment="1">
      <alignment horizontal="center"/>
    </xf>
    <xf numFmtId="173" fontId="3" fillId="0" borderId="22" xfId="0" applyNumberFormat="1" applyFont="1" applyBorder="1" applyAlignment="1">
      <alignment horizontal="center"/>
    </xf>
    <xf numFmtId="173" fontId="3" fillId="0" borderId="23" xfId="0" applyNumberFormat="1" applyFont="1" applyBorder="1" applyAlignment="1">
      <alignment horizontal="center"/>
    </xf>
    <xf numFmtId="178" fontId="3" fillId="0" borderId="24" xfId="0" applyNumberFormat="1" applyFont="1" applyBorder="1" applyAlignment="1">
      <alignment horizontal="center"/>
    </xf>
    <xf numFmtId="173" fontId="3" fillId="0" borderId="10" xfId="0" applyNumberFormat="1" applyFont="1" applyBorder="1" applyAlignment="1">
      <alignment horizontal="center"/>
    </xf>
    <xf numFmtId="173" fontId="3" fillId="0" borderId="11" xfId="0" applyNumberFormat="1" applyFont="1" applyBorder="1" applyAlignment="1">
      <alignment horizontal="center"/>
    </xf>
    <xf numFmtId="173" fontId="3" fillId="0" borderId="12" xfId="0" applyNumberFormat="1" applyFont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5" fontId="3" fillId="7" borderId="0" xfId="0" applyNumberFormat="1" applyFont="1" applyFill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75" fontId="3" fillId="7" borderId="10" xfId="0" applyNumberFormat="1" applyFont="1" applyFill="1" applyBorder="1" applyAlignment="1">
      <alignment horizontal="center"/>
    </xf>
    <xf numFmtId="175" fontId="3" fillId="4" borderId="12" xfId="0" applyNumberFormat="1" applyFont="1" applyFill="1" applyBorder="1" applyAlignment="1">
      <alignment horizontal="center"/>
    </xf>
    <xf numFmtId="175" fontId="0" fillId="0" borderId="14" xfId="0" applyNumberFormat="1" applyBorder="1" applyAlignment="1">
      <alignment horizontal="center"/>
    </xf>
    <xf numFmtId="175" fontId="0" fillId="0" borderId="15" xfId="0" applyNumberFormat="1" applyBorder="1" applyAlignment="1">
      <alignment horizontal="center"/>
    </xf>
    <xf numFmtId="175" fontId="0" fillId="0" borderId="15" xfId="0" applyNumberFormat="1" applyBorder="1"/>
    <xf numFmtId="175" fontId="0" fillId="0" borderId="13" xfId="0" applyNumberFormat="1" applyBorder="1" applyAlignment="1">
      <alignment horizontal="center"/>
    </xf>
    <xf numFmtId="175" fontId="0" fillId="0" borderId="5" xfId="0" applyNumberFormat="1" applyBorder="1" applyAlignment="1">
      <alignment horizontal="center"/>
    </xf>
    <xf numFmtId="175" fontId="0" fillId="0" borderId="0" xfId="0" applyNumberFormat="1" applyBorder="1" applyAlignment="1">
      <alignment horizontal="center"/>
    </xf>
    <xf numFmtId="175" fontId="0" fillId="0" borderId="0" xfId="0" applyNumberFormat="1"/>
    <xf numFmtId="175" fontId="0" fillId="0" borderId="1" xfId="0" applyNumberFormat="1" applyBorder="1" applyAlignment="1">
      <alignment horizontal="center"/>
    </xf>
    <xf numFmtId="175" fontId="0" fillId="0" borderId="6" xfId="0" applyNumberFormat="1" applyBorder="1" applyAlignment="1">
      <alignment horizontal="center"/>
    </xf>
    <xf numFmtId="175" fontId="0" fillId="0" borderId="2" xfId="0" applyNumberFormat="1" applyBorder="1" applyAlignment="1">
      <alignment horizontal="center"/>
    </xf>
    <xf numFmtId="175" fontId="3" fillId="2" borderId="10" xfId="0" applyNumberFormat="1" applyFont="1" applyFill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175" fontId="0" fillId="0" borderId="0" xfId="0" quotePrefix="1" applyNumberFormat="1"/>
    <xf numFmtId="175" fontId="3" fillId="0" borderId="0" xfId="0" applyNumberFormat="1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75" fontId="3" fillId="0" borderId="12" xfId="0" applyNumberFormat="1" applyFont="1" applyFill="1" applyBorder="1" applyAlignment="1">
      <alignment horizontal="center"/>
    </xf>
    <xf numFmtId="167" fontId="3" fillId="0" borderId="10" xfId="0" applyNumberFormat="1" applyFont="1" applyBorder="1"/>
    <xf numFmtId="167" fontId="3" fillId="0" borderId="10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9" fillId="0" borderId="11" xfId="0" applyNumberFormat="1" applyFon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9" fillId="0" borderId="12" xfId="0" applyNumberFormat="1" applyFon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9" fillId="0" borderId="10" xfId="0" applyNumberFormat="1" applyFont="1" applyBorder="1" applyAlignment="1">
      <alignment horizontal="center"/>
    </xf>
    <xf numFmtId="165" fontId="3" fillId="7" borderId="10" xfId="0" applyNumberFormat="1" applyFont="1" applyFill="1" applyBorder="1" applyAlignment="1">
      <alignment horizontal="center"/>
    </xf>
    <xf numFmtId="10" fontId="3" fillId="6" borderId="10" xfId="0" applyNumberFormat="1" applyFont="1" applyFill="1" applyBorder="1" applyAlignment="1">
      <alignment horizontal="center"/>
    </xf>
    <xf numFmtId="165" fontId="3" fillId="8" borderId="10" xfId="0" applyNumberFormat="1" applyFont="1" applyFill="1" applyBorder="1" applyAlignment="1">
      <alignment horizontal="center"/>
    </xf>
    <xf numFmtId="175" fontId="3" fillId="9" borderId="10" xfId="0" applyNumberFormat="1" applyFont="1" applyFill="1" applyBorder="1" applyAlignment="1">
      <alignment horizontal="center"/>
    </xf>
    <xf numFmtId="165" fontId="3" fillId="9" borderId="10" xfId="0" applyNumberFormat="1" applyFont="1" applyFill="1" applyBorder="1" applyAlignment="1">
      <alignment horizontal="center"/>
    </xf>
    <xf numFmtId="165" fontId="3" fillId="5" borderId="10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75" fontId="3" fillId="0" borderId="10" xfId="0" applyNumberFormat="1" applyFont="1" applyFill="1" applyBorder="1" applyAlignment="1">
      <alignment horizontal="center"/>
    </xf>
    <xf numFmtId="165" fontId="0" fillId="0" borderId="10" xfId="0" applyNumberFormat="1" applyBorder="1"/>
    <xf numFmtId="165" fontId="3" fillId="5" borderId="0" xfId="0" applyNumberFormat="1" applyFont="1" applyFill="1" applyAlignment="1">
      <alignment horizontal="center"/>
    </xf>
    <xf numFmtId="0" fontId="3" fillId="0" borderId="0" xfId="0" applyFont="1" applyFill="1"/>
    <xf numFmtId="165" fontId="3" fillId="0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167" fontId="0" fillId="0" borderId="0" xfId="0" applyNumberFormat="1"/>
    <xf numFmtId="175" fontId="3" fillId="5" borderId="10" xfId="0" applyNumberFormat="1" applyFont="1" applyFill="1" applyBorder="1" applyAlignment="1">
      <alignment horizontal="center"/>
    </xf>
    <xf numFmtId="175" fontId="3" fillId="4" borderId="4" xfId="0" applyNumberFormat="1" applyFont="1" applyFill="1" applyBorder="1" applyAlignment="1">
      <alignment horizontal="center"/>
    </xf>
    <xf numFmtId="172" fontId="25" fillId="0" borderId="0" xfId="0" applyNumberFormat="1" applyFont="1" applyAlignment="1">
      <alignment horizontal="left"/>
    </xf>
    <xf numFmtId="172" fontId="4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Comparisons of Series 1 vs 2 Yields</a:t>
            </a:r>
          </a:p>
        </c:rich>
      </c:tx>
      <c:layout>
        <c:manualLayout>
          <c:xMode val="edge"/>
          <c:yMode val="edge"/>
          <c:x val="0.13027522935779817"/>
          <c:y val="3.49207431818675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651376146789"/>
          <c:y val="0.2603182673557396"/>
          <c:w val="0.58165137614678897"/>
          <c:h val="0.4507950483477441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Sheet1!$D$177:$D$195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Sheet1!$G$177:$G$195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16555776"/>
        <c:axId val="116558464"/>
      </c:lineChart>
      <c:catAx>
        <c:axId val="11655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Periods to Bond Maturity</a:t>
                </a:r>
              </a:p>
            </c:rich>
          </c:tx>
          <c:layout>
            <c:manualLayout>
              <c:xMode val="edge"/>
              <c:yMode val="edge"/>
              <c:x val="0.25504587155963304"/>
              <c:y val="0.8507962884309536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558464"/>
        <c:crosses val="autoZero"/>
        <c:auto val="1"/>
        <c:lblAlgn val="ctr"/>
        <c:lblOffset val="100"/>
        <c:tickLblSkip val="2"/>
        <c:tickMarkSkip val="1"/>
      </c:catAx>
      <c:valAx>
        <c:axId val="116558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555776"/>
        <c:crosses val="autoZero"/>
        <c:crossBetween val="between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48623853211008"/>
          <c:y val="0.40000124008320959"/>
          <c:w val="0.20183486238532111"/>
          <c:h val="0.174603715909337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0.14531562324071542"/>
          <c:y val="0.12173913043478261"/>
          <c:w val="0.53346130110736312"/>
          <c:h val="0.66086956521739126"/>
        </c:manualLayout>
      </c:layout>
      <c:scatterChart>
        <c:scatterStyle val="lineMarker"/>
        <c:ser>
          <c:idx val="0"/>
          <c:order val="0"/>
          <c:tx>
            <c:strRef>
              <c:f>Sheet2!$D$364</c:f>
              <c:strCache>
                <c:ptCount val="1"/>
                <c:pt idx="0">
                  <c:v>Time 0 Spot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Sheet2!$C$365:$C$368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Sheet2!$D$365:$D$368</c:f>
              <c:numCache>
                <c:formatCode>0.00%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</c:numCache>
            </c:numRef>
          </c:yVal>
        </c:ser>
        <c:ser>
          <c:idx val="1"/>
          <c:order val="1"/>
          <c:tx>
            <c:strRef>
              <c:f>Sheet2!$E$364</c:f>
              <c:strCache>
                <c:ptCount val="1"/>
                <c:pt idx="0">
                  <c:v>Geometric Mean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Sheet2!$C$365:$C$368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Sheet2!$E$365:$E$368</c:f>
              <c:numCache>
                <c:formatCode>0.00%</c:formatCode>
                <c:ptCount val="4"/>
                <c:pt idx="0">
                  <c:v>5.0000000000000051E-2</c:v>
                </c:pt>
                <c:pt idx="1">
                  <c:v>5.9201029592076473E-2</c:v>
                </c:pt>
                <c:pt idx="2">
                  <c:v>6.8143268037134178E-2</c:v>
                </c:pt>
                <c:pt idx="3">
                  <c:v>7.3079801414639461E-2</c:v>
                </c:pt>
              </c:numCache>
            </c:numRef>
          </c:yVal>
        </c:ser>
        <c:axId val="68688896"/>
        <c:axId val="68695168"/>
      </c:scatterChart>
      <c:valAx>
        <c:axId val="68688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95168"/>
        <c:crosses val="autoZero"/>
        <c:crossBetween val="midCat"/>
      </c:valAx>
      <c:valAx>
        <c:axId val="68695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888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319378248403753"/>
          <c:y val="0.34782608695652173"/>
          <c:w val="0.27151076973923144"/>
          <c:h val="0.213043478260869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Swap Curves for Each Quarter</a:t>
            </a:r>
          </a:p>
        </c:rich>
      </c:tx>
      <c:layout>
        <c:manualLayout>
          <c:xMode val="edge"/>
          <c:yMode val="edge"/>
          <c:x val="0.21988548253529305"/>
          <c:y val="4.23728813559322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252405230869488"/>
          <c:y val="0.30932203389830509"/>
          <c:w val="0.61376730342460062"/>
          <c:h val="0.478813559322033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Sheet3!$C$258:$C$264</c:f>
              <c:numCache>
                <c:formatCode>0.000%</c:formatCode>
                <c:ptCount val="7"/>
                <c:pt idx="0">
                  <c:v>1.6199999999999999E-2</c:v>
                </c:pt>
                <c:pt idx="1">
                  <c:v>1.6199999999999999E-2</c:v>
                </c:pt>
                <c:pt idx="2">
                  <c:v>1.6199999999999999E-2</c:v>
                </c:pt>
                <c:pt idx="3">
                  <c:v>1.6199999999999999E-2</c:v>
                </c:pt>
                <c:pt idx="4">
                  <c:v>1.6199999999999999E-2</c:v>
                </c:pt>
                <c:pt idx="5">
                  <c:v>1.6199999999999999E-2</c:v>
                </c:pt>
                <c:pt idx="6">
                  <c:v>1.6199999999999999E-2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Sheet3!$D$258:$D$264</c:f>
              <c:numCache>
                <c:formatCode>0.000%</c:formatCode>
                <c:ptCount val="7"/>
                <c:pt idx="1">
                  <c:v>1.6025000000000001E-2</c:v>
                </c:pt>
                <c:pt idx="2">
                  <c:v>1.6025000000000001E-2</c:v>
                </c:pt>
                <c:pt idx="3">
                  <c:v>1.6025000000000001E-2</c:v>
                </c:pt>
                <c:pt idx="4">
                  <c:v>1.6025000000000001E-2</c:v>
                </c:pt>
                <c:pt idx="5">
                  <c:v>1.6025000000000001E-2</c:v>
                </c:pt>
                <c:pt idx="6">
                  <c:v>1.6025000000000001E-2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Sheet3!$E$258:$E$264</c:f>
              <c:numCache>
                <c:formatCode>0.000%</c:formatCode>
                <c:ptCount val="7"/>
                <c:pt idx="2">
                  <c:v>1.5800000000000002E-2</c:v>
                </c:pt>
                <c:pt idx="3">
                  <c:v>1.5800000000000002E-2</c:v>
                </c:pt>
                <c:pt idx="4">
                  <c:v>1.5800000000000002E-2</c:v>
                </c:pt>
                <c:pt idx="5">
                  <c:v>1.5800000000000002E-2</c:v>
                </c:pt>
                <c:pt idx="6">
                  <c:v>1.5800000000000002E-2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Sheet3!$F$258:$F$264</c:f>
              <c:numCache>
                <c:formatCode>0.000%</c:formatCode>
                <c:ptCount val="7"/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Sheet3!$G$258:$G$264</c:f>
              <c:numCache>
                <c:formatCode>0.000%</c:formatCode>
                <c:ptCount val="7"/>
                <c:pt idx="4">
                  <c:v>1.9275E-2</c:v>
                </c:pt>
                <c:pt idx="5">
                  <c:v>1.9275E-2</c:v>
                </c:pt>
                <c:pt idx="6">
                  <c:v>1.9275E-2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Sheet3!$H$258:$H$264</c:f>
              <c:numCache>
                <c:formatCode>0.000%</c:formatCode>
                <c:ptCount val="7"/>
                <c:pt idx="5">
                  <c:v>1.9550000000000001E-2</c:v>
                </c:pt>
                <c:pt idx="6">
                  <c:v>1.9550000000000001E-2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Sheet3!$I$258:$I$264</c:f>
              <c:numCache>
                <c:formatCode>0.000%</c:formatCode>
                <c:ptCount val="7"/>
                <c:pt idx="6">
                  <c:v>1.8550000000000001E-2</c:v>
                </c:pt>
              </c:numCache>
            </c:numRef>
          </c:val>
        </c:ser>
        <c:marker val="1"/>
        <c:axId val="69227648"/>
        <c:axId val="69229568"/>
      </c:lineChart>
      <c:catAx>
        <c:axId val="69227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29568"/>
        <c:crosses val="autoZero"/>
        <c:auto val="1"/>
        <c:lblAlgn val="ctr"/>
        <c:lblOffset val="100"/>
        <c:tickLblSkip val="1"/>
        <c:tickMarkSkip val="1"/>
      </c:catAx>
      <c:valAx>
        <c:axId val="69229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27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32388014971478"/>
          <c:y val="0.23728813559322035"/>
          <c:w val="0.18738067207355408"/>
          <c:h val="0.716101694915254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Swap Curves for Each Quarter</a:t>
            </a:r>
          </a:p>
        </c:rich>
      </c:tx>
      <c:layout>
        <c:manualLayout>
          <c:xMode val="edge"/>
          <c:yMode val="edge"/>
          <c:x val="0.23978685612788633"/>
          <c:y val="4.20168929246260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97690941385436"/>
          <c:y val="0.30672331834977012"/>
          <c:w val="0.64120781527531079"/>
          <c:h val="0.48319426863319948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Sheet3!$C$258:$C$264</c:f>
              <c:numCache>
                <c:formatCode>0.000%</c:formatCode>
                <c:ptCount val="7"/>
                <c:pt idx="0">
                  <c:v>1.6199999999999999E-2</c:v>
                </c:pt>
                <c:pt idx="1">
                  <c:v>1.6199999999999999E-2</c:v>
                </c:pt>
                <c:pt idx="2">
                  <c:v>1.6199999999999999E-2</c:v>
                </c:pt>
                <c:pt idx="3">
                  <c:v>1.6199999999999999E-2</c:v>
                </c:pt>
                <c:pt idx="4">
                  <c:v>1.6199999999999999E-2</c:v>
                </c:pt>
                <c:pt idx="5">
                  <c:v>1.6199999999999999E-2</c:v>
                </c:pt>
                <c:pt idx="6">
                  <c:v>1.6199999999999999E-2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Sheet3!$D$258:$D$264</c:f>
              <c:numCache>
                <c:formatCode>0.000%</c:formatCode>
                <c:ptCount val="7"/>
                <c:pt idx="1">
                  <c:v>1.6025000000000001E-2</c:v>
                </c:pt>
                <c:pt idx="2">
                  <c:v>1.6025000000000001E-2</c:v>
                </c:pt>
                <c:pt idx="3">
                  <c:v>1.6025000000000001E-2</c:v>
                </c:pt>
                <c:pt idx="4">
                  <c:v>1.6025000000000001E-2</c:v>
                </c:pt>
                <c:pt idx="5">
                  <c:v>1.6025000000000001E-2</c:v>
                </c:pt>
                <c:pt idx="6">
                  <c:v>1.6025000000000001E-2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Sheet3!$E$258:$E$264</c:f>
              <c:numCache>
                <c:formatCode>0.000%</c:formatCode>
                <c:ptCount val="7"/>
                <c:pt idx="2">
                  <c:v>1.5800000000000002E-2</c:v>
                </c:pt>
                <c:pt idx="3">
                  <c:v>1.5800000000000002E-2</c:v>
                </c:pt>
                <c:pt idx="4">
                  <c:v>1.5800000000000002E-2</c:v>
                </c:pt>
                <c:pt idx="5">
                  <c:v>1.5800000000000002E-2</c:v>
                </c:pt>
                <c:pt idx="6">
                  <c:v>1.5800000000000002E-2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Sheet3!$F$258:$F$264</c:f>
              <c:numCache>
                <c:formatCode>0.000%</c:formatCode>
                <c:ptCount val="7"/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Sheet3!$G$258:$G$264</c:f>
              <c:numCache>
                <c:formatCode>0.000%</c:formatCode>
                <c:ptCount val="7"/>
                <c:pt idx="4">
                  <c:v>1.9275E-2</c:v>
                </c:pt>
                <c:pt idx="5">
                  <c:v>1.9275E-2</c:v>
                </c:pt>
                <c:pt idx="6">
                  <c:v>1.9275E-2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Sheet3!$H$258:$H$264</c:f>
              <c:numCache>
                <c:formatCode>0.000%</c:formatCode>
                <c:ptCount val="7"/>
                <c:pt idx="5">
                  <c:v>1.9550000000000001E-2</c:v>
                </c:pt>
                <c:pt idx="6">
                  <c:v>1.9550000000000001E-2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Sheet3!$I$258:$I$264</c:f>
              <c:numCache>
                <c:formatCode>0.000%</c:formatCode>
                <c:ptCount val="7"/>
                <c:pt idx="6">
                  <c:v>1.8550000000000001E-2</c:v>
                </c:pt>
              </c:numCache>
            </c:numRef>
          </c:val>
        </c:ser>
        <c:marker val="1"/>
        <c:axId val="116604288"/>
        <c:axId val="116618752"/>
      </c:lineChart>
      <c:catAx>
        <c:axId val="116604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18752"/>
        <c:crosses val="autoZero"/>
        <c:auto val="1"/>
        <c:lblAlgn val="ctr"/>
        <c:lblOffset val="100"/>
        <c:tickLblSkip val="1"/>
        <c:tickMarkSkip val="1"/>
      </c:catAx>
      <c:valAx>
        <c:axId val="116618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04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72291296625221"/>
          <c:y val="0.23949628967036846"/>
          <c:w val="0.17406749555950266"/>
          <c:h val="0.710085490426180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195</xdr:row>
      <xdr:rowOff>66675</xdr:rowOff>
    </xdr:from>
    <xdr:to>
      <xdr:col>8</xdr:col>
      <xdr:colOff>333375</xdr:colOff>
      <xdr:row>213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369</xdr:row>
      <xdr:rowOff>104775</xdr:rowOff>
    </xdr:from>
    <xdr:to>
      <xdr:col>7</xdr:col>
      <xdr:colOff>409575</xdr:colOff>
      <xdr:row>383</xdr:row>
      <xdr:rowOff>28575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374</xdr:row>
      <xdr:rowOff>114300</xdr:rowOff>
    </xdr:from>
    <xdr:to>
      <xdr:col>2</xdr:col>
      <xdr:colOff>561975</xdr:colOff>
      <xdr:row>374</xdr:row>
      <xdr:rowOff>114300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1400175" y="73733025"/>
          <a:ext cx="5524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638175</xdr:colOff>
      <xdr:row>373</xdr:row>
      <xdr:rowOff>104775</xdr:rowOff>
    </xdr:from>
    <xdr:to>
      <xdr:col>3</xdr:col>
      <xdr:colOff>447675</xdr:colOff>
      <xdr:row>373</xdr:row>
      <xdr:rowOff>104775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2028825" y="73561575"/>
          <a:ext cx="5524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561975</xdr:colOff>
      <xdr:row>372</xdr:row>
      <xdr:rowOff>104775</xdr:rowOff>
    </xdr:from>
    <xdr:to>
      <xdr:col>4</xdr:col>
      <xdr:colOff>295275</xdr:colOff>
      <xdr:row>372</xdr:row>
      <xdr:rowOff>104775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2695575" y="73399650"/>
          <a:ext cx="5524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0.1584</cdr:x>
      <cdr:y>0.02165</cdr:y>
    </cdr:from>
    <cdr:to>
      <cdr:x>0.73272</cdr:x>
      <cdr:y>0.12114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3745" y="50800"/>
          <a:ext cx="2866520" cy="218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ZA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Arrows point to the one-period lag.</a:t>
          </a:r>
          <a:endParaRPr lang="en-ZA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ZA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265</xdr:row>
      <xdr:rowOff>38100</xdr:rowOff>
    </xdr:from>
    <xdr:to>
      <xdr:col>8</xdr:col>
      <xdr:colOff>561975</xdr:colOff>
      <xdr:row>279</xdr:row>
      <xdr:rowOff>19050</xdr:rowOff>
    </xdr:to>
    <xdr:graphicFrame macro="">
      <xdr:nvGraphicFramePr>
        <xdr:cNvPr id="820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279</xdr:row>
      <xdr:rowOff>114300</xdr:rowOff>
    </xdr:from>
    <xdr:to>
      <xdr:col>8</xdr:col>
      <xdr:colOff>542925</xdr:colOff>
      <xdr:row>293</xdr:row>
      <xdr:rowOff>114300</xdr:rowOff>
    </xdr:to>
    <xdr:graphicFrame macro="">
      <xdr:nvGraphicFramePr>
        <xdr:cNvPr id="922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8"/>
  <sheetViews>
    <sheetView tabSelected="1" workbookViewId="0">
      <selection activeCell="A22" sqref="A22"/>
    </sheetView>
  </sheetViews>
  <sheetFormatPr defaultRowHeight="12.75"/>
  <cols>
    <col min="2" max="2" width="9.42578125" bestFit="1" customWidth="1"/>
    <col min="3" max="5" width="10.28515625" customWidth="1"/>
    <col min="6" max="6" width="9.140625" style="59"/>
    <col min="7" max="7" width="10.28515625" style="59" bestFit="1" customWidth="1"/>
    <col min="8" max="8" width="10.28515625" customWidth="1"/>
    <col min="9" max="10" width="9.140625" style="59"/>
  </cols>
  <sheetData>
    <row r="1" spans="1:6">
      <c r="A1" s="1" t="s">
        <v>178</v>
      </c>
    </row>
    <row r="2" spans="1:6">
      <c r="A2" t="s">
        <v>23</v>
      </c>
    </row>
    <row r="3" spans="1:6">
      <c r="A3" s="2" t="s">
        <v>179</v>
      </c>
      <c r="B3" s="3"/>
      <c r="C3" s="4"/>
      <c r="D3" s="5"/>
      <c r="E3" s="5"/>
      <c r="F3" s="60"/>
    </row>
    <row r="4" spans="1:6">
      <c r="A4" s="2"/>
      <c r="B4" s="3"/>
      <c r="C4" s="4"/>
      <c r="D4" s="5"/>
      <c r="E4" s="5"/>
      <c r="F4" s="60"/>
    </row>
    <row r="5" spans="1:6">
      <c r="A5" s="2"/>
      <c r="B5" s="3"/>
      <c r="C5" s="4"/>
      <c r="D5" s="5"/>
      <c r="E5" s="5"/>
      <c r="F5" s="60"/>
    </row>
    <row r="6" spans="1:6">
      <c r="A6" s="2"/>
      <c r="B6" s="3"/>
      <c r="C6" s="4"/>
      <c r="D6" s="5"/>
      <c r="E6" s="5"/>
      <c r="F6" s="60"/>
    </row>
    <row r="7" spans="1:6">
      <c r="A7" s="2"/>
      <c r="B7" s="3"/>
      <c r="C7" s="4"/>
      <c r="D7" s="5"/>
      <c r="E7" s="5"/>
      <c r="F7" s="60"/>
    </row>
    <row r="8" spans="1:6">
      <c r="A8" s="2"/>
      <c r="B8" s="3"/>
      <c r="C8" s="4"/>
      <c r="D8" s="5"/>
      <c r="E8" s="5"/>
      <c r="F8" s="60"/>
    </row>
    <row r="9" spans="1:6">
      <c r="A9" s="2"/>
      <c r="B9" s="3"/>
      <c r="C9" s="4"/>
      <c r="D9" s="5"/>
      <c r="E9" s="5"/>
      <c r="F9" s="60"/>
    </row>
    <row r="10" spans="1:6">
      <c r="A10" s="2"/>
      <c r="B10" s="3"/>
      <c r="C10" s="4"/>
      <c r="D10" s="5"/>
      <c r="E10" s="5"/>
      <c r="F10" s="60"/>
    </row>
    <row r="11" spans="1:6">
      <c r="A11" s="2"/>
      <c r="B11" s="3"/>
      <c r="C11" s="4"/>
      <c r="D11" s="5"/>
      <c r="E11" s="5"/>
      <c r="F11" s="60"/>
    </row>
    <row r="12" spans="1:6">
      <c r="A12" s="2"/>
      <c r="B12" s="3"/>
      <c r="C12" s="4"/>
      <c r="D12" s="5"/>
      <c r="E12" s="5"/>
      <c r="F12" s="60"/>
    </row>
    <row r="13" spans="1:6">
      <c r="A13" s="2"/>
      <c r="B13" s="3"/>
      <c r="C13" s="4"/>
      <c r="D13" s="5"/>
      <c r="E13" s="5"/>
      <c r="F13" s="60"/>
    </row>
    <row r="14" spans="1:6">
      <c r="A14" s="2"/>
      <c r="B14" s="3"/>
      <c r="C14" s="4"/>
      <c r="D14" s="5"/>
      <c r="E14" s="5"/>
      <c r="F14" s="60"/>
    </row>
    <row r="15" spans="1:6">
      <c r="A15" s="2"/>
      <c r="B15" s="3"/>
      <c r="C15" s="4"/>
      <c r="D15" s="5"/>
      <c r="E15" s="5"/>
      <c r="F15" s="60"/>
    </row>
    <row r="16" spans="1:6">
      <c r="A16" s="2"/>
      <c r="B16" s="3"/>
      <c r="C16" s="4"/>
      <c r="D16" s="5"/>
      <c r="E16" s="5"/>
      <c r="F16" s="60"/>
    </row>
    <row r="20" spans="1:1">
      <c r="A20" s="9"/>
    </row>
    <row r="21" spans="1:1">
      <c r="A21" s="9" t="s">
        <v>68</v>
      </c>
    </row>
    <row r="22" spans="1:1">
      <c r="A22" s="9" t="s">
        <v>24</v>
      </c>
    </row>
    <row r="23" spans="1:1">
      <c r="A23" s="9" t="s">
        <v>69</v>
      </c>
    </row>
    <row r="24" spans="1:1">
      <c r="A24" s="9" t="s">
        <v>70</v>
      </c>
    </row>
    <row r="25" spans="1:1">
      <c r="A25" s="9" t="s">
        <v>71</v>
      </c>
    </row>
    <row r="26" spans="1:1">
      <c r="A26" s="9" t="s">
        <v>85</v>
      </c>
    </row>
    <row r="27" spans="1:1">
      <c r="A27" s="9" t="s">
        <v>90</v>
      </c>
    </row>
    <row r="28" spans="1:1">
      <c r="A28" s="9" t="s">
        <v>91</v>
      </c>
    </row>
    <row r="29" spans="1:1">
      <c r="A29" s="9" t="s">
        <v>92</v>
      </c>
    </row>
    <row r="30" spans="1:1">
      <c r="A30" s="9"/>
    </row>
    <row r="31" spans="1:1">
      <c r="A31" s="9" t="s">
        <v>93</v>
      </c>
    </row>
    <row r="32" spans="1:1">
      <c r="A32" s="9" t="s">
        <v>94</v>
      </c>
    </row>
    <row r="33" spans="1:1">
      <c r="A33" s="9" t="s">
        <v>95</v>
      </c>
    </row>
    <row r="34" spans="1:1">
      <c r="A34" s="9" t="s">
        <v>96</v>
      </c>
    </row>
    <row r="35" spans="1:1">
      <c r="A35" s="9" t="s">
        <v>97</v>
      </c>
    </row>
    <row r="36" spans="1:1">
      <c r="A36" s="9" t="s">
        <v>98</v>
      </c>
    </row>
    <row r="37" spans="1:1">
      <c r="A37" s="9" t="s">
        <v>99</v>
      </c>
    </row>
    <row r="38" spans="1:1">
      <c r="A38" s="9" t="s">
        <v>100</v>
      </c>
    </row>
    <row r="39" spans="1:1">
      <c r="A39" s="9" t="s">
        <v>101</v>
      </c>
    </row>
    <row r="40" spans="1:1">
      <c r="A40" s="9" t="s">
        <v>102</v>
      </c>
    </row>
    <row r="41" spans="1:1">
      <c r="A41" s="9" t="s">
        <v>103</v>
      </c>
    </row>
    <row r="42" spans="1:1">
      <c r="A42" s="9" t="s">
        <v>86</v>
      </c>
    </row>
    <row r="43" spans="1:1">
      <c r="A43" s="9" t="s">
        <v>132</v>
      </c>
    </row>
    <row r="44" spans="1:1">
      <c r="A44" s="9" t="s">
        <v>133</v>
      </c>
    </row>
    <row r="45" spans="1:1">
      <c r="A45" s="9" t="s">
        <v>134</v>
      </c>
    </row>
    <row r="46" spans="1:1">
      <c r="A46" s="9" t="s">
        <v>135</v>
      </c>
    </row>
    <row r="47" spans="1:1">
      <c r="A47" s="9" t="s">
        <v>136</v>
      </c>
    </row>
    <row r="48" spans="1:1">
      <c r="A48" s="9" t="s">
        <v>137</v>
      </c>
    </row>
    <row r="49" spans="1:4">
      <c r="A49" s="9" t="s">
        <v>138</v>
      </c>
    </row>
    <row r="50" spans="1:4">
      <c r="A50" s="9" t="s">
        <v>139</v>
      </c>
    </row>
    <row r="51" spans="1:4">
      <c r="A51" s="9" t="s">
        <v>140</v>
      </c>
    </row>
    <row r="52" spans="1:4">
      <c r="A52" s="9"/>
    </row>
    <row r="53" spans="1:4">
      <c r="A53" s="9" t="s">
        <v>141</v>
      </c>
    </row>
    <row r="54" spans="1:4">
      <c r="A54" s="9" t="s">
        <v>142</v>
      </c>
    </row>
    <row r="55" spans="1:4">
      <c r="A55" s="9" t="s">
        <v>143</v>
      </c>
    </row>
    <row r="57" spans="1:4">
      <c r="A57" s="8" t="s">
        <v>564</v>
      </c>
      <c r="B57" s="267" t="s">
        <v>565</v>
      </c>
      <c r="C57" s="102"/>
      <c r="D57" s="102"/>
    </row>
    <row r="58" spans="1:4">
      <c r="A58" s="6">
        <v>1</v>
      </c>
      <c r="B58" s="7" t="s">
        <v>180</v>
      </c>
      <c r="C58" s="55"/>
    </row>
    <row r="59" spans="1:4">
      <c r="A59" s="8">
        <v>1</v>
      </c>
      <c r="B59" s="3" t="s">
        <v>181</v>
      </c>
    </row>
    <row r="60" spans="1:4">
      <c r="A60" s="8">
        <v>1</v>
      </c>
      <c r="B60" s="9" t="s">
        <v>182</v>
      </c>
    </row>
    <row r="61" spans="1:4">
      <c r="A61" s="8">
        <v>1</v>
      </c>
      <c r="B61" s="9" t="s">
        <v>214</v>
      </c>
    </row>
    <row r="62" spans="1:4">
      <c r="A62" s="8">
        <v>1</v>
      </c>
      <c r="B62" s="9" t="s">
        <v>215</v>
      </c>
    </row>
    <row r="63" spans="1:4">
      <c r="A63" s="8">
        <v>1</v>
      </c>
      <c r="B63" s="9" t="s">
        <v>233</v>
      </c>
    </row>
    <row r="64" spans="1:4">
      <c r="A64" s="8">
        <v>1</v>
      </c>
      <c r="B64" s="3"/>
    </row>
    <row r="65" spans="1:6">
      <c r="A65" s="8">
        <v>1</v>
      </c>
      <c r="B65" s="10" t="s">
        <v>183</v>
      </c>
    </row>
    <row r="66" spans="1:6">
      <c r="A66" s="8">
        <v>1</v>
      </c>
      <c r="B66" s="10" t="s">
        <v>184</v>
      </c>
    </row>
    <row r="67" spans="1:6">
      <c r="A67" s="8">
        <v>1</v>
      </c>
      <c r="B67" s="10" t="s">
        <v>185</v>
      </c>
    </row>
    <row r="68" spans="1:6">
      <c r="A68" s="8">
        <v>1</v>
      </c>
      <c r="B68" s="10" t="s">
        <v>186</v>
      </c>
    </row>
    <row r="69" spans="1:6">
      <c r="A69" s="8">
        <v>1</v>
      </c>
      <c r="B69" s="10" t="s">
        <v>187</v>
      </c>
    </row>
    <row r="70" spans="1:6">
      <c r="A70" s="8">
        <v>1</v>
      </c>
      <c r="B70" s="10" t="s">
        <v>188</v>
      </c>
    </row>
    <row r="71" spans="1:6">
      <c r="A71" s="8">
        <v>1</v>
      </c>
      <c r="B71" s="10" t="s">
        <v>87</v>
      </c>
    </row>
    <row r="72" spans="1:6">
      <c r="A72" s="8">
        <v>1</v>
      </c>
      <c r="B72" s="10"/>
    </row>
    <row r="73" spans="1:6" ht="18">
      <c r="A73" s="8">
        <v>1</v>
      </c>
      <c r="B73" s="12" t="s">
        <v>189</v>
      </c>
    </row>
    <row r="74" spans="1:6">
      <c r="A74" s="8">
        <v>1</v>
      </c>
      <c r="B74" s="10"/>
    </row>
    <row r="75" spans="1:6">
      <c r="A75" s="8">
        <v>1</v>
      </c>
      <c r="B75" s="10" t="s">
        <v>216</v>
      </c>
    </row>
    <row r="76" spans="1:6">
      <c r="A76" s="8">
        <v>1</v>
      </c>
      <c r="B76" s="10" t="s">
        <v>217</v>
      </c>
    </row>
    <row r="77" spans="1:6">
      <c r="A77" s="8">
        <v>1</v>
      </c>
      <c r="B77" s="10"/>
    </row>
    <row r="78" spans="1:6" ht="18">
      <c r="A78" s="8">
        <v>1</v>
      </c>
      <c r="B78" s="12" t="s">
        <v>218</v>
      </c>
    </row>
    <row r="79" spans="1:6">
      <c r="A79" s="8">
        <v>1</v>
      </c>
      <c r="B79" s="10"/>
    </row>
    <row r="80" spans="1:6" ht="15.75">
      <c r="A80" s="8">
        <v>1</v>
      </c>
      <c r="B80" s="10" t="s">
        <v>219</v>
      </c>
      <c r="E80" s="15">
        <f>2*RATE(19,40/2,-932.5,1000)</f>
        <v>4.8970829010767325E-2</v>
      </c>
      <c r="F80" s="59" t="s">
        <v>201</v>
      </c>
    </row>
    <row r="81" spans="1:8" ht="15.75">
      <c r="A81" s="8">
        <v>1</v>
      </c>
      <c r="B81" s="10"/>
      <c r="E81" s="13"/>
    </row>
    <row r="82" spans="1:8" ht="15.75">
      <c r="A82" s="8">
        <v>1</v>
      </c>
      <c r="B82" s="10" t="s">
        <v>194</v>
      </c>
      <c r="E82" s="13"/>
    </row>
    <row r="83" spans="1:8" ht="15.75">
      <c r="A83" s="8">
        <v>1</v>
      </c>
      <c r="B83" s="10" t="s">
        <v>195</v>
      </c>
      <c r="E83" s="13"/>
    </row>
    <row r="84" spans="1:8" ht="15.75">
      <c r="A84" s="8">
        <v>1</v>
      </c>
      <c r="B84" s="10" t="s">
        <v>196</v>
      </c>
      <c r="E84" s="13"/>
    </row>
    <row r="85" spans="1:8" ht="15.75">
      <c r="A85" s="8">
        <v>1</v>
      </c>
      <c r="B85" s="10" t="s">
        <v>197</v>
      </c>
      <c r="E85" s="13"/>
    </row>
    <row r="86" spans="1:8" ht="15.75">
      <c r="A86" s="8">
        <v>1</v>
      </c>
      <c r="E86" s="13"/>
    </row>
    <row r="87" spans="1:8">
      <c r="A87" s="8">
        <v>1</v>
      </c>
      <c r="B87" s="14" t="s">
        <v>220</v>
      </c>
      <c r="E87" s="8" t="e">
        <f>DATEVALUE("3/31/2001")</f>
        <v>#VALUE!</v>
      </c>
      <c r="F87" s="59" t="s">
        <v>198</v>
      </c>
    </row>
    <row r="88" spans="1:8">
      <c r="A88" s="8">
        <v>1</v>
      </c>
      <c r="B88" s="14" t="s">
        <v>221</v>
      </c>
      <c r="E88" s="8" t="e">
        <f>DATEVALUE("9/30/2001")</f>
        <v>#VALUE!</v>
      </c>
      <c r="F88" s="59" t="s">
        <v>198</v>
      </c>
    </row>
    <row r="89" spans="1:8">
      <c r="A89" s="8">
        <v>1</v>
      </c>
      <c r="B89" s="14" t="s">
        <v>199</v>
      </c>
      <c r="E89" s="8" t="e">
        <f>DATEVALUE("9/30/2100")</f>
        <v>#VALUE!</v>
      </c>
      <c r="F89" s="59" t="s">
        <v>198</v>
      </c>
    </row>
    <row r="90" spans="1:8" ht="15.75">
      <c r="A90" s="8">
        <v>1</v>
      </c>
      <c r="E90" s="13"/>
    </row>
    <row r="91" spans="1:8" ht="15.75">
      <c r="A91" s="8">
        <v>1</v>
      </c>
      <c r="C91" t="s">
        <v>200</v>
      </c>
      <c r="D91" s="15" t="e">
        <f>YIELD("3/31/2001","9/30/2010",0.04,93.25,100,2)</f>
        <v>#VALUE!</v>
      </c>
      <c r="E91" s="16" t="s">
        <v>201</v>
      </c>
    </row>
    <row r="92" spans="1:8" ht="15.75">
      <c r="A92" s="8">
        <v>1</v>
      </c>
      <c r="D92" s="15"/>
      <c r="E92" s="16"/>
    </row>
    <row r="93" spans="1:8" ht="15.75">
      <c r="A93" s="8">
        <v>1</v>
      </c>
      <c r="B93" s="20" t="s">
        <v>226</v>
      </c>
      <c r="C93" s="20" t="s">
        <v>227</v>
      </c>
      <c r="D93" s="15"/>
      <c r="E93" s="16"/>
      <c r="G93" s="61" t="s">
        <v>231</v>
      </c>
      <c r="H93" s="20" t="s">
        <v>232</v>
      </c>
    </row>
    <row r="94" spans="1:8" ht="15.75">
      <c r="A94" s="8">
        <v>1</v>
      </c>
      <c r="B94" s="21">
        <v>36981</v>
      </c>
      <c r="C94" t="s">
        <v>228</v>
      </c>
      <c r="D94" s="15"/>
      <c r="E94" s="16"/>
      <c r="G94" s="62">
        <v>10000</v>
      </c>
      <c r="H94" s="22"/>
    </row>
    <row r="95" spans="1:8">
      <c r="A95" s="8">
        <v>1</v>
      </c>
      <c r="D95" t="s">
        <v>230</v>
      </c>
      <c r="E95" s="16"/>
      <c r="G95" s="62"/>
      <c r="H95" s="22">
        <f>G94-H96</f>
        <v>679.5</v>
      </c>
    </row>
    <row r="96" spans="1:8" ht="15.75">
      <c r="A96" s="8">
        <v>1</v>
      </c>
      <c r="B96" s="10"/>
      <c r="D96" t="s">
        <v>229</v>
      </c>
      <c r="E96" s="13"/>
      <c r="G96" s="62"/>
      <c r="H96" s="22">
        <v>9320.5</v>
      </c>
    </row>
    <row r="97" spans="1:3">
      <c r="A97" s="8">
        <v>1</v>
      </c>
      <c r="B97" s="10"/>
      <c r="C97" s="23" t="s">
        <v>234</v>
      </c>
    </row>
    <row r="98" spans="1:3">
      <c r="A98" s="8">
        <v>2</v>
      </c>
      <c r="B98" s="10"/>
      <c r="C98" s="23"/>
    </row>
    <row r="99" spans="1:3">
      <c r="A99" s="6">
        <v>2</v>
      </c>
      <c r="B99" s="7" t="s">
        <v>180</v>
      </c>
      <c r="C99" s="55"/>
    </row>
    <row r="100" spans="1:3">
      <c r="A100" s="8">
        <v>2</v>
      </c>
      <c r="B100" s="3" t="s">
        <v>192</v>
      </c>
    </row>
    <row r="101" spans="1:3">
      <c r="A101" s="8">
        <v>2</v>
      </c>
      <c r="B101" s="9" t="s">
        <v>190</v>
      </c>
    </row>
    <row r="102" spans="1:3">
      <c r="A102" s="8">
        <v>2</v>
      </c>
      <c r="B102" s="9" t="s">
        <v>222</v>
      </c>
    </row>
    <row r="103" spans="1:3">
      <c r="A103" s="8">
        <v>2</v>
      </c>
      <c r="B103" s="9" t="s">
        <v>193</v>
      </c>
    </row>
    <row r="104" spans="1:3">
      <c r="A104" s="8">
        <v>2</v>
      </c>
      <c r="B104" s="9" t="s">
        <v>203</v>
      </c>
    </row>
    <row r="105" spans="1:3">
      <c r="A105" s="8">
        <v>2</v>
      </c>
      <c r="B105" s="9" t="s">
        <v>204</v>
      </c>
    </row>
    <row r="106" spans="1:3">
      <c r="A106" s="8">
        <v>2</v>
      </c>
      <c r="B106" s="9"/>
    </row>
    <row r="107" spans="1:3">
      <c r="A107" s="8">
        <v>2</v>
      </c>
      <c r="B107" s="10" t="s">
        <v>191</v>
      </c>
    </row>
    <row r="108" spans="1:3">
      <c r="A108" s="8">
        <v>2</v>
      </c>
      <c r="B108" s="9"/>
    </row>
    <row r="109" spans="1:3" ht="18">
      <c r="A109" s="8">
        <v>2</v>
      </c>
      <c r="B109" s="12" t="s">
        <v>202</v>
      </c>
    </row>
    <row r="110" spans="1:3" ht="14.25">
      <c r="A110" s="8">
        <v>2</v>
      </c>
      <c r="B110" s="9"/>
      <c r="C110" s="11" t="s">
        <v>223</v>
      </c>
    </row>
    <row r="111" spans="1:3" ht="14.25">
      <c r="A111" s="8">
        <v>2</v>
      </c>
      <c r="B111" s="9"/>
      <c r="C111" t="s">
        <v>224</v>
      </c>
    </row>
    <row r="112" spans="1:3">
      <c r="A112" s="8">
        <v>2</v>
      </c>
      <c r="B112" s="9"/>
    </row>
    <row r="113" spans="1:8">
      <c r="A113" s="8">
        <v>2</v>
      </c>
      <c r="B113" s="10" t="s">
        <v>194</v>
      </c>
    </row>
    <row r="114" spans="1:8">
      <c r="A114" s="8">
        <v>2</v>
      </c>
      <c r="B114" s="10" t="s">
        <v>195</v>
      </c>
    </row>
    <row r="115" spans="1:8">
      <c r="A115" s="8">
        <v>2</v>
      </c>
      <c r="B115" s="10" t="s">
        <v>196</v>
      </c>
    </row>
    <row r="116" spans="1:8">
      <c r="A116" s="8">
        <v>2</v>
      </c>
      <c r="B116" s="10" t="s">
        <v>197</v>
      </c>
    </row>
    <row r="117" spans="1:8">
      <c r="A117" s="8">
        <v>2</v>
      </c>
    </row>
    <row r="118" spans="1:8">
      <c r="A118" s="8">
        <v>2</v>
      </c>
      <c r="B118" s="14" t="s">
        <v>225</v>
      </c>
      <c r="E118" s="8" t="e">
        <f>DATEVALUE("6/24/2001")</f>
        <v>#VALUE!</v>
      </c>
      <c r="F118" s="59" t="s">
        <v>198</v>
      </c>
    </row>
    <row r="119" spans="1:8">
      <c r="A119" s="8">
        <v>2</v>
      </c>
      <c r="B119" s="14" t="s">
        <v>221</v>
      </c>
      <c r="E119" s="8" t="e">
        <f>DATEVALUE("9/30/2001")</f>
        <v>#VALUE!</v>
      </c>
      <c r="F119" s="59" t="s">
        <v>198</v>
      </c>
    </row>
    <row r="120" spans="1:8">
      <c r="A120" s="8">
        <v>2</v>
      </c>
      <c r="B120" s="14" t="s">
        <v>199</v>
      </c>
      <c r="E120" s="8" t="e">
        <f>DATEVALUE("9/30/2100")</f>
        <v>#VALUE!</v>
      </c>
      <c r="F120" s="59" t="s">
        <v>198</v>
      </c>
    </row>
    <row r="121" spans="1:8">
      <c r="A121" s="8">
        <v>2</v>
      </c>
    </row>
    <row r="122" spans="1:8" ht="15.75">
      <c r="A122" s="8">
        <v>2</v>
      </c>
      <c r="B122" t="s">
        <v>200</v>
      </c>
      <c r="C122" s="15" t="e">
        <f>YIELD("6/24/2001","9/30/2010",0.04,93.25,100,2)</f>
        <v>#VALUE!</v>
      </c>
      <c r="D122" t="s">
        <v>201</v>
      </c>
    </row>
    <row r="123" spans="1:8" ht="15.75">
      <c r="A123" s="8">
        <v>2</v>
      </c>
      <c r="C123" s="15"/>
    </row>
    <row r="124" spans="1:8" ht="15.75">
      <c r="A124" s="8">
        <v>2</v>
      </c>
      <c r="B124" s="20" t="s">
        <v>226</v>
      </c>
      <c r="C124" s="20" t="s">
        <v>227</v>
      </c>
      <c r="D124" s="15"/>
      <c r="E124" s="16"/>
      <c r="G124" s="61" t="s">
        <v>231</v>
      </c>
      <c r="H124" s="20" t="s">
        <v>232</v>
      </c>
    </row>
    <row r="125" spans="1:8" ht="15.75">
      <c r="A125" s="8">
        <v>2</v>
      </c>
      <c r="B125" s="21">
        <v>37066</v>
      </c>
      <c r="C125" t="s">
        <v>228</v>
      </c>
      <c r="D125" s="15"/>
      <c r="E125" s="16"/>
      <c r="G125" s="63">
        <v>10000</v>
      </c>
      <c r="H125" s="24"/>
    </row>
    <row r="126" spans="1:8" ht="15.75">
      <c r="A126" s="8">
        <v>2</v>
      </c>
      <c r="B126" s="21"/>
      <c r="C126" t="s">
        <v>235</v>
      </c>
      <c r="D126" s="15"/>
      <c r="E126" s="16"/>
      <c r="G126" s="63">
        <v>40</v>
      </c>
      <c r="H126" s="24"/>
    </row>
    <row r="127" spans="1:8">
      <c r="A127" s="8">
        <v>2</v>
      </c>
      <c r="D127" t="s">
        <v>230</v>
      </c>
      <c r="E127" s="16"/>
      <c r="G127" s="63"/>
      <c r="H127" s="24">
        <f>G125+G126-H128</f>
        <v>715</v>
      </c>
    </row>
    <row r="128" spans="1:8" ht="15.75">
      <c r="A128" s="8">
        <v>2</v>
      </c>
      <c r="B128" s="10"/>
      <c r="D128" t="s">
        <v>229</v>
      </c>
      <c r="E128" s="13"/>
      <c r="G128" s="63"/>
      <c r="H128" s="24">
        <v>9325</v>
      </c>
    </row>
    <row r="129" spans="1:9" ht="15.75">
      <c r="A129" s="8">
        <v>2</v>
      </c>
      <c r="B129" s="10"/>
      <c r="E129" s="13"/>
      <c r="G129" s="62"/>
      <c r="H129" s="22"/>
    </row>
    <row r="130" spans="1:9">
      <c r="A130" s="8">
        <v>3</v>
      </c>
    </row>
    <row r="131" spans="1:9">
      <c r="A131" s="6">
        <v>3</v>
      </c>
      <c r="B131" s="7" t="s">
        <v>180</v>
      </c>
      <c r="C131" s="55"/>
    </row>
    <row r="132" spans="1:9">
      <c r="A132" s="8">
        <v>3</v>
      </c>
      <c r="B132" s="3" t="s">
        <v>333</v>
      </c>
    </row>
    <row r="133" spans="1:9">
      <c r="A133" s="8">
        <v>3</v>
      </c>
      <c r="B133" s="17" t="s">
        <v>334</v>
      </c>
    </row>
    <row r="134" spans="1:9">
      <c r="A134" s="8">
        <v>3</v>
      </c>
      <c r="B134" s="9"/>
    </row>
    <row r="135" spans="1:9">
      <c r="A135" s="8">
        <v>3</v>
      </c>
      <c r="B135" s="9"/>
    </row>
    <row r="136" spans="1:9">
      <c r="A136" s="8">
        <v>3</v>
      </c>
      <c r="B136" s="9" t="s">
        <v>88</v>
      </c>
    </row>
    <row r="137" spans="1:9">
      <c r="A137" s="8">
        <v>3</v>
      </c>
      <c r="B137" s="9" t="s">
        <v>362</v>
      </c>
    </row>
    <row r="138" spans="1:9">
      <c r="A138" s="8">
        <v>3</v>
      </c>
      <c r="B138" s="9"/>
    </row>
    <row r="139" spans="1:9">
      <c r="A139" s="8">
        <v>3</v>
      </c>
      <c r="B139" s="9" t="s">
        <v>348</v>
      </c>
    </row>
    <row r="140" spans="1:9">
      <c r="A140" s="8">
        <v>3</v>
      </c>
      <c r="B140" s="9" t="s">
        <v>89</v>
      </c>
    </row>
    <row r="141" spans="1:9">
      <c r="A141" s="8">
        <v>3</v>
      </c>
      <c r="B141" s="9" t="s">
        <v>349</v>
      </c>
    </row>
    <row r="142" spans="1:9" ht="13.5" thickBot="1">
      <c r="A142" s="8">
        <v>3</v>
      </c>
      <c r="B142" s="9" t="s">
        <v>213</v>
      </c>
    </row>
    <row r="143" spans="1:9" ht="13.5" thickBot="1">
      <c r="A143" s="8">
        <v>3</v>
      </c>
      <c r="D143" s="77"/>
      <c r="E143" s="78" t="s">
        <v>351</v>
      </c>
      <c r="F143" s="79"/>
      <c r="G143" s="77"/>
      <c r="H143" s="78" t="s">
        <v>352</v>
      </c>
      <c r="I143" s="79"/>
    </row>
    <row r="144" spans="1:9">
      <c r="A144" s="8">
        <v>3</v>
      </c>
      <c r="B144" s="57"/>
      <c r="C144" s="44"/>
      <c r="D144" s="70" t="s">
        <v>353</v>
      </c>
      <c r="E144" s="64" t="s">
        <v>341</v>
      </c>
      <c r="F144" s="65" t="s">
        <v>335</v>
      </c>
      <c r="G144" s="70" t="s">
        <v>353</v>
      </c>
      <c r="H144" s="64" t="s">
        <v>341</v>
      </c>
      <c r="I144" s="65" t="s">
        <v>335</v>
      </c>
    </row>
    <row r="145" spans="1:9">
      <c r="A145" s="8">
        <v>3</v>
      </c>
      <c r="B145" s="57"/>
      <c r="C145" s="44"/>
      <c r="D145" s="70" t="s">
        <v>354</v>
      </c>
      <c r="E145" s="64" t="s">
        <v>335</v>
      </c>
      <c r="F145" s="65" t="s">
        <v>342</v>
      </c>
      <c r="G145" s="70" t="s">
        <v>354</v>
      </c>
      <c r="H145" s="64" t="s">
        <v>335</v>
      </c>
      <c r="I145" s="65" t="s">
        <v>342</v>
      </c>
    </row>
    <row r="146" spans="1:9">
      <c r="A146" s="8">
        <v>3</v>
      </c>
      <c r="B146" s="57"/>
      <c r="C146" s="58" t="s">
        <v>336</v>
      </c>
      <c r="D146" s="70" t="s">
        <v>338</v>
      </c>
      <c r="E146" s="64" t="s">
        <v>340</v>
      </c>
      <c r="F146" s="65" t="s">
        <v>343</v>
      </c>
      <c r="G146" s="70" t="s">
        <v>338</v>
      </c>
      <c r="H146" s="64" t="s">
        <v>340</v>
      </c>
      <c r="I146" s="65" t="s">
        <v>343</v>
      </c>
    </row>
    <row r="147" spans="1:9" ht="13.5" thickBot="1">
      <c r="A147" s="8">
        <v>3</v>
      </c>
      <c r="B147" s="58" t="s">
        <v>226</v>
      </c>
      <c r="C147" s="58" t="s">
        <v>337</v>
      </c>
      <c r="D147" s="71" t="s">
        <v>339</v>
      </c>
      <c r="E147" s="66" t="s">
        <v>339</v>
      </c>
      <c r="F147" s="67" t="s">
        <v>344</v>
      </c>
      <c r="G147" s="71" t="s">
        <v>339</v>
      </c>
      <c r="H147" s="66" t="s">
        <v>339</v>
      </c>
      <c r="I147" s="67" t="s">
        <v>344</v>
      </c>
    </row>
    <row r="148" spans="1:9" ht="13.5" thickBot="1">
      <c r="A148" s="8">
        <v>3</v>
      </c>
      <c r="B148" s="56">
        <v>36981</v>
      </c>
      <c r="C148" s="8">
        <v>0</v>
      </c>
      <c r="D148" s="76"/>
      <c r="E148" s="73" t="s">
        <v>213</v>
      </c>
      <c r="F148" s="74" t="s">
        <v>213</v>
      </c>
      <c r="G148" s="76"/>
      <c r="H148" s="75" t="s">
        <v>213</v>
      </c>
      <c r="I148" s="74" t="s">
        <v>213</v>
      </c>
    </row>
    <row r="149" spans="1:9" ht="13.5" thickBot="1">
      <c r="A149" s="8">
        <v>3</v>
      </c>
      <c r="B149" s="56">
        <v>37164</v>
      </c>
      <c r="C149" s="8">
        <v>1</v>
      </c>
      <c r="D149" s="98" t="e">
        <f t="shared" ref="D149:D167" si="0">YIELD("3/31/2001",B149,0.04,100,100,2)/2</f>
        <v>#VALUE!</v>
      </c>
      <c r="E149" s="97"/>
      <c r="F149" s="68"/>
      <c r="G149" s="88" t="e">
        <f>YIELD("3/31/2001",B149,0.04,100,100,2)/2</f>
        <v>#VALUE!</v>
      </c>
      <c r="H149" s="101"/>
      <c r="I149" s="81" t="e">
        <f>FV(G149,C149,,-1000)</f>
        <v>#VALUE!</v>
      </c>
    </row>
    <row r="150" spans="1:9" ht="13.5" thickBot="1">
      <c r="A150" s="8">
        <v>3</v>
      </c>
      <c r="B150" s="56">
        <v>37346</v>
      </c>
      <c r="C150" s="8">
        <v>2</v>
      </c>
      <c r="D150" s="99" t="e">
        <f t="shared" si="0"/>
        <v>#VALUE!</v>
      </c>
      <c r="E150" s="97"/>
      <c r="F150" s="68"/>
      <c r="G150" s="89" t="e">
        <f>YIELD("3/31/2001",B150,0.04,99,100,2)/2</f>
        <v>#VALUE!</v>
      </c>
      <c r="H150" s="101"/>
      <c r="I150" s="82" t="e">
        <f>FV(G150,C150,,-990)</f>
        <v>#VALUE!</v>
      </c>
    </row>
    <row r="151" spans="1:9" ht="13.5" thickBot="1">
      <c r="A151" s="8">
        <v>3</v>
      </c>
      <c r="B151" s="56">
        <v>37529</v>
      </c>
      <c r="C151" s="8">
        <v>3</v>
      </c>
      <c r="D151" s="99" t="e">
        <f t="shared" si="0"/>
        <v>#VALUE!</v>
      </c>
      <c r="E151" s="97"/>
      <c r="F151" s="68"/>
      <c r="G151" s="89" t="e">
        <f>YIELD("3/31/2001",B151,0.04,97.3,100,2)/2</f>
        <v>#VALUE!</v>
      </c>
      <c r="H151" s="101"/>
      <c r="I151" s="82" t="e">
        <f>FV(G151,C151,,-973)</f>
        <v>#VALUE!</v>
      </c>
    </row>
    <row r="152" spans="1:9" ht="13.5" thickBot="1">
      <c r="A152" s="8">
        <v>3</v>
      </c>
      <c r="B152" s="56">
        <v>37711</v>
      </c>
      <c r="C152" s="8">
        <v>4</v>
      </c>
      <c r="D152" s="99" t="e">
        <f t="shared" si="0"/>
        <v>#VALUE!</v>
      </c>
      <c r="E152" s="97"/>
      <c r="F152" s="68"/>
      <c r="G152" s="89" t="e">
        <f>YIELD("3/31/2001",B152,0.04,96,100,2)/2</f>
        <v>#VALUE!</v>
      </c>
      <c r="H152" s="101"/>
      <c r="I152" s="82" t="e">
        <f>FV(G152,C152,,-960)</f>
        <v>#VALUE!</v>
      </c>
    </row>
    <row r="153" spans="1:9" ht="13.5" thickBot="1">
      <c r="A153" s="8">
        <v>3</v>
      </c>
      <c r="B153" s="56">
        <v>37894</v>
      </c>
      <c r="C153" s="8">
        <v>5</v>
      </c>
      <c r="D153" s="99" t="e">
        <f t="shared" si="0"/>
        <v>#VALUE!</v>
      </c>
      <c r="E153" s="97"/>
      <c r="F153" s="68"/>
      <c r="G153" s="89" t="e">
        <f t="shared" ref="G153:G167" si="1">YIELD("3/31/2001",B153,0.04,100-C153/0.9,100,2)/2</f>
        <v>#VALUE!</v>
      </c>
      <c r="H153" s="101"/>
      <c r="I153" s="82" t="e">
        <f>FV(G153,C153,,-(100-C153/0.9)*10)</f>
        <v>#VALUE!</v>
      </c>
    </row>
    <row r="154" spans="1:9" ht="13.5" thickBot="1">
      <c r="A154" s="8">
        <v>3</v>
      </c>
      <c r="B154" s="56">
        <v>38077</v>
      </c>
      <c r="C154" s="8">
        <v>6</v>
      </c>
      <c r="D154" s="99" t="e">
        <f t="shared" si="0"/>
        <v>#VALUE!</v>
      </c>
      <c r="E154" s="97"/>
      <c r="F154" s="68"/>
      <c r="G154" s="89" t="e">
        <f t="shared" si="1"/>
        <v>#VALUE!</v>
      </c>
      <c r="H154" s="101"/>
      <c r="I154" s="82" t="e">
        <f t="shared" ref="I154:I167" si="2">FV(G154,C154,,-(100-C154/0.9)*10)</f>
        <v>#VALUE!</v>
      </c>
    </row>
    <row r="155" spans="1:9" ht="13.5" thickBot="1">
      <c r="A155" s="8">
        <v>3</v>
      </c>
      <c r="B155" s="56">
        <v>38260</v>
      </c>
      <c r="C155" s="8">
        <v>7</v>
      </c>
      <c r="D155" s="99" t="e">
        <f t="shared" si="0"/>
        <v>#VALUE!</v>
      </c>
      <c r="E155" s="97"/>
      <c r="F155" s="68"/>
      <c r="G155" s="89" t="e">
        <f t="shared" si="1"/>
        <v>#VALUE!</v>
      </c>
      <c r="H155" s="101"/>
      <c r="I155" s="82" t="e">
        <f t="shared" si="2"/>
        <v>#VALUE!</v>
      </c>
    </row>
    <row r="156" spans="1:9" ht="13.5" thickBot="1">
      <c r="A156" s="8">
        <v>3</v>
      </c>
      <c r="B156" s="56">
        <v>38442</v>
      </c>
      <c r="C156" s="8">
        <v>8</v>
      </c>
      <c r="D156" s="99" t="e">
        <f t="shared" si="0"/>
        <v>#VALUE!</v>
      </c>
      <c r="E156" s="97"/>
      <c r="F156" s="68"/>
      <c r="G156" s="89" t="e">
        <f t="shared" si="1"/>
        <v>#VALUE!</v>
      </c>
      <c r="H156" s="101"/>
      <c r="I156" s="82" t="e">
        <f t="shared" si="2"/>
        <v>#VALUE!</v>
      </c>
    </row>
    <row r="157" spans="1:9" ht="13.5" thickBot="1">
      <c r="A157" s="8">
        <v>3</v>
      </c>
      <c r="B157" s="56">
        <v>38625</v>
      </c>
      <c r="C157" s="8">
        <v>9</v>
      </c>
      <c r="D157" s="99" t="e">
        <f t="shared" si="0"/>
        <v>#VALUE!</v>
      </c>
      <c r="E157" s="97"/>
      <c r="F157" s="68"/>
      <c r="G157" s="89" t="e">
        <f t="shared" si="1"/>
        <v>#VALUE!</v>
      </c>
      <c r="H157" s="101"/>
      <c r="I157" s="82" t="e">
        <f t="shared" si="2"/>
        <v>#VALUE!</v>
      </c>
    </row>
    <row r="158" spans="1:9" ht="13.5" thickBot="1">
      <c r="A158" s="8">
        <v>3</v>
      </c>
      <c r="B158" s="56">
        <v>38807</v>
      </c>
      <c r="C158" s="8">
        <v>10</v>
      </c>
      <c r="D158" s="99" t="e">
        <f t="shared" si="0"/>
        <v>#VALUE!</v>
      </c>
      <c r="E158" s="97"/>
      <c r="F158" s="68"/>
      <c r="G158" s="89" t="e">
        <f t="shared" si="1"/>
        <v>#VALUE!</v>
      </c>
      <c r="H158" s="101"/>
      <c r="I158" s="82" t="e">
        <f t="shared" si="2"/>
        <v>#VALUE!</v>
      </c>
    </row>
    <row r="159" spans="1:9" ht="13.5" thickBot="1">
      <c r="A159" s="8">
        <v>3</v>
      </c>
      <c r="B159" s="56">
        <v>38990</v>
      </c>
      <c r="C159" s="8">
        <v>11</v>
      </c>
      <c r="D159" s="99" t="e">
        <f t="shared" si="0"/>
        <v>#VALUE!</v>
      </c>
      <c r="E159" s="97"/>
      <c r="F159" s="68"/>
      <c r="G159" s="89" t="e">
        <f t="shared" si="1"/>
        <v>#VALUE!</v>
      </c>
      <c r="H159" s="101"/>
      <c r="I159" s="82" t="e">
        <f t="shared" si="2"/>
        <v>#VALUE!</v>
      </c>
    </row>
    <row r="160" spans="1:9" ht="13.5" thickBot="1">
      <c r="A160" s="8">
        <v>3</v>
      </c>
      <c r="B160" s="56">
        <v>39172</v>
      </c>
      <c r="C160" s="8">
        <v>12</v>
      </c>
      <c r="D160" s="99" t="e">
        <f t="shared" si="0"/>
        <v>#VALUE!</v>
      </c>
      <c r="E160" s="97"/>
      <c r="F160" s="68"/>
      <c r="G160" s="89" t="e">
        <f t="shared" si="1"/>
        <v>#VALUE!</v>
      </c>
      <c r="H160" s="101"/>
      <c r="I160" s="82" t="e">
        <f t="shared" si="2"/>
        <v>#VALUE!</v>
      </c>
    </row>
    <row r="161" spans="1:9" ht="13.5" thickBot="1">
      <c r="A161" s="8">
        <v>3</v>
      </c>
      <c r="B161" s="56">
        <v>39355</v>
      </c>
      <c r="C161" s="8">
        <v>13</v>
      </c>
      <c r="D161" s="99" t="e">
        <f t="shared" si="0"/>
        <v>#VALUE!</v>
      </c>
      <c r="E161" s="97"/>
      <c r="F161" s="68"/>
      <c r="G161" s="89" t="e">
        <f t="shared" si="1"/>
        <v>#VALUE!</v>
      </c>
      <c r="H161" s="101"/>
      <c r="I161" s="82" t="e">
        <f t="shared" si="2"/>
        <v>#VALUE!</v>
      </c>
    </row>
    <row r="162" spans="1:9" ht="13.5" thickBot="1">
      <c r="A162" s="8">
        <v>3</v>
      </c>
      <c r="B162" s="56">
        <v>39538</v>
      </c>
      <c r="C162" s="8">
        <v>14</v>
      </c>
      <c r="D162" s="99" t="e">
        <f t="shared" si="0"/>
        <v>#VALUE!</v>
      </c>
      <c r="E162" s="97"/>
      <c r="F162" s="68"/>
      <c r="G162" s="89" t="e">
        <f t="shared" si="1"/>
        <v>#VALUE!</v>
      </c>
      <c r="H162" s="101"/>
      <c r="I162" s="82" t="e">
        <f t="shared" si="2"/>
        <v>#VALUE!</v>
      </c>
    </row>
    <row r="163" spans="1:9" ht="13.5" thickBot="1">
      <c r="A163" s="8">
        <v>3</v>
      </c>
      <c r="B163" s="56">
        <v>39721</v>
      </c>
      <c r="C163" s="8">
        <v>15</v>
      </c>
      <c r="D163" s="99" t="e">
        <f t="shared" si="0"/>
        <v>#VALUE!</v>
      </c>
      <c r="E163" s="97"/>
      <c r="F163" s="68"/>
      <c r="G163" s="89" t="e">
        <f t="shared" si="1"/>
        <v>#VALUE!</v>
      </c>
      <c r="H163" s="101"/>
      <c r="I163" s="82" t="e">
        <f t="shared" si="2"/>
        <v>#VALUE!</v>
      </c>
    </row>
    <row r="164" spans="1:9" ht="13.5" thickBot="1">
      <c r="A164" s="8">
        <v>3</v>
      </c>
      <c r="B164" s="56">
        <v>39903</v>
      </c>
      <c r="C164" s="8">
        <v>16</v>
      </c>
      <c r="D164" s="99" t="e">
        <f t="shared" si="0"/>
        <v>#VALUE!</v>
      </c>
      <c r="E164" s="97"/>
      <c r="F164" s="68"/>
      <c r="G164" s="89" t="e">
        <f t="shared" si="1"/>
        <v>#VALUE!</v>
      </c>
      <c r="H164" s="101"/>
      <c r="I164" s="82" t="e">
        <f t="shared" si="2"/>
        <v>#VALUE!</v>
      </c>
    </row>
    <row r="165" spans="1:9" ht="13.5" thickBot="1">
      <c r="A165" s="8">
        <v>3</v>
      </c>
      <c r="B165" s="56">
        <v>40086</v>
      </c>
      <c r="C165" s="8">
        <v>17</v>
      </c>
      <c r="D165" s="99" t="e">
        <f t="shared" si="0"/>
        <v>#VALUE!</v>
      </c>
      <c r="E165" s="97"/>
      <c r="F165" s="68"/>
      <c r="G165" s="89" t="e">
        <f t="shared" si="1"/>
        <v>#VALUE!</v>
      </c>
      <c r="H165" s="101"/>
      <c r="I165" s="82" t="e">
        <f t="shared" si="2"/>
        <v>#VALUE!</v>
      </c>
    </row>
    <row r="166" spans="1:9" ht="13.5" thickBot="1">
      <c r="A166" s="8">
        <v>3</v>
      </c>
      <c r="B166" s="56">
        <v>40268</v>
      </c>
      <c r="C166" s="8">
        <v>18</v>
      </c>
      <c r="D166" s="99" t="e">
        <f t="shared" si="0"/>
        <v>#VALUE!</v>
      </c>
      <c r="E166" s="97"/>
      <c r="F166" s="68"/>
      <c r="G166" s="89" t="e">
        <f t="shared" si="1"/>
        <v>#VALUE!</v>
      </c>
      <c r="H166" s="101"/>
      <c r="I166" s="82" t="e">
        <f t="shared" si="2"/>
        <v>#VALUE!</v>
      </c>
    </row>
    <row r="167" spans="1:9" ht="13.5" thickBot="1">
      <c r="A167" s="8">
        <v>3</v>
      </c>
      <c r="B167" s="56">
        <v>40451</v>
      </c>
      <c r="C167" s="8">
        <v>19</v>
      </c>
      <c r="D167" s="100" t="e">
        <f t="shared" si="0"/>
        <v>#VALUE!</v>
      </c>
      <c r="E167" s="72" t="s">
        <v>213</v>
      </c>
      <c r="F167" s="68"/>
      <c r="G167" s="90" t="e">
        <f t="shared" si="1"/>
        <v>#VALUE!</v>
      </c>
      <c r="H167" s="72" t="s">
        <v>213</v>
      </c>
      <c r="I167" s="83" t="e">
        <f t="shared" si="2"/>
        <v>#VALUE!</v>
      </c>
    </row>
    <row r="168" spans="1:9">
      <c r="A168" s="8">
        <v>3</v>
      </c>
      <c r="E168" s="59"/>
      <c r="G168"/>
      <c r="H168" s="59"/>
    </row>
    <row r="169" spans="1:9">
      <c r="A169" s="8">
        <v>3</v>
      </c>
      <c r="E169" s="59"/>
      <c r="G169"/>
      <c r="H169" s="59"/>
    </row>
    <row r="170" spans="1:9" ht="13.5" thickBot="1">
      <c r="A170" s="8">
        <v>3</v>
      </c>
      <c r="B170" s="38" t="s">
        <v>350</v>
      </c>
      <c r="E170" s="69" t="s">
        <v>350</v>
      </c>
      <c r="F170" s="69" t="s">
        <v>350</v>
      </c>
      <c r="G170"/>
      <c r="H170" s="69" t="s">
        <v>350</v>
      </c>
      <c r="I170" s="69" t="s">
        <v>350</v>
      </c>
    </row>
    <row r="171" spans="1:9" ht="13.5" thickBot="1">
      <c r="A171" s="8">
        <v>3</v>
      </c>
      <c r="D171" s="77"/>
      <c r="E171" s="78" t="s">
        <v>351</v>
      </c>
      <c r="F171" s="79"/>
      <c r="G171" s="77"/>
      <c r="H171" s="78" t="s">
        <v>352</v>
      </c>
      <c r="I171" s="79"/>
    </row>
    <row r="172" spans="1:9">
      <c r="A172" s="8">
        <v>3</v>
      </c>
      <c r="B172" s="57"/>
      <c r="C172" s="44"/>
      <c r="D172" s="94" t="s">
        <v>353</v>
      </c>
      <c r="E172" s="94" t="s">
        <v>532</v>
      </c>
      <c r="F172" s="94" t="s">
        <v>335</v>
      </c>
      <c r="G172" s="94" t="s">
        <v>353</v>
      </c>
      <c r="H172" s="94" t="s">
        <v>532</v>
      </c>
      <c r="I172" s="94" t="s">
        <v>335</v>
      </c>
    </row>
    <row r="173" spans="1:9">
      <c r="A173" s="8">
        <v>3</v>
      </c>
      <c r="B173" s="57"/>
      <c r="C173" s="44"/>
      <c r="D173" s="95" t="s">
        <v>354</v>
      </c>
      <c r="E173" s="95" t="s">
        <v>335</v>
      </c>
      <c r="F173" s="95" t="s">
        <v>342</v>
      </c>
      <c r="G173" s="95" t="s">
        <v>354</v>
      </c>
      <c r="H173" s="95" t="s">
        <v>335</v>
      </c>
      <c r="I173" s="95" t="s">
        <v>342</v>
      </c>
    </row>
    <row r="174" spans="1:9">
      <c r="A174" s="8">
        <v>3</v>
      </c>
      <c r="B174" s="57"/>
      <c r="C174" s="58" t="s">
        <v>336</v>
      </c>
      <c r="D174" s="95" t="s">
        <v>338</v>
      </c>
      <c r="E174" s="95" t="s">
        <v>340</v>
      </c>
      <c r="F174" s="95" t="s">
        <v>343</v>
      </c>
      <c r="G174" s="95" t="s">
        <v>338</v>
      </c>
      <c r="H174" s="95" t="s">
        <v>340</v>
      </c>
      <c r="I174" s="95" t="s">
        <v>343</v>
      </c>
    </row>
    <row r="175" spans="1:9" ht="13.5" thickBot="1">
      <c r="A175" s="8">
        <v>3</v>
      </c>
      <c r="B175" s="58" t="s">
        <v>226</v>
      </c>
      <c r="C175" s="58" t="s">
        <v>337</v>
      </c>
      <c r="D175" s="96" t="s">
        <v>339</v>
      </c>
      <c r="E175" s="96" t="s">
        <v>339</v>
      </c>
      <c r="F175" s="96" t="s">
        <v>344</v>
      </c>
      <c r="G175" s="96" t="s">
        <v>339</v>
      </c>
      <c r="H175" s="96" t="s">
        <v>339</v>
      </c>
      <c r="I175" s="96" t="s">
        <v>344</v>
      </c>
    </row>
    <row r="176" spans="1:9" ht="13.5" thickBot="1">
      <c r="A176" s="8">
        <v>3</v>
      </c>
      <c r="B176" s="56">
        <v>36981</v>
      </c>
      <c r="C176" s="8">
        <v>0</v>
      </c>
      <c r="D176" s="76"/>
      <c r="E176" s="73" t="s">
        <v>213</v>
      </c>
      <c r="F176" s="74" t="s">
        <v>213</v>
      </c>
      <c r="G176" s="76"/>
      <c r="H176" s="75" t="s">
        <v>213</v>
      </c>
      <c r="I176" s="74" t="s">
        <v>213</v>
      </c>
    </row>
    <row r="177" spans="1:9">
      <c r="A177" s="8">
        <v>3</v>
      </c>
      <c r="B177" s="56">
        <v>37164</v>
      </c>
      <c r="C177" s="8">
        <v>1</v>
      </c>
      <c r="D177" s="98" t="e">
        <f t="shared" ref="D177:D195" si="3">YIELD("3/31/2001",B177,0.04,100,100,2)/2</f>
        <v>#VALUE!</v>
      </c>
      <c r="E177" s="85" t="e">
        <f t="shared" ref="E177:E194" si="4" xml:space="preserve"> (((1+D178)^C178)/(1+D177)^C177 - 1)</f>
        <v>#VALUE!</v>
      </c>
      <c r="F177" s="91" t="e">
        <f>FV(D177,C177,,-1000)</f>
        <v>#VALUE!</v>
      </c>
      <c r="G177" s="88" t="e">
        <f>YIELD("3/31/2001",B177,0.04,100,100,2)/2</f>
        <v>#VALUE!</v>
      </c>
      <c r="H177" s="85" t="e">
        <f xml:space="preserve"> (((1+G178)^C178)/(1+G177)^C177 - 1)</f>
        <v>#VALUE!</v>
      </c>
      <c r="I177" s="84" t="e">
        <f>FV(G177,C177,,-1000)</f>
        <v>#VALUE!</v>
      </c>
    </row>
    <row r="178" spans="1:9">
      <c r="A178" s="8">
        <v>3</v>
      </c>
      <c r="B178" s="56">
        <v>37346</v>
      </c>
      <c r="C178" s="8">
        <v>2</v>
      </c>
      <c r="D178" s="99" t="e">
        <f t="shared" si="3"/>
        <v>#VALUE!</v>
      </c>
      <c r="E178" s="86" t="e">
        <f t="shared" si="4"/>
        <v>#VALUE!</v>
      </c>
      <c r="F178" s="92" t="e">
        <f t="shared" ref="F178:F195" si="5">FV(D178,C178,,-1000)</f>
        <v>#VALUE!</v>
      </c>
      <c r="G178" s="89" t="e">
        <f>YIELD("3/31/2001",B178,0.04,99,100,2)/2</f>
        <v>#VALUE!</v>
      </c>
      <c r="H178" s="86" t="e">
        <f t="shared" ref="H178:H194" si="6" xml:space="preserve"> (((1+G179)^C179)/(1+G178)^C178 - 1)</f>
        <v>#VALUE!</v>
      </c>
      <c r="I178" s="80" t="e">
        <f>FV(G178,C178,,-990)</f>
        <v>#VALUE!</v>
      </c>
    </row>
    <row r="179" spans="1:9">
      <c r="A179" s="8">
        <v>3</v>
      </c>
      <c r="B179" s="56">
        <v>37529</v>
      </c>
      <c r="C179" s="8">
        <v>3</v>
      </c>
      <c r="D179" s="99" t="e">
        <f t="shared" si="3"/>
        <v>#VALUE!</v>
      </c>
      <c r="E179" s="86" t="e">
        <f t="shared" si="4"/>
        <v>#VALUE!</v>
      </c>
      <c r="F179" s="92" t="e">
        <f t="shared" si="5"/>
        <v>#VALUE!</v>
      </c>
      <c r="G179" s="89" t="e">
        <f>YIELD("3/31/2001",B179,0.04,97.3,100,2)/2</f>
        <v>#VALUE!</v>
      </c>
      <c r="H179" s="86" t="e">
        <f t="shared" si="6"/>
        <v>#VALUE!</v>
      </c>
      <c r="I179" s="80" t="e">
        <f>FV(G179,C179,,-973)</f>
        <v>#VALUE!</v>
      </c>
    </row>
    <row r="180" spans="1:9">
      <c r="A180" s="8">
        <v>3</v>
      </c>
      <c r="B180" s="56">
        <v>37711</v>
      </c>
      <c r="C180" s="8">
        <v>4</v>
      </c>
      <c r="D180" s="99" t="e">
        <f t="shared" si="3"/>
        <v>#VALUE!</v>
      </c>
      <c r="E180" s="86" t="e">
        <f t="shared" si="4"/>
        <v>#VALUE!</v>
      </c>
      <c r="F180" s="92" t="e">
        <f t="shared" si="5"/>
        <v>#VALUE!</v>
      </c>
      <c r="G180" s="89" t="e">
        <f>YIELD("3/31/2001",B180,0.04,96,100,2)/2</f>
        <v>#VALUE!</v>
      </c>
      <c r="H180" s="86" t="e">
        <f t="shared" si="6"/>
        <v>#VALUE!</v>
      </c>
      <c r="I180" s="80" t="e">
        <f>FV(G180,C180,,-960)</f>
        <v>#VALUE!</v>
      </c>
    </row>
    <row r="181" spans="1:9">
      <c r="A181" s="8">
        <v>3</v>
      </c>
      <c r="B181" s="56">
        <v>37894</v>
      </c>
      <c r="C181" s="8">
        <v>5</v>
      </c>
      <c r="D181" s="99" t="e">
        <f t="shared" si="3"/>
        <v>#VALUE!</v>
      </c>
      <c r="E181" s="86" t="e">
        <f t="shared" si="4"/>
        <v>#VALUE!</v>
      </c>
      <c r="F181" s="92" t="e">
        <f t="shared" si="5"/>
        <v>#VALUE!</v>
      </c>
      <c r="G181" s="89" t="e">
        <f t="shared" ref="G181:G195" si="7">YIELD("3/31/2001",B181,0.04,100-C181/0.9,100,2)/2</f>
        <v>#VALUE!</v>
      </c>
      <c r="H181" s="86" t="e">
        <f t="shared" si="6"/>
        <v>#VALUE!</v>
      </c>
      <c r="I181" s="80" t="e">
        <f>FV(G181,C181,,-(100-C181/0.9)*10)</f>
        <v>#VALUE!</v>
      </c>
    </row>
    <row r="182" spans="1:9">
      <c r="A182" s="8">
        <v>3</v>
      </c>
      <c r="B182" s="56">
        <v>38077</v>
      </c>
      <c r="C182" s="8">
        <v>6</v>
      </c>
      <c r="D182" s="99" t="e">
        <f t="shared" si="3"/>
        <v>#VALUE!</v>
      </c>
      <c r="E182" s="86" t="e">
        <f t="shared" si="4"/>
        <v>#VALUE!</v>
      </c>
      <c r="F182" s="92" t="e">
        <f t="shared" si="5"/>
        <v>#VALUE!</v>
      </c>
      <c r="G182" s="89" t="e">
        <f t="shared" si="7"/>
        <v>#VALUE!</v>
      </c>
      <c r="H182" s="86" t="e">
        <f t="shared" si="6"/>
        <v>#VALUE!</v>
      </c>
      <c r="I182" s="80" t="e">
        <f t="shared" ref="I182:I195" si="8">FV(G182,C182,,-(100-C182/0.9)*10)</f>
        <v>#VALUE!</v>
      </c>
    </row>
    <row r="183" spans="1:9">
      <c r="A183" s="8">
        <v>3</v>
      </c>
      <c r="B183" s="56">
        <v>38260</v>
      </c>
      <c r="C183" s="8">
        <v>7</v>
      </c>
      <c r="D183" s="99" t="e">
        <f t="shared" si="3"/>
        <v>#VALUE!</v>
      </c>
      <c r="E183" s="86" t="e">
        <f t="shared" si="4"/>
        <v>#VALUE!</v>
      </c>
      <c r="F183" s="92" t="e">
        <f t="shared" si="5"/>
        <v>#VALUE!</v>
      </c>
      <c r="G183" s="89" t="e">
        <f t="shared" si="7"/>
        <v>#VALUE!</v>
      </c>
      <c r="H183" s="86" t="e">
        <f t="shared" si="6"/>
        <v>#VALUE!</v>
      </c>
      <c r="I183" s="80" t="e">
        <f t="shared" si="8"/>
        <v>#VALUE!</v>
      </c>
    </row>
    <row r="184" spans="1:9">
      <c r="A184" s="8">
        <v>3</v>
      </c>
      <c r="B184" s="56">
        <v>38442</v>
      </c>
      <c r="C184" s="8">
        <v>8</v>
      </c>
      <c r="D184" s="99" t="e">
        <f t="shared" si="3"/>
        <v>#VALUE!</v>
      </c>
      <c r="E184" s="86" t="e">
        <f t="shared" si="4"/>
        <v>#VALUE!</v>
      </c>
      <c r="F184" s="92" t="e">
        <f t="shared" si="5"/>
        <v>#VALUE!</v>
      </c>
      <c r="G184" s="89" t="e">
        <f t="shared" si="7"/>
        <v>#VALUE!</v>
      </c>
      <c r="H184" s="86" t="e">
        <f t="shared" si="6"/>
        <v>#VALUE!</v>
      </c>
      <c r="I184" s="80" t="e">
        <f t="shared" si="8"/>
        <v>#VALUE!</v>
      </c>
    </row>
    <row r="185" spans="1:9">
      <c r="A185" s="8">
        <v>3</v>
      </c>
      <c r="B185" s="56">
        <v>38625</v>
      </c>
      <c r="C185" s="8">
        <v>9</v>
      </c>
      <c r="D185" s="99" t="e">
        <f t="shared" si="3"/>
        <v>#VALUE!</v>
      </c>
      <c r="E185" s="86" t="e">
        <f t="shared" si="4"/>
        <v>#VALUE!</v>
      </c>
      <c r="F185" s="92" t="e">
        <f t="shared" si="5"/>
        <v>#VALUE!</v>
      </c>
      <c r="G185" s="89" t="e">
        <f t="shared" si="7"/>
        <v>#VALUE!</v>
      </c>
      <c r="H185" s="86" t="e">
        <f t="shared" si="6"/>
        <v>#VALUE!</v>
      </c>
      <c r="I185" s="80" t="e">
        <f t="shared" si="8"/>
        <v>#VALUE!</v>
      </c>
    </row>
    <row r="186" spans="1:9">
      <c r="A186" s="8">
        <v>3</v>
      </c>
      <c r="B186" s="56">
        <v>38807</v>
      </c>
      <c r="C186" s="8">
        <v>10</v>
      </c>
      <c r="D186" s="99" t="e">
        <f t="shared" si="3"/>
        <v>#VALUE!</v>
      </c>
      <c r="E186" s="86" t="e">
        <f t="shared" si="4"/>
        <v>#VALUE!</v>
      </c>
      <c r="F186" s="92" t="e">
        <f t="shared" si="5"/>
        <v>#VALUE!</v>
      </c>
      <c r="G186" s="89" t="e">
        <f t="shared" si="7"/>
        <v>#VALUE!</v>
      </c>
      <c r="H186" s="86" t="e">
        <f t="shared" si="6"/>
        <v>#VALUE!</v>
      </c>
      <c r="I186" s="80" t="e">
        <f t="shared" si="8"/>
        <v>#VALUE!</v>
      </c>
    </row>
    <row r="187" spans="1:9">
      <c r="A187" s="8">
        <v>3</v>
      </c>
      <c r="B187" s="56">
        <v>38990</v>
      </c>
      <c r="C187" s="8">
        <v>11</v>
      </c>
      <c r="D187" s="99" t="e">
        <f t="shared" si="3"/>
        <v>#VALUE!</v>
      </c>
      <c r="E187" s="86" t="e">
        <f t="shared" si="4"/>
        <v>#VALUE!</v>
      </c>
      <c r="F187" s="92" t="e">
        <f t="shared" si="5"/>
        <v>#VALUE!</v>
      </c>
      <c r="G187" s="89" t="e">
        <f t="shared" si="7"/>
        <v>#VALUE!</v>
      </c>
      <c r="H187" s="86" t="e">
        <f t="shared" si="6"/>
        <v>#VALUE!</v>
      </c>
      <c r="I187" s="80" t="e">
        <f t="shared" si="8"/>
        <v>#VALUE!</v>
      </c>
    </row>
    <row r="188" spans="1:9">
      <c r="A188" s="8">
        <v>3</v>
      </c>
      <c r="B188" s="56">
        <v>39172</v>
      </c>
      <c r="C188" s="8">
        <v>12</v>
      </c>
      <c r="D188" s="99" t="e">
        <f t="shared" si="3"/>
        <v>#VALUE!</v>
      </c>
      <c r="E188" s="86" t="e">
        <f t="shared" si="4"/>
        <v>#VALUE!</v>
      </c>
      <c r="F188" s="92" t="e">
        <f t="shared" si="5"/>
        <v>#VALUE!</v>
      </c>
      <c r="G188" s="89" t="e">
        <f t="shared" si="7"/>
        <v>#VALUE!</v>
      </c>
      <c r="H188" s="86" t="e">
        <f t="shared" si="6"/>
        <v>#VALUE!</v>
      </c>
      <c r="I188" s="80" t="e">
        <f t="shared" si="8"/>
        <v>#VALUE!</v>
      </c>
    </row>
    <row r="189" spans="1:9">
      <c r="A189" s="8">
        <v>3</v>
      </c>
      <c r="B189" s="56">
        <v>39355</v>
      </c>
      <c r="C189" s="8">
        <v>13</v>
      </c>
      <c r="D189" s="99" t="e">
        <f t="shared" si="3"/>
        <v>#VALUE!</v>
      </c>
      <c r="E189" s="86" t="e">
        <f t="shared" si="4"/>
        <v>#VALUE!</v>
      </c>
      <c r="F189" s="92" t="e">
        <f t="shared" si="5"/>
        <v>#VALUE!</v>
      </c>
      <c r="G189" s="89" t="e">
        <f t="shared" si="7"/>
        <v>#VALUE!</v>
      </c>
      <c r="H189" s="86" t="e">
        <f t="shared" si="6"/>
        <v>#VALUE!</v>
      </c>
      <c r="I189" s="80" t="e">
        <f t="shared" si="8"/>
        <v>#VALUE!</v>
      </c>
    </row>
    <row r="190" spans="1:9">
      <c r="A190" s="8">
        <v>3</v>
      </c>
      <c r="B190" s="56">
        <v>39538</v>
      </c>
      <c r="C190" s="8">
        <v>14</v>
      </c>
      <c r="D190" s="99" t="e">
        <f t="shared" si="3"/>
        <v>#VALUE!</v>
      </c>
      <c r="E190" s="86" t="e">
        <f t="shared" si="4"/>
        <v>#VALUE!</v>
      </c>
      <c r="F190" s="92" t="e">
        <f t="shared" si="5"/>
        <v>#VALUE!</v>
      </c>
      <c r="G190" s="89" t="e">
        <f t="shared" si="7"/>
        <v>#VALUE!</v>
      </c>
      <c r="H190" s="86" t="e">
        <f t="shared" si="6"/>
        <v>#VALUE!</v>
      </c>
      <c r="I190" s="80" t="e">
        <f t="shared" si="8"/>
        <v>#VALUE!</v>
      </c>
    </row>
    <row r="191" spans="1:9">
      <c r="A191" s="8">
        <v>3</v>
      </c>
      <c r="B191" s="56">
        <v>39721</v>
      </c>
      <c r="C191" s="8">
        <v>15</v>
      </c>
      <c r="D191" s="99" t="e">
        <f t="shared" si="3"/>
        <v>#VALUE!</v>
      </c>
      <c r="E191" s="86" t="e">
        <f t="shared" si="4"/>
        <v>#VALUE!</v>
      </c>
      <c r="F191" s="92" t="e">
        <f t="shared" si="5"/>
        <v>#VALUE!</v>
      </c>
      <c r="G191" s="89" t="e">
        <f t="shared" si="7"/>
        <v>#VALUE!</v>
      </c>
      <c r="H191" s="86" t="e">
        <f t="shared" si="6"/>
        <v>#VALUE!</v>
      </c>
      <c r="I191" s="80" t="e">
        <f t="shared" si="8"/>
        <v>#VALUE!</v>
      </c>
    </row>
    <row r="192" spans="1:9">
      <c r="A192" s="8">
        <v>3</v>
      </c>
      <c r="B192" s="56">
        <v>39903</v>
      </c>
      <c r="C192" s="8">
        <v>16</v>
      </c>
      <c r="D192" s="99" t="e">
        <f t="shared" si="3"/>
        <v>#VALUE!</v>
      </c>
      <c r="E192" s="86" t="e">
        <f t="shared" si="4"/>
        <v>#VALUE!</v>
      </c>
      <c r="F192" s="92" t="e">
        <f t="shared" si="5"/>
        <v>#VALUE!</v>
      </c>
      <c r="G192" s="89" t="e">
        <f t="shared" si="7"/>
        <v>#VALUE!</v>
      </c>
      <c r="H192" s="86" t="e">
        <f t="shared" si="6"/>
        <v>#VALUE!</v>
      </c>
      <c r="I192" s="80" t="e">
        <f t="shared" si="8"/>
        <v>#VALUE!</v>
      </c>
    </row>
    <row r="193" spans="1:9">
      <c r="A193" s="8">
        <v>3</v>
      </c>
      <c r="B193" s="56">
        <v>40086</v>
      </c>
      <c r="C193" s="8">
        <v>17</v>
      </c>
      <c r="D193" s="99" t="e">
        <f t="shared" si="3"/>
        <v>#VALUE!</v>
      </c>
      <c r="E193" s="86" t="e">
        <f t="shared" si="4"/>
        <v>#VALUE!</v>
      </c>
      <c r="F193" s="92" t="e">
        <f t="shared" si="5"/>
        <v>#VALUE!</v>
      </c>
      <c r="G193" s="89" t="e">
        <f t="shared" si="7"/>
        <v>#VALUE!</v>
      </c>
      <c r="H193" s="86" t="e">
        <f t="shared" si="6"/>
        <v>#VALUE!</v>
      </c>
      <c r="I193" s="80" t="e">
        <f t="shared" si="8"/>
        <v>#VALUE!</v>
      </c>
    </row>
    <row r="194" spans="1:9">
      <c r="A194" s="8">
        <v>3</v>
      </c>
      <c r="B194" s="56">
        <v>40268</v>
      </c>
      <c r="C194" s="8">
        <v>18</v>
      </c>
      <c r="D194" s="99" t="e">
        <f t="shared" si="3"/>
        <v>#VALUE!</v>
      </c>
      <c r="E194" s="86" t="e">
        <f t="shared" si="4"/>
        <v>#VALUE!</v>
      </c>
      <c r="F194" s="92" t="e">
        <f t="shared" si="5"/>
        <v>#VALUE!</v>
      </c>
      <c r="G194" s="89" t="e">
        <f t="shared" si="7"/>
        <v>#VALUE!</v>
      </c>
      <c r="H194" s="86" t="e">
        <f t="shared" si="6"/>
        <v>#VALUE!</v>
      </c>
      <c r="I194" s="80" t="e">
        <f t="shared" si="8"/>
        <v>#VALUE!</v>
      </c>
    </row>
    <row r="195" spans="1:9" ht="13.5" thickBot="1">
      <c r="A195" s="8">
        <v>3</v>
      </c>
      <c r="B195" s="56">
        <v>40451</v>
      </c>
      <c r="C195" s="8">
        <v>19</v>
      </c>
      <c r="D195" s="100" t="e">
        <f t="shared" si="3"/>
        <v>#VALUE!</v>
      </c>
      <c r="E195" s="87" t="s">
        <v>213</v>
      </c>
      <c r="F195" s="93" t="e">
        <f t="shared" si="5"/>
        <v>#VALUE!</v>
      </c>
      <c r="G195" s="90" t="e">
        <f t="shared" si="7"/>
        <v>#VALUE!</v>
      </c>
      <c r="H195" s="87" t="s">
        <v>213</v>
      </c>
      <c r="I195" s="83" t="e">
        <f t="shared" si="8"/>
        <v>#VALUE!</v>
      </c>
    </row>
    <row r="196" spans="1:9">
      <c r="A196" s="8">
        <v>3</v>
      </c>
      <c r="C196" s="8">
        <v>0</v>
      </c>
    </row>
    <row r="197" spans="1:9">
      <c r="A197" s="8">
        <v>3</v>
      </c>
    </row>
    <row r="198" spans="1:9">
      <c r="A198" s="8">
        <v>3</v>
      </c>
    </row>
    <row r="199" spans="1:9">
      <c r="A199" s="8">
        <v>3</v>
      </c>
    </row>
    <row r="200" spans="1:9">
      <c r="A200" s="8">
        <v>3</v>
      </c>
    </row>
    <row r="201" spans="1:9">
      <c r="A201" s="8">
        <v>3</v>
      </c>
    </row>
    <row r="202" spans="1:9">
      <c r="A202" s="8">
        <v>3</v>
      </c>
    </row>
    <row r="203" spans="1:9">
      <c r="A203" s="8">
        <v>3</v>
      </c>
    </row>
    <row r="204" spans="1:9">
      <c r="A204" s="8">
        <v>3</v>
      </c>
    </row>
    <row r="205" spans="1:9">
      <c r="A205" s="8">
        <v>3</v>
      </c>
    </row>
    <row r="206" spans="1:9">
      <c r="A206" s="8">
        <v>3</v>
      </c>
    </row>
    <row r="207" spans="1:9">
      <c r="A207" s="8">
        <v>3</v>
      </c>
    </row>
    <row r="208" spans="1:9">
      <c r="A208" s="8">
        <v>3</v>
      </c>
    </row>
    <row r="209" spans="1:2">
      <c r="A209" s="8">
        <v>3</v>
      </c>
    </row>
    <row r="210" spans="1:2">
      <c r="A210" s="8">
        <v>3</v>
      </c>
    </row>
    <row r="211" spans="1:2">
      <c r="A211" s="8">
        <v>3</v>
      </c>
    </row>
    <row r="212" spans="1:2">
      <c r="A212" s="8">
        <v>3</v>
      </c>
    </row>
    <row r="213" spans="1:2">
      <c r="A213" s="8">
        <v>3</v>
      </c>
    </row>
    <row r="214" spans="1:2">
      <c r="A214" s="8">
        <v>3</v>
      </c>
    </row>
    <row r="215" spans="1:2">
      <c r="A215" s="8">
        <v>3</v>
      </c>
    </row>
    <row r="216" spans="1:2">
      <c r="A216" s="8">
        <v>3</v>
      </c>
      <c r="B216" s="10" t="s">
        <v>355</v>
      </c>
    </row>
    <row r="217" spans="1:2">
      <c r="A217" s="8">
        <v>3</v>
      </c>
      <c r="B217" s="10" t="s">
        <v>356</v>
      </c>
    </row>
    <row r="218" spans="1:2">
      <c r="A218" s="8">
        <v>3</v>
      </c>
      <c r="B218" s="10" t="s">
        <v>357</v>
      </c>
    </row>
    <row r="219" spans="1:2">
      <c r="A219" s="8">
        <v>3</v>
      </c>
      <c r="B219" s="10"/>
    </row>
    <row r="220" spans="1:2">
      <c r="A220" s="8">
        <v>3</v>
      </c>
      <c r="B220" s="10" t="s">
        <v>358</v>
      </c>
    </row>
    <row r="221" spans="1:2">
      <c r="A221" s="8">
        <v>3</v>
      </c>
      <c r="B221" s="10" t="s">
        <v>359</v>
      </c>
    </row>
    <row r="222" spans="1:2">
      <c r="A222" s="8">
        <v>3</v>
      </c>
      <c r="B222" s="10" t="s">
        <v>360</v>
      </c>
    </row>
    <row r="223" spans="1:2">
      <c r="A223" s="8">
        <v>3</v>
      </c>
      <c r="B223" s="10" t="s">
        <v>361</v>
      </c>
    </row>
    <row r="224" spans="1:2">
      <c r="A224" s="8">
        <v>3</v>
      </c>
      <c r="B224" s="10" t="s">
        <v>363</v>
      </c>
    </row>
    <row r="225" spans="1:6">
      <c r="A225" s="8">
        <v>3</v>
      </c>
    </row>
    <row r="227" spans="1:6">
      <c r="A227" s="2"/>
      <c r="B227" s="3"/>
      <c r="C227" s="4"/>
      <c r="D227" s="5"/>
      <c r="E227" s="5"/>
      <c r="F227" s="60"/>
    </row>
    <row r="228" spans="1:6">
      <c r="A228" s="2"/>
      <c r="B228" s="3"/>
      <c r="C228" s="4"/>
      <c r="D228" s="5"/>
      <c r="E228" s="5"/>
      <c r="F228" s="60"/>
    </row>
    <row r="229" spans="1:6">
      <c r="A229" s="2"/>
      <c r="B229" s="3"/>
      <c r="C229" s="4"/>
      <c r="D229" s="5"/>
      <c r="E229" s="5"/>
      <c r="F229" s="60"/>
    </row>
    <row r="230" spans="1:6">
      <c r="A230" s="2"/>
      <c r="B230" s="3"/>
      <c r="C230" s="4"/>
      <c r="D230" s="5"/>
      <c r="E230" s="5"/>
      <c r="F230" s="60"/>
    </row>
    <row r="231" spans="1:6">
      <c r="A231" s="2"/>
      <c r="B231" s="3"/>
      <c r="C231" s="4"/>
      <c r="D231" s="5"/>
      <c r="E231" s="5"/>
      <c r="F231" s="60"/>
    </row>
    <row r="232" spans="1:6">
      <c r="A232" s="2"/>
      <c r="B232" s="3"/>
      <c r="C232" s="4"/>
      <c r="D232" s="5"/>
      <c r="E232" s="5"/>
      <c r="F232" s="60"/>
    </row>
    <row r="233" spans="1:6">
      <c r="A233" s="2"/>
      <c r="B233" s="3"/>
      <c r="C233" s="4"/>
      <c r="D233" s="5"/>
      <c r="E233" s="5"/>
      <c r="F233" s="60"/>
    </row>
    <row r="234" spans="1:6">
      <c r="A234" s="2"/>
      <c r="B234" s="3"/>
      <c r="C234" s="4"/>
      <c r="D234" s="5"/>
      <c r="E234" s="5"/>
      <c r="F234" s="60"/>
    </row>
    <row r="235" spans="1:6">
      <c r="A235" s="2"/>
      <c r="B235" s="3"/>
      <c r="C235" s="4"/>
      <c r="D235" s="5"/>
      <c r="E235" s="5"/>
      <c r="F235" s="60"/>
    </row>
    <row r="236" spans="1:6">
      <c r="A236" s="2"/>
      <c r="B236" s="3"/>
      <c r="C236" s="4"/>
      <c r="D236" s="5"/>
      <c r="E236" s="5"/>
      <c r="F236" s="60"/>
    </row>
    <row r="237" spans="1:6">
      <c r="A237" s="2"/>
      <c r="B237" s="3"/>
      <c r="C237" s="4"/>
      <c r="D237" s="5"/>
      <c r="E237" s="5"/>
      <c r="F237" s="60"/>
    </row>
    <row r="238" spans="1:6">
      <c r="A238" s="2"/>
      <c r="B238" s="3"/>
      <c r="C238" s="4"/>
      <c r="D238" s="5"/>
      <c r="E238" s="5"/>
      <c r="F238" s="60"/>
    </row>
  </sheetData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446"/>
  <sheetViews>
    <sheetView workbookViewId="0"/>
  </sheetViews>
  <sheetFormatPr defaultRowHeight="12.75"/>
  <cols>
    <col min="2" max="2" width="11.7109375" bestFit="1" customWidth="1"/>
    <col min="3" max="3" width="11.140625" customWidth="1"/>
    <col min="4" max="4" width="12.28515625" customWidth="1"/>
    <col min="5" max="5" width="10.140625" customWidth="1"/>
    <col min="6" max="6" width="10.7109375" bestFit="1" customWidth="1"/>
    <col min="7" max="7" width="12.7109375" bestFit="1" customWidth="1"/>
    <col min="8" max="8" width="15" bestFit="1" customWidth="1"/>
  </cols>
  <sheetData>
    <row r="1" spans="1:10">
      <c r="A1" s="1" t="s">
        <v>178</v>
      </c>
    </row>
    <row r="2" spans="1:10">
      <c r="A2" t="s">
        <v>23</v>
      </c>
    </row>
    <row r="3" spans="1:10">
      <c r="A3" s="450" t="s">
        <v>72</v>
      </c>
      <c r="B3" s="3"/>
      <c r="C3" s="4"/>
      <c r="D3" s="5"/>
      <c r="E3" s="5"/>
    </row>
    <row r="6" spans="1:10">
      <c r="A6" s="2"/>
      <c r="B6" s="3"/>
      <c r="C6" s="4"/>
      <c r="D6" s="5"/>
      <c r="E6" s="5"/>
      <c r="F6" s="60"/>
      <c r="G6" s="59"/>
      <c r="I6" s="59"/>
      <c r="J6" s="59"/>
    </row>
    <row r="7" spans="1:10">
      <c r="A7" s="2"/>
      <c r="B7" s="3"/>
      <c r="C7" s="4"/>
      <c r="D7" s="5"/>
      <c r="E7" s="5"/>
      <c r="F7" s="60"/>
      <c r="G7" s="59"/>
      <c r="I7" s="59"/>
      <c r="J7" s="59"/>
    </row>
    <row r="8" spans="1:10">
      <c r="A8" s="2"/>
      <c r="B8" s="3"/>
      <c r="C8" s="4"/>
      <c r="D8" s="5"/>
      <c r="E8" s="5"/>
      <c r="F8" s="60"/>
      <c r="G8" s="59"/>
      <c r="I8" s="59"/>
      <c r="J8" s="59"/>
    </row>
    <row r="9" spans="1:10">
      <c r="A9" s="2"/>
      <c r="B9" s="3"/>
      <c r="C9" s="4"/>
      <c r="D9" s="5"/>
      <c r="E9" s="5"/>
      <c r="F9" s="60"/>
      <c r="G9" s="59"/>
      <c r="I9" s="59"/>
      <c r="J9" s="59"/>
    </row>
    <row r="10" spans="1:10">
      <c r="A10" s="2"/>
      <c r="B10" s="3"/>
      <c r="C10" s="4"/>
      <c r="D10" s="5"/>
      <c r="E10" s="5"/>
      <c r="F10" s="60"/>
      <c r="G10" s="59"/>
      <c r="I10" s="59"/>
      <c r="J10" s="59"/>
    </row>
    <row r="11" spans="1:10">
      <c r="A11" s="2"/>
      <c r="B11" s="3"/>
      <c r="C11" s="4"/>
      <c r="D11" s="5"/>
      <c r="E11" s="5"/>
      <c r="F11" s="60"/>
      <c r="G11" s="59"/>
      <c r="I11" s="59"/>
      <c r="J11" s="59"/>
    </row>
    <row r="12" spans="1:10">
      <c r="A12" s="2"/>
      <c r="B12" s="3"/>
      <c r="C12" s="4"/>
      <c r="D12" s="5"/>
      <c r="E12" s="5"/>
      <c r="F12" s="60"/>
      <c r="G12" s="59"/>
      <c r="I12" s="59"/>
      <c r="J12" s="59"/>
    </row>
    <row r="13" spans="1:10">
      <c r="A13" s="2"/>
      <c r="B13" s="3"/>
      <c r="C13" s="4"/>
      <c r="D13" s="5"/>
      <c r="E13" s="5"/>
      <c r="F13" s="60"/>
      <c r="G13" s="59"/>
      <c r="I13" s="59"/>
      <c r="J13" s="59"/>
    </row>
    <row r="14" spans="1:10">
      <c r="A14" s="2"/>
      <c r="B14" s="3"/>
      <c r="C14" s="4"/>
      <c r="D14" s="5"/>
      <c r="E14" s="5"/>
      <c r="F14" s="60"/>
      <c r="G14" s="59"/>
      <c r="I14" s="59"/>
      <c r="J14" s="59"/>
    </row>
    <row r="15" spans="1:10">
      <c r="A15" s="2"/>
      <c r="B15" s="3"/>
      <c r="C15" s="4"/>
      <c r="D15" s="5"/>
      <c r="E15" s="5"/>
      <c r="F15" s="60"/>
      <c r="G15" s="59"/>
      <c r="I15" s="59"/>
      <c r="J15" s="59"/>
    </row>
    <row r="16" spans="1:10">
      <c r="A16" s="2"/>
      <c r="B16" s="3"/>
      <c r="C16" s="4"/>
      <c r="D16" s="5"/>
      <c r="E16" s="5"/>
      <c r="F16" s="60"/>
      <c r="G16" s="59"/>
      <c r="I16" s="59"/>
      <c r="J16" s="59"/>
    </row>
    <row r="17" spans="1:10">
      <c r="A17" s="2"/>
      <c r="B17" s="3"/>
      <c r="C17" s="4"/>
      <c r="D17" s="5"/>
      <c r="E17" s="5"/>
      <c r="F17" s="60"/>
      <c r="G17" s="59"/>
      <c r="I17" s="59"/>
      <c r="J17" s="59"/>
    </row>
    <row r="19" spans="1:10">
      <c r="A19" s="8" t="s">
        <v>564</v>
      </c>
      <c r="B19" s="267" t="s">
        <v>565</v>
      </c>
      <c r="C19" s="102"/>
      <c r="D19" s="102"/>
    </row>
    <row r="21" spans="1:10">
      <c r="A21" s="6">
        <v>1</v>
      </c>
      <c r="B21" s="7" t="s">
        <v>180</v>
      </c>
      <c r="C21" s="55"/>
    </row>
    <row r="22" spans="1:10">
      <c r="A22" s="8">
        <v>1</v>
      </c>
      <c r="B22" s="3" t="s">
        <v>181</v>
      </c>
    </row>
    <row r="23" spans="1:10">
      <c r="A23" s="8">
        <v>1</v>
      </c>
      <c r="B23" s="9" t="s">
        <v>182</v>
      </c>
    </row>
    <row r="24" spans="1:10">
      <c r="A24" s="8">
        <v>1</v>
      </c>
      <c r="B24" s="9" t="s">
        <v>214</v>
      </c>
    </row>
    <row r="25" spans="1:10">
      <c r="A25" s="8">
        <v>1</v>
      </c>
      <c r="B25" s="9" t="s">
        <v>243</v>
      </c>
    </row>
    <row r="26" spans="1:10">
      <c r="A26" s="8">
        <v>1</v>
      </c>
      <c r="B26" s="9" t="s">
        <v>246</v>
      </c>
    </row>
    <row r="27" spans="1:10">
      <c r="A27" s="8">
        <v>1</v>
      </c>
    </row>
    <row r="28" spans="1:10" ht="19.5">
      <c r="A28" s="8">
        <v>1</v>
      </c>
      <c r="C28" s="29" t="e">
        <f>YIELD("3/31/2001","9/30/2010",0.04,93.25,100,2)</f>
        <v>#VALUE!</v>
      </c>
      <c r="D28" s="30" t="s">
        <v>263</v>
      </c>
      <c r="E28" s="26"/>
      <c r="F28" s="26"/>
      <c r="G28" s="26"/>
    </row>
    <row r="29" spans="1:10" ht="19.5">
      <c r="A29" s="8">
        <v>1</v>
      </c>
      <c r="C29" s="39">
        <v>932.5</v>
      </c>
      <c r="D29" s="30" t="s">
        <v>258</v>
      </c>
      <c r="E29" s="26"/>
    </row>
    <row r="30" spans="1:10" ht="15.75">
      <c r="A30" s="8">
        <v>1</v>
      </c>
      <c r="C30" s="32">
        <v>19</v>
      </c>
      <c r="D30" s="30" t="s">
        <v>238</v>
      </c>
      <c r="E30" s="26"/>
    </row>
    <row r="31" spans="1:10" ht="15.75">
      <c r="A31" s="8">
        <v>1</v>
      </c>
      <c r="C31" s="31">
        <v>20</v>
      </c>
      <c r="D31" s="30" t="s">
        <v>239</v>
      </c>
      <c r="E31" s="26"/>
    </row>
    <row r="32" spans="1:10" ht="15.75">
      <c r="A32" s="8">
        <v>1</v>
      </c>
      <c r="C32" s="31">
        <v>1000</v>
      </c>
      <c r="D32" s="30" t="s">
        <v>240</v>
      </c>
      <c r="E32" s="26"/>
    </row>
    <row r="33" spans="1:7">
      <c r="A33" s="8">
        <v>1</v>
      </c>
      <c r="C33" s="28"/>
      <c r="D33" s="25"/>
      <c r="E33" s="26"/>
    </row>
    <row r="34" spans="1:7">
      <c r="A34" s="8">
        <v>1</v>
      </c>
    </row>
    <row r="35" spans="1:7">
      <c r="A35" s="8">
        <v>2</v>
      </c>
    </row>
    <row r="36" spans="1:7">
      <c r="A36" s="6">
        <v>2</v>
      </c>
      <c r="B36" s="7" t="s">
        <v>180</v>
      </c>
      <c r="C36" s="55"/>
    </row>
    <row r="37" spans="1:7">
      <c r="A37" s="8">
        <v>2</v>
      </c>
      <c r="B37" s="3" t="s">
        <v>236</v>
      </c>
    </row>
    <row r="38" spans="1:7">
      <c r="A38" s="8">
        <v>2</v>
      </c>
      <c r="B38" s="9" t="s">
        <v>237</v>
      </c>
    </row>
    <row r="39" spans="1:7">
      <c r="A39" s="8">
        <v>2</v>
      </c>
      <c r="B39" s="9" t="s">
        <v>213</v>
      </c>
    </row>
    <row r="40" spans="1:7" ht="19.5">
      <c r="A40" s="8">
        <v>2</v>
      </c>
      <c r="C40" s="29" t="e">
        <f>YIELD("3/31/2001","9/30/2010",0.04,93.25,100,2)</f>
        <v>#VALUE!</v>
      </c>
      <c r="D40" s="30" t="s">
        <v>402</v>
      </c>
      <c r="E40" s="26"/>
      <c r="F40" s="26"/>
      <c r="G40" s="26"/>
    </row>
    <row r="41" spans="1:7" ht="19.5">
      <c r="A41" s="8">
        <v>2</v>
      </c>
      <c r="C41" s="39">
        <v>932.5</v>
      </c>
      <c r="D41" s="30" t="s">
        <v>401</v>
      </c>
      <c r="E41" s="26"/>
    </row>
    <row r="42" spans="1:7" ht="15.75">
      <c r="A42" s="8">
        <v>2</v>
      </c>
      <c r="C42" s="32">
        <v>19</v>
      </c>
      <c r="D42" s="30" t="s">
        <v>238</v>
      </c>
      <c r="E42" s="26"/>
    </row>
    <row r="43" spans="1:7" ht="15.75">
      <c r="A43" s="8">
        <v>2</v>
      </c>
      <c r="C43" s="31">
        <v>20</v>
      </c>
      <c r="D43" s="30" t="s">
        <v>239</v>
      </c>
      <c r="E43" s="26"/>
    </row>
    <row r="44" spans="1:7" ht="15.75">
      <c r="A44" s="8">
        <v>2</v>
      </c>
      <c r="C44" s="31">
        <v>1000</v>
      </c>
      <c r="D44" s="30" t="s">
        <v>240</v>
      </c>
      <c r="E44" s="26"/>
    </row>
    <row r="45" spans="1:7" ht="15.75">
      <c r="A45" s="8">
        <v>2</v>
      </c>
      <c r="C45" s="31" t="e">
        <f>FV(C28/2,C30,0,-C29)</f>
        <v>#VALUE!</v>
      </c>
      <c r="D45" s="30" t="s">
        <v>400</v>
      </c>
      <c r="E45" s="26"/>
    </row>
    <row r="46" spans="1:7" ht="20.25">
      <c r="A46" s="8">
        <v>2</v>
      </c>
      <c r="C46" s="31" t="e">
        <f>C29*(1+C28/2)^19</f>
        <v>#VALUE!</v>
      </c>
      <c r="D46" s="30" t="s">
        <v>399</v>
      </c>
      <c r="E46" s="26"/>
    </row>
    <row r="47" spans="1:7">
      <c r="A47" s="8">
        <v>2</v>
      </c>
    </row>
    <row r="48" spans="1:7">
      <c r="A48" s="6">
        <v>2</v>
      </c>
      <c r="B48" s="7" t="s">
        <v>180</v>
      </c>
      <c r="C48" s="55"/>
    </row>
    <row r="49" spans="1:7">
      <c r="A49" s="8">
        <v>2</v>
      </c>
      <c r="B49" s="3" t="s">
        <v>241</v>
      </c>
    </row>
    <row r="50" spans="1:7">
      <c r="A50" s="8">
        <v>2</v>
      </c>
      <c r="B50" s="9" t="s">
        <v>182</v>
      </c>
    </row>
    <row r="51" spans="1:7">
      <c r="A51" s="8">
        <v>2</v>
      </c>
      <c r="B51" s="9" t="s">
        <v>242</v>
      </c>
    </row>
    <row r="52" spans="1:7">
      <c r="A52" s="8">
        <v>2</v>
      </c>
      <c r="B52" s="9" t="s">
        <v>243</v>
      </c>
    </row>
    <row r="53" spans="1:7">
      <c r="A53" s="8">
        <v>2</v>
      </c>
      <c r="B53" s="9" t="s">
        <v>262</v>
      </c>
    </row>
    <row r="54" spans="1:7">
      <c r="A54" s="8">
        <v>2</v>
      </c>
    </row>
    <row r="55" spans="1:7" ht="19.5">
      <c r="A55" s="8">
        <v>2</v>
      </c>
      <c r="C55" s="29" t="e">
        <f>YIELD("3/31/2001","3/31/2010",0.04,94.5,100,2)</f>
        <v>#VALUE!</v>
      </c>
      <c r="D55" s="30" t="s">
        <v>264</v>
      </c>
      <c r="E55" s="26"/>
      <c r="F55" s="26"/>
      <c r="G55" s="26"/>
    </row>
    <row r="56" spans="1:7" ht="19.5">
      <c r="A56" s="8">
        <v>2</v>
      </c>
      <c r="C56" s="39">
        <v>945</v>
      </c>
      <c r="D56" s="30" t="s">
        <v>259</v>
      </c>
      <c r="E56" s="26"/>
    </row>
    <row r="57" spans="1:7" ht="15.75">
      <c r="A57" s="8">
        <v>2</v>
      </c>
      <c r="C57" s="32">
        <v>18</v>
      </c>
      <c r="D57" s="30" t="s">
        <v>244</v>
      </c>
      <c r="E57" s="26"/>
    </row>
    <row r="58" spans="1:7" ht="15.75">
      <c r="A58" s="8">
        <v>2</v>
      </c>
      <c r="C58" s="31">
        <v>20</v>
      </c>
      <c r="D58" s="30" t="s">
        <v>239</v>
      </c>
      <c r="E58" s="26"/>
    </row>
    <row r="59" spans="1:7" ht="15.75">
      <c r="A59" s="8">
        <v>2</v>
      </c>
      <c r="C59" s="31">
        <v>1000</v>
      </c>
      <c r="D59" s="30" t="s">
        <v>240</v>
      </c>
      <c r="E59" s="26"/>
    </row>
    <row r="60" spans="1:7" ht="19.5">
      <c r="A60" s="8">
        <v>2</v>
      </c>
      <c r="C60" s="31" t="e">
        <f>FV(C55/2,C57,0,-C56)</f>
        <v>#VALUE!</v>
      </c>
      <c r="D60" s="30" t="s">
        <v>260</v>
      </c>
      <c r="E60" s="26"/>
    </row>
    <row r="61" spans="1:7" ht="20.25">
      <c r="A61" s="8">
        <v>2</v>
      </c>
      <c r="C61" s="31" t="e">
        <f>C56*(1+C55/2)^18</f>
        <v>#VALUE!</v>
      </c>
      <c r="D61" s="30" t="s">
        <v>261</v>
      </c>
      <c r="E61" s="26"/>
    </row>
    <row r="62" spans="1:7">
      <c r="A62" s="8">
        <v>3</v>
      </c>
    </row>
    <row r="63" spans="1:7">
      <c r="A63" s="6">
        <v>3</v>
      </c>
      <c r="B63" s="7" t="s">
        <v>180</v>
      </c>
      <c r="C63" s="55"/>
    </row>
    <row r="64" spans="1:7">
      <c r="A64" s="8">
        <v>3</v>
      </c>
      <c r="B64" s="3" t="s">
        <v>245</v>
      </c>
    </row>
    <row r="65" spans="1:9">
      <c r="A65" s="8">
        <v>3</v>
      </c>
      <c r="B65" s="9" t="s">
        <v>270</v>
      </c>
    </row>
    <row r="66" spans="1:9">
      <c r="A66" s="8">
        <v>3</v>
      </c>
      <c r="B66" s="9" t="s">
        <v>269</v>
      </c>
    </row>
    <row r="67" spans="1:9">
      <c r="A67" s="8">
        <v>3</v>
      </c>
      <c r="B67" s="9" t="s">
        <v>364</v>
      </c>
    </row>
    <row r="68" spans="1:9" ht="20.25">
      <c r="A68" s="8">
        <v>3</v>
      </c>
      <c r="B68" s="9"/>
      <c r="C68" t="s">
        <v>404</v>
      </c>
    </row>
    <row r="69" spans="1:9" ht="20.25">
      <c r="A69" s="8">
        <v>3</v>
      </c>
      <c r="B69" s="15" t="e">
        <f>C28</f>
        <v>#VALUE!</v>
      </c>
      <c r="C69" s="117" t="s">
        <v>403</v>
      </c>
    </row>
    <row r="70" spans="1:9" ht="20.25">
      <c r="A70" s="8">
        <v>3</v>
      </c>
      <c r="B70" s="15" t="e">
        <f>C55</f>
        <v>#VALUE!</v>
      </c>
      <c r="C70" s="23" t="s">
        <v>405</v>
      </c>
    </row>
    <row r="71" spans="1:9" ht="19.5">
      <c r="A71" s="8">
        <v>3</v>
      </c>
      <c r="B71" s="33" t="e">
        <f>C45</f>
        <v>#VALUE!</v>
      </c>
      <c r="C71" s="118" t="s">
        <v>406</v>
      </c>
    </row>
    <row r="72" spans="1:9" ht="19.5">
      <c r="A72" s="8">
        <v>3</v>
      </c>
      <c r="B72" s="33" t="e">
        <f>C60</f>
        <v>#VALUE!</v>
      </c>
      <c r="C72" s="118" t="s">
        <v>407</v>
      </c>
    </row>
    <row r="73" spans="1:9" ht="26.25">
      <c r="A73" s="8">
        <v>3</v>
      </c>
      <c r="B73" s="35" t="s">
        <v>213</v>
      </c>
      <c r="C73" t="s">
        <v>408</v>
      </c>
      <c r="D73" s="43" t="s">
        <v>271</v>
      </c>
    </row>
    <row r="74" spans="1:9" ht="26.25">
      <c r="A74" s="8">
        <v>3</v>
      </c>
      <c r="B74" s="35" t="s">
        <v>205</v>
      </c>
      <c r="C74" t="s">
        <v>347</v>
      </c>
      <c r="D74" s="43" t="s">
        <v>278</v>
      </c>
    </row>
    <row r="75" spans="1:9" ht="26.25">
      <c r="A75" s="8">
        <v>3</v>
      </c>
      <c r="B75" s="9" t="s">
        <v>365</v>
      </c>
      <c r="F75" s="11" t="s">
        <v>366</v>
      </c>
    </row>
    <row r="76" spans="1:9" ht="26.25">
      <c r="A76" s="8">
        <v>3</v>
      </c>
      <c r="B76" s="38" t="s">
        <v>247</v>
      </c>
      <c r="C76" s="42" t="s">
        <v>265</v>
      </c>
      <c r="D76" s="42" t="s">
        <v>266</v>
      </c>
      <c r="E76" t="s">
        <v>281</v>
      </c>
    </row>
    <row r="77" spans="1:9">
      <c r="A77" s="8">
        <v>3</v>
      </c>
    </row>
    <row r="78" spans="1:9" ht="26.25">
      <c r="A78" s="8">
        <v>3</v>
      </c>
      <c r="C78" t="s">
        <v>279</v>
      </c>
      <c r="D78" s="36" t="s">
        <v>272</v>
      </c>
      <c r="E78" s="42" t="s">
        <v>273</v>
      </c>
      <c r="F78" s="42" t="s">
        <v>266</v>
      </c>
    </row>
    <row r="79" spans="1:9" ht="15.75">
      <c r="A79" s="8">
        <v>3</v>
      </c>
      <c r="C79" s="34" t="s">
        <v>250</v>
      </c>
      <c r="D79" s="51" t="e">
        <f>(C45-C60)/C60</f>
        <v>#VALUE!</v>
      </c>
      <c r="E79" s="44" t="s">
        <v>345</v>
      </c>
      <c r="F79" s="44"/>
      <c r="G79" s="44"/>
      <c r="H79" s="44"/>
      <c r="I79" s="44"/>
    </row>
    <row r="80" spans="1:9" ht="15.75">
      <c r="A80" s="8">
        <v>3</v>
      </c>
      <c r="C80" s="34" t="s">
        <v>250</v>
      </c>
      <c r="D80" s="51" t="e">
        <f>2*D79</f>
        <v>#VALUE!</v>
      </c>
      <c r="E80" s="57" t="s">
        <v>346</v>
      </c>
      <c r="F80" s="57"/>
      <c r="G80" s="57"/>
      <c r="H80" s="57"/>
    </row>
    <row r="81" spans="1:7">
      <c r="A81" s="8">
        <v>3</v>
      </c>
    </row>
    <row r="82" spans="1:7">
      <c r="A82" s="8">
        <v>3</v>
      </c>
      <c r="B82" s="10" t="s">
        <v>248</v>
      </c>
    </row>
    <row r="83" spans="1:7">
      <c r="A83" s="8">
        <v>3</v>
      </c>
      <c r="B83" s="10" t="s">
        <v>249</v>
      </c>
    </row>
    <row r="84" spans="1:7">
      <c r="A84" s="8">
        <v>3</v>
      </c>
      <c r="B84" s="9"/>
    </row>
    <row r="85" spans="1:7" ht="26.25">
      <c r="A85" s="8">
        <v>3</v>
      </c>
      <c r="B85" s="9"/>
      <c r="C85" s="114" t="s">
        <v>394</v>
      </c>
      <c r="D85" s="114" t="s">
        <v>395</v>
      </c>
      <c r="E85" t="s">
        <v>280</v>
      </c>
    </row>
    <row r="86" spans="1:7" ht="15.75">
      <c r="A86" s="8">
        <v>3</v>
      </c>
      <c r="B86" s="9"/>
      <c r="D86" s="31" t="e">
        <f>C60*(1+D79)</f>
        <v>#VALUE!</v>
      </c>
    </row>
    <row r="87" spans="1:7" ht="12.75" customHeight="1">
      <c r="A87" s="8">
        <v>3</v>
      </c>
      <c r="B87" s="9"/>
      <c r="D87" s="31"/>
    </row>
    <row r="88" spans="1:7" ht="12.75" customHeight="1">
      <c r="A88" s="8">
        <v>3</v>
      </c>
      <c r="B88" s="10" t="s">
        <v>284</v>
      </c>
      <c r="D88" s="31"/>
    </row>
    <row r="89" spans="1:7" ht="12.75" customHeight="1">
      <c r="A89" s="8">
        <v>3</v>
      </c>
      <c r="B89" s="10" t="s">
        <v>367</v>
      </c>
      <c r="D89" s="31"/>
    </row>
    <row r="90" spans="1:7" ht="12.75" customHeight="1" thickBot="1">
      <c r="A90" s="8">
        <v>3</v>
      </c>
      <c r="B90" s="9"/>
      <c r="D90" s="31"/>
    </row>
    <row r="91" spans="1:7" ht="29.25" customHeight="1">
      <c r="A91" s="8">
        <v>3</v>
      </c>
      <c r="B91" s="9"/>
      <c r="C91" s="138"/>
      <c r="D91" s="139" t="s">
        <v>396</v>
      </c>
      <c r="E91" s="140"/>
      <c r="F91" s="140"/>
      <c r="G91" s="141"/>
    </row>
    <row r="92" spans="1:7" ht="29.25" customHeight="1">
      <c r="A92" s="8">
        <v>3</v>
      </c>
      <c r="B92" s="9"/>
      <c r="C92" s="142" t="s">
        <v>279</v>
      </c>
      <c r="D92" s="143" t="s">
        <v>257</v>
      </c>
      <c r="E92" s="144"/>
      <c r="F92" s="144"/>
      <c r="G92" s="145"/>
    </row>
    <row r="93" spans="1:7" ht="29.25" customHeight="1" thickBot="1">
      <c r="A93" s="8">
        <v>3</v>
      </c>
      <c r="B93" s="10"/>
      <c r="C93" s="146"/>
      <c r="D93" s="147" t="s">
        <v>397</v>
      </c>
      <c r="E93" s="148"/>
      <c r="F93" s="148"/>
      <c r="G93" s="149"/>
    </row>
    <row r="94" spans="1:7" ht="12.75" customHeight="1">
      <c r="A94" s="8">
        <v>3</v>
      </c>
      <c r="B94" s="10"/>
      <c r="D94" s="18"/>
    </row>
    <row r="95" spans="1:7" ht="12.75" customHeight="1">
      <c r="A95" s="8">
        <v>3</v>
      </c>
      <c r="B95" s="9" t="s">
        <v>267</v>
      </c>
    </row>
    <row r="96" spans="1:7" ht="12.75" customHeight="1">
      <c r="A96" s="8">
        <v>3</v>
      </c>
    </row>
    <row r="97" spans="1:6" ht="29.25" customHeight="1">
      <c r="A97" s="8">
        <v>3</v>
      </c>
      <c r="B97" s="27" t="s">
        <v>213</v>
      </c>
      <c r="C97" s="41" t="e">
        <f>C29*(1+C28/2)^19</f>
        <v>#VALUE!</v>
      </c>
      <c r="D97" s="19" t="s">
        <v>409</v>
      </c>
    </row>
    <row r="98" spans="1:6" ht="29.25" customHeight="1">
      <c r="A98" s="8">
        <v>3</v>
      </c>
      <c r="B98" s="27" t="s">
        <v>213</v>
      </c>
      <c r="C98" s="41" t="e">
        <f>C56*(1+C55/2)^18</f>
        <v>#VALUE!</v>
      </c>
      <c r="D98" s="19" t="s">
        <v>410</v>
      </c>
    </row>
    <row r="99" spans="1:6" ht="14.25" customHeight="1">
      <c r="A99" s="8">
        <v>3</v>
      </c>
    </row>
    <row r="100" spans="1:6" ht="26.25">
      <c r="A100" s="8">
        <v>3</v>
      </c>
      <c r="C100" t="s">
        <v>411</v>
      </c>
      <c r="D100" s="51" t="e">
        <f>(C97/C98) - 1</f>
        <v>#VALUE!</v>
      </c>
      <c r="E100" s="50" t="s">
        <v>286</v>
      </c>
    </row>
    <row r="101" spans="1:6" ht="26.25">
      <c r="A101" s="8">
        <v>3</v>
      </c>
      <c r="C101" t="s">
        <v>412</v>
      </c>
      <c r="D101" s="51" t="e">
        <f>2*D100</f>
        <v>#VALUE!</v>
      </c>
      <c r="E101" s="44" t="s">
        <v>287</v>
      </c>
    </row>
    <row r="102" spans="1:6" ht="15.75">
      <c r="A102" s="8">
        <v>3</v>
      </c>
      <c r="D102" s="37"/>
    </row>
    <row r="103" spans="1:6" ht="15.75">
      <c r="A103" s="8">
        <v>4</v>
      </c>
      <c r="D103" s="37"/>
    </row>
    <row r="104" spans="1:6">
      <c r="A104" s="6">
        <v>4</v>
      </c>
      <c r="B104" s="7" t="s">
        <v>180</v>
      </c>
      <c r="C104" s="55"/>
    </row>
    <row r="105" spans="1:6">
      <c r="A105" s="8">
        <v>4</v>
      </c>
      <c r="B105" s="9" t="s">
        <v>206</v>
      </c>
    </row>
    <row r="106" spans="1:6">
      <c r="A106" s="8">
        <v>4</v>
      </c>
      <c r="B106" s="9" t="s">
        <v>210</v>
      </c>
    </row>
    <row r="107" spans="1:6">
      <c r="A107" s="8">
        <v>4</v>
      </c>
      <c r="B107" s="9" t="s">
        <v>207</v>
      </c>
    </row>
    <row r="108" spans="1:6">
      <c r="A108" s="8">
        <v>4</v>
      </c>
      <c r="B108" s="9" t="s">
        <v>208</v>
      </c>
    </row>
    <row r="109" spans="1:6">
      <c r="A109" s="8">
        <v>4</v>
      </c>
      <c r="B109" s="9" t="s">
        <v>209</v>
      </c>
    </row>
    <row r="110" spans="1:6" ht="13.5" thickBot="1">
      <c r="A110" s="8">
        <v>4</v>
      </c>
      <c r="B110" s="10"/>
    </row>
    <row r="111" spans="1:6" ht="29.25">
      <c r="A111" s="8">
        <v>4</v>
      </c>
      <c r="B111" s="10"/>
      <c r="C111" s="138"/>
      <c r="D111" s="150" t="s">
        <v>251</v>
      </c>
      <c r="E111" s="140"/>
      <c r="F111" s="141"/>
    </row>
    <row r="112" spans="1:6" ht="26.25">
      <c r="A112" s="8">
        <v>4</v>
      </c>
      <c r="B112" s="10"/>
      <c r="C112" s="142" t="s">
        <v>413</v>
      </c>
      <c r="D112" s="143" t="s">
        <v>212</v>
      </c>
      <c r="E112" s="144"/>
      <c r="F112" s="145"/>
    </row>
    <row r="113" spans="1:7" ht="30" thickBot="1">
      <c r="A113" s="8">
        <v>4</v>
      </c>
      <c r="B113" s="10"/>
      <c r="C113" s="146"/>
      <c r="D113" s="147" t="s">
        <v>211</v>
      </c>
      <c r="E113" s="148"/>
      <c r="F113" s="149"/>
    </row>
    <row r="114" spans="1:7" ht="12.75" customHeight="1">
      <c r="A114" s="8">
        <v>4</v>
      </c>
      <c r="B114" s="10"/>
      <c r="D114" s="18"/>
    </row>
    <row r="115" spans="1:7" ht="12.75" customHeight="1">
      <c r="A115" s="8">
        <v>4</v>
      </c>
      <c r="B115" s="9" t="s">
        <v>268</v>
      </c>
      <c r="D115" s="18"/>
    </row>
    <row r="116" spans="1:7" ht="12.75" customHeight="1">
      <c r="A116" s="8">
        <v>4</v>
      </c>
      <c r="B116" s="9" t="s">
        <v>252</v>
      </c>
      <c r="D116" s="18"/>
    </row>
    <row r="117" spans="1:7" ht="12.75" customHeight="1">
      <c r="A117" s="8">
        <v>4</v>
      </c>
      <c r="B117" s="9" t="s">
        <v>253</v>
      </c>
      <c r="D117" s="18"/>
    </row>
    <row r="118" spans="1:7" ht="12.75" customHeight="1" thickBot="1">
      <c r="A118" s="8">
        <v>4</v>
      </c>
      <c r="B118" s="9"/>
      <c r="D118" s="18"/>
    </row>
    <row r="119" spans="1:7" ht="29.25" customHeight="1">
      <c r="A119" s="8">
        <v>4</v>
      </c>
      <c r="B119" s="9"/>
      <c r="C119" s="138"/>
      <c r="D119" s="150" t="s">
        <v>254</v>
      </c>
      <c r="E119" s="140"/>
      <c r="F119" s="140"/>
      <c r="G119" s="141"/>
    </row>
    <row r="120" spans="1:7" ht="29.25" customHeight="1">
      <c r="A120" s="8">
        <v>4</v>
      </c>
      <c r="B120" s="9"/>
      <c r="C120" s="142" t="s">
        <v>413</v>
      </c>
      <c r="D120" s="143" t="s">
        <v>256</v>
      </c>
      <c r="E120" s="144"/>
      <c r="F120" s="144"/>
      <c r="G120" s="145"/>
    </row>
    <row r="121" spans="1:7" ht="30" thickBot="1">
      <c r="A121" s="8">
        <v>4</v>
      </c>
      <c r="B121" s="10"/>
      <c r="C121" s="146"/>
      <c r="D121" s="147" t="s">
        <v>255</v>
      </c>
      <c r="E121" s="148"/>
      <c r="F121" s="148"/>
      <c r="G121" s="149"/>
    </row>
    <row r="122" spans="1:7" ht="25.5">
      <c r="A122" s="8">
        <v>4</v>
      </c>
      <c r="B122" s="10"/>
      <c r="D122" s="18"/>
    </row>
    <row r="123" spans="1:7">
      <c r="A123" s="8">
        <v>4</v>
      </c>
      <c r="B123" s="9" t="s">
        <v>274</v>
      </c>
    </row>
    <row r="124" spans="1:7">
      <c r="A124" s="8">
        <v>4</v>
      </c>
      <c r="B124" s="9" t="s">
        <v>275</v>
      </c>
    </row>
    <row r="125" spans="1:7">
      <c r="A125" s="8">
        <v>4</v>
      </c>
      <c r="B125" s="9" t="s">
        <v>276</v>
      </c>
    </row>
    <row r="126" spans="1:7">
      <c r="A126" s="8">
        <v>4</v>
      </c>
      <c r="B126" s="9"/>
    </row>
    <row r="127" spans="1:7">
      <c r="A127" s="8">
        <v>4</v>
      </c>
    </row>
    <row r="128" spans="1:7" ht="25.5">
      <c r="A128" s="8">
        <v>4</v>
      </c>
      <c r="B128" s="27" t="s">
        <v>213</v>
      </c>
      <c r="C128" s="45" t="e">
        <f>(1+C28/2)^19</f>
        <v>#VALUE!</v>
      </c>
      <c r="D128" s="40" t="s">
        <v>414</v>
      </c>
      <c r="E128" s="26"/>
    </row>
    <row r="129" spans="1:6" ht="25.5">
      <c r="A129" s="8">
        <v>4</v>
      </c>
      <c r="B129" s="27" t="s">
        <v>213</v>
      </c>
      <c r="C129" s="45" t="e">
        <f>(1+C55/2)^18</f>
        <v>#VALUE!</v>
      </c>
      <c r="D129" s="40" t="s">
        <v>415</v>
      </c>
      <c r="E129" s="26"/>
    </row>
    <row r="130" spans="1:6">
      <c r="A130" s="8">
        <v>4</v>
      </c>
      <c r="C130" s="26"/>
      <c r="D130" s="26"/>
      <c r="E130" s="26"/>
    </row>
    <row r="131" spans="1:6" ht="26.25">
      <c r="A131" s="8">
        <v>4</v>
      </c>
      <c r="C131" s="26" t="s">
        <v>303</v>
      </c>
      <c r="D131" s="48" t="e">
        <f>(C128/C129) - 1</f>
        <v>#VALUE!</v>
      </c>
      <c r="E131" s="53" t="s">
        <v>283</v>
      </c>
    </row>
    <row r="132" spans="1:6" ht="26.25">
      <c r="A132" s="8"/>
      <c r="C132" s="26" t="s">
        <v>304</v>
      </c>
      <c r="D132" s="48" t="e">
        <f>2*D131</f>
        <v>#VALUE!</v>
      </c>
      <c r="E132" s="53" t="s">
        <v>297</v>
      </c>
    </row>
    <row r="133" spans="1:6">
      <c r="A133" s="8">
        <v>4</v>
      </c>
    </row>
    <row r="134" spans="1:6" ht="26.25">
      <c r="A134" s="8">
        <v>4</v>
      </c>
      <c r="C134" t="s">
        <v>302</v>
      </c>
      <c r="D134" s="46" t="s">
        <v>282</v>
      </c>
      <c r="F134" s="47" t="s">
        <v>285</v>
      </c>
    </row>
    <row r="135" spans="1:6" ht="26.25">
      <c r="A135" s="8">
        <v>4</v>
      </c>
      <c r="C135" t="s">
        <v>302</v>
      </c>
      <c r="D135" s="49" t="e">
        <f>(C29/C56)*(D131+1) - 1</f>
        <v>#VALUE!</v>
      </c>
      <c r="E135" s="50" t="s">
        <v>286</v>
      </c>
    </row>
    <row r="136" spans="1:6" ht="26.25">
      <c r="A136" s="8">
        <v>4</v>
      </c>
      <c r="C136" t="s">
        <v>305</v>
      </c>
      <c r="D136" s="49" t="e">
        <f>2*D135</f>
        <v>#VALUE!</v>
      </c>
      <c r="E136" s="54" t="s">
        <v>298</v>
      </c>
    </row>
    <row r="137" spans="1:6" ht="18">
      <c r="A137" s="8">
        <v>4</v>
      </c>
      <c r="D137" s="49"/>
      <c r="E137" s="54"/>
    </row>
    <row r="138" spans="1:6">
      <c r="A138" s="8">
        <v>5</v>
      </c>
    </row>
    <row r="139" spans="1:6">
      <c r="A139" s="6">
        <v>5</v>
      </c>
      <c r="B139" s="7" t="s">
        <v>180</v>
      </c>
      <c r="C139" s="55"/>
    </row>
    <row r="140" spans="1:6">
      <c r="A140" s="8">
        <v>5</v>
      </c>
      <c r="B140" s="9" t="s">
        <v>288</v>
      </c>
    </row>
    <row r="141" spans="1:6">
      <c r="A141" s="8">
        <v>5</v>
      </c>
      <c r="B141" s="9" t="s">
        <v>289</v>
      </c>
    </row>
    <row r="142" spans="1:6">
      <c r="A142" s="8">
        <v>5</v>
      </c>
      <c r="B142" s="9" t="s">
        <v>290</v>
      </c>
    </row>
    <row r="143" spans="1:6">
      <c r="A143" s="8">
        <v>5</v>
      </c>
    </row>
    <row r="144" spans="1:6">
      <c r="A144" s="8">
        <v>5</v>
      </c>
      <c r="B144" s="10" t="s">
        <v>291</v>
      </c>
    </row>
    <row r="145" spans="1:7">
      <c r="A145" s="8">
        <v>5</v>
      </c>
      <c r="B145" s="10" t="s">
        <v>292</v>
      </c>
    </row>
    <row r="146" spans="1:7">
      <c r="A146" s="8">
        <v>5</v>
      </c>
      <c r="B146" s="10" t="s">
        <v>293</v>
      </c>
    </row>
    <row r="147" spans="1:7">
      <c r="A147" s="8">
        <v>5</v>
      </c>
      <c r="B147" s="10" t="s">
        <v>294</v>
      </c>
    </row>
    <row r="148" spans="1:7">
      <c r="A148" s="8">
        <v>5</v>
      </c>
      <c r="B148" s="10"/>
    </row>
    <row r="149" spans="1:7" ht="25.5">
      <c r="A149" s="8">
        <v>5</v>
      </c>
      <c r="B149" s="10"/>
      <c r="C149" t="s">
        <v>416</v>
      </c>
    </row>
    <row r="150" spans="1:7" ht="18.75">
      <c r="A150" s="8">
        <v>5</v>
      </c>
      <c r="B150" s="10"/>
      <c r="D150" s="48" t="e">
        <f>YIELD("3/31/2001","3/31/2010",0.04,93.25,100,2)/2</f>
        <v>#VALUE!</v>
      </c>
      <c r="E150" s="52" t="s">
        <v>295</v>
      </c>
    </row>
    <row r="151" spans="1:7" ht="20.25">
      <c r="A151" s="8">
        <v>5</v>
      </c>
      <c r="B151" s="10"/>
      <c r="C151" t="s">
        <v>417</v>
      </c>
      <c r="D151" s="48"/>
      <c r="E151" s="52"/>
    </row>
    <row r="152" spans="1:7" ht="18.75">
      <c r="A152" s="8">
        <v>5</v>
      </c>
      <c r="B152" s="10"/>
      <c r="D152" s="48" t="e">
        <f>D150*2</f>
        <v>#VALUE!</v>
      </c>
      <c r="E152" s="52" t="s">
        <v>295</v>
      </c>
    </row>
    <row r="153" spans="1:7">
      <c r="A153" s="8">
        <v>5</v>
      </c>
      <c r="B153" s="10"/>
    </row>
    <row r="154" spans="1:7" ht="23.25">
      <c r="A154" s="8">
        <v>5</v>
      </c>
      <c r="B154" s="10"/>
      <c r="C154" t="s">
        <v>418</v>
      </c>
    </row>
    <row r="155" spans="1:7" ht="18.75">
      <c r="A155" s="8">
        <v>5</v>
      </c>
      <c r="B155" s="10"/>
      <c r="D155" s="48" t="e">
        <f>YIELD("3/31/2001","9/30/2010",0.04,93.25,100,2)/2</f>
        <v>#VALUE!</v>
      </c>
      <c r="E155" s="52" t="s">
        <v>296</v>
      </c>
    </row>
    <row r="156" spans="1:7" ht="20.25">
      <c r="A156" s="8">
        <v>5</v>
      </c>
      <c r="B156" s="10"/>
      <c r="C156" t="s">
        <v>419</v>
      </c>
      <c r="D156" s="48"/>
      <c r="E156" s="52"/>
    </row>
    <row r="157" spans="1:7" ht="18.75">
      <c r="A157" s="8">
        <v>5</v>
      </c>
      <c r="B157" s="10"/>
      <c r="D157" s="48" t="e">
        <f>D155*2</f>
        <v>#VALUE!</v>
      </c>
      <c r="E157" s="52" t="s">
        <v>296</v>
      </c>
    </row>
    <row r="158" spans="1:7" ht="13.5" thickBot="1">
      <c r="A158" s="8">
        <v>5</v>
      </c>
      <c r="B158" s="10"/>
    </row>
    <row r="159" spans="1:7" ht="30.75">
      <c r="A159" s="8">
        <v>5</v>
      </c>
      <c r="B159" s="9"/>
      <c r="C159" s="138"/>
      <c r="D159" s="139" t="s">
        <v>396</v>
      </c>
      <c r="E159" s="140"/>
      <c r="F159" s="140"/>
      <c r="G159" s="141"/>
    </row>
    <row r="160" spans="1:7" ht="26.25">
      <c r="A160" s="8">
        <v>5</v>
      </c>
      <c r="B160" s="9"/>
      <c r="C160" s="142" t="s">
        <v>305</v>
      </c>
      <c r="D160" s="143" t="s">
        <v>257</v>
      </c>
      <c r="E160" s="144"/>
      <c r="F160" s="144"/>
      <c r="G160" s="145"/>
    </row>
    <row r="161" spans="1:7" ht="30" thickBot="1">
      <c r="A161" s="8">
        <v>5</v>
      </c>
      <c r="B161" s="10"/>
      <c r="C161" s="146"/>
      <c r="D161" s="147" t="s">
        <v>397</v>
      </c>
      <c r="E161" s="148"/>
      <c r="F161" s="148"/>
      <c r="G161" s="149"/>
    </row>
    <row r="162" spans="1:7" ht="25.5">
      <c r="A162" s="8">
        <v>5</v>
      </c>
      <c r="B162" s="10"/>
      <c r="D162" s="18"/>
    </row>
    <row r="163" spans="1:7">
      <c r="A163" s="8">
        <v>5</v>
      </c>
      <c r="B163" s="10" t="s">
        <v>267</v>
      </c>
    </row>
    <row r="164" spans="1:7">
      <c r="A164" s="8">
        <v>5</v>
      </c>
    </row>
    <row r="165" spans="1:7" ht="30">
      <c r="A165" s="8">
        <v>5</v>
      </c>
      <c r="B165" s="27" t="s">
        <v>213</v>
      </c>
      <c r="C165" s="121" t="e">
        <f>C29*(1+D157/2)^19</f>
        <v>#VALUE!</v>
      </c>
      <c r="D165" s="120" t="s">
        <v>420</v>
      </c>
    </row>
    <row r="166" spans="1:7" ht="30">
      <c r="A166" s="8">
        <v>5</v>
      </c>
      <c r="B166" s="27" t="s">
        <v>213</v>
      </c>
      <c r="C166" s="41" t="e">
        <f>C29*(1+D152/2)^18</f>
        <v>#VALUE!</v>
      </c>
      <c r="D166" s="119" t="s">
        <v>421</v>
      </c>
    </row>
    <row r="167" spans="1:7">
      <c r="A167" s="8">
        <v>5</v>
      </c>
    </row>
    <row r="168" spans="1:7" ht="26.25">
      <c r="A168" s="8">
        <v>5</v>
      </c>
      <c r="C168" t="s">
        <v>302</v>
      </c>
      <c r="D168" s="49" t="e">
        <f>(C165/C166) - 1</f>
        <v>#VALUE!</v>
      </c>
      <c r="E168" s="50" t="s">
        <v>286</v>
      </c>
    </row>
    <row r="169" spans="1:7" ht="26.25">
      <c r="A169" s="8">
        <v>5</v>
      </c>
      <c r="C169" t="s">
        <v>305</v>
      </c>
      <c r="D169" s="49" t="e">
        <f>2*D168</f>
        <v>#VALUE!</v>
      </c>
      <c r="E169" s="54" t="s">
        <v>298</v>
      </c>
    </row>
    <row r="170" spans="1:7">
      <c r="A170" s="8">
        <v>5</v>
      </c>
    </row>
    <row r="171" spans="1:7" ht="25.5">
      <c r="A171" s="8">
        <v>5</v>
      </c>
      <c r="C171" s="122" t="e">
        <f>(1+D157/2)^19</f>
        <v>#VALUE!</v>
      </c>
      <c r="D171" s="40" t="s">
        <v>414</v>
      </c>
      <c r="E171" s="26"/>
    </row>
    <row r="172" spans="1:7" ht="25.5">
      <c r="A172" s="8">
        <v>5</v>
      </c>
      <c r="C172" s="122" t="e">
        <f>(1+D152/2)^18</f>
        <v>#VALUE!</v>
      </c>
      <c r="D172" s="40" t="s">
        <v>415</v>
      </c>
      <c r="E172" s="26"/>
    </row>
    <row r="173" spans="1:7">
      <c r="A173" s="8">
        <v>5</v>
      </c>
      <c r="C173" s="26"/>
      <c r="D173" s="26"/>
      <c r="E173" s="26"/>
    </row>
    <row r="174" spans="1:7" ht="26.25">
      <c r="A174" s="8">
        <v>5</v>
      </c>
      <c r="C174" s="26" t="s">
        <v>301</v>
      </c>
      <c r="D174" s="48" t="e">
        <f>(C171/C172) - 1</f>
        <v>#VALUE!</v>
      </c>
      <c r="E174" s="53" t="s">
        <v>283</v>
      </c>
    </row>
    <row r="175" spans="1:7" ht="26.25">
      <c r="A175" s="8">
        <v>5</v>
      </c>
      <c r="C175" s="26" t="s">
        <v>277</v>
      </c>
      <c r="D175" s="48" t="e">
        <f>2*D174</f>
        <v>#VALUE!</v>
      </c>
      <c r="E175" s="53" t="s">
        <v>297</v>
      </c>
    </row>
    <row r="176" spans="1:7" ht="26.25">
      <c r="A176" s="8">
        <v>5</v>
      </c>
      <c r="C176" t="s">
        <v>279</v>
      </c>
      <c r="D176" s="49" t="e">
        <f>2*D168</f>
        <v>#VALUE!</v>
      </c>
      <c r="E176" s="54" t="s">
        <v>298</v>
      </c>
    </row>
    <row r="177" spans="1:5">
      <c r="A177" s="8">
        <v>5</v>
      </c>
    </row>
    <row r="178" spans="1:5">
      <c r="A178" s="8">
        <v>5</v>
      </c>
      <c r="B178" s="10" t="s">
        <v>300</v>
      </c>
    </row>
    <row r="179" spans="1:5">
      <c r="A179" s="8">
        <v>5</v>
      </c>
      <c r="B179" s="10" t="s">
        <v>331</v>
      </c>
    </row>
    <row r="180" spans="1:5">
      <c r="A180" s="8">
        <v>5</v>
      </c>
      <c r="B180" s="10" t="s">
        <v>332</v>
      </c>
    </row>
    <row r="181" spans="1:5">
      <c r="A181" s="8">
        <v>5</v>
      </c>
      <c r="B181" s="10" t="s">
        <v>311</v>
      </c>
    </row>
    <row r="182" spans="1:5">
      <c r="A182" s="8">
        <v>5</v>
      </c>
      <c r="B182" t="s">
        <v>213</v>
      </c>
    </row>
    <row r="183" spans="1:5">
      <c r="A183" s="8">
        <v>6</v>
      </c>
    </row>
    <row r="184" spans="1:5">
      <c r="A184" s="6">
        <v>6</v>
      </c>
      <c r="B184" s="7" t="s">
        <v>180</v>
      </c>
      <c r="C184" s="55"/>
    </row>
    <row r="185" spans="1:5">
      <c r="A185" s="8">
        <v>6</v>
      </c>
      <c r="B185" s="9" t="s">
        <v>299</v>
      </c>
    </row>
    <row r="186" spans="1:5">
      <c r="A186" s="8">
        <v>6</v>
      </c>
      <c r="B186" s="9" t="s">
        <v>306</v>
      </c>
    </row>
    <row r="187" spans="1:5">
      <c r="A187" s="8">
        <v>6</v>
      </c>
      <c r="B187" s="9" t="s">
        <v>307</v>
      </c>
    </row>
    <row r="188" spans="1:5">
      <c r="A188" s="8">
        <v>6</v>
      </c>
      <c r="B188" s="9" t="s">
        <v>309</v>
      </c>
    </row>
    <row r="189" spans="1:5">
      <c r="A189" s="8">
        <v>6</v>
      </c>
    </row>
    <row r="190" spans="1:5" ht="25.5">
      <c r="A190" s="8">
        <v>6</v>
      </c>
      <c r="B190" s="10"/>
      <c r="C190" s="122">
        <f>(1+0.07)^3</f>
        <v>1.2250430000000001</v>
      </c>
      <c r="D190" s="40" t="s">
        <v>422</v>
      </c>
      <c r="E190" s="26"/>
    </row>
    <row r="191" spans="1:5" ht="23.25">
      <c r="A191" s="8">
        <v>6</v>
      </c>
      <c r="B191" s="10"/>
      <c r="C191" s="122">
        <f>(1+0.06)^2</f>
        <v>1.1236000000000002</v>
      </c>
      <c r="D191" s="46" t="s">
        <v>423</v>
      </c>
      <c r="E191" s="26"/>
    </row>
    <row r="192" spans="1:5">
      <c r="A192" s="8">
        <v>6</v>
      </c>
      <c r="B192" s="10"/>
      <c r="C192" s="26"/>
      <c r="D192" s="26"/>
      <c r="E192" s="26"/>
    </row>
    <row r="193" spans="1:5" ht="26.25">
      <c r="A193" s="8">
        <v>6</v>
      </c>
      <c r="B193" s="10"/>
      <c r="C193" s="26" t="s">
        <v>436</v>
      </c>
      <c r="D193" s="48">
        <f>(C190/C191) - 1</f>
        <v>9.0283908864364548E-2</v>
      </c>
      <c r="E193" s="53" t="s">
        <v>308</v>
      </c>
    </row>
    <row r="194" spans="1:5">
      <c r="A194" s="8">
        <v>6</v>
      </c>
      <c r="B194" s="10"/>
    </row>
    <row r="195" spans="1:5">
      <c r="A195" s="8">
        <v>6</v>
      </c>
      <c r="B195" s="10" t="s">
        <v>310</v>
      </c>
    </row>
    <row r="196" spans="1:5">
      <c r="A196" s="8">
        <v>6</v>
      </c>
      <c r="B196" s="10" t="s">
        <v>368</v>
      </c>
    </row>
    <row r="197" spans="1:5">
      <c r="A197" s="8">
        <v>6</v>
      </c>
      <c r="B197" s="10" t="s">
        <v>369</v>
      </c>
    </row>
    <row r="198" spans="1:5">
      <c r="A198" s="8">
        <v>6</v>
      </c>
      <c r="B198" s="10"/>
    </row>
    <row r="199" spans="1:5">
      <c r="A199" s="8">
        <v>6</v>
      </c>
      <c r="B199" s="10" t="s">
        <v>312</v>
      </c>
    </row>
    <row r="200" spans="1:5">
      <c r="A200" s="8">
        <v>6</v>
      </c>
      <c r="B200" s="10" t="s">
        <v>313</v>
      </c>
    </row>
    <row r="201" spans="1:5">
      <c r="A201" s="8">
        <v>6</v>
      </c>
      <c r="B201" s="10" t="s">
        <v>314</v>
      </c>
    </row>
    <row r="202" spans="1:5">
      <c r="A202" s="8">
        <v>6</v>
      </c>
      <c r="B202" s="10"/>
    </row>
    <row r="203" spans="1:5">
      <c r="A203" s="8">
        <v>7</v>
      </c>
      <c r="B203" s="10"/>
    </row>
    <row r="204" spans="1:5">
      <c r="A204" s="6">
        <v>7</v>
      </c>
      <c r="B204" s="7" t="s">
        <v>180</v>
      </c>
      <c r="C204" s="55"/>
    </row>
    <row r="205" spans="1:5">
      <c r="A205" s="8">
        <v>7</v>
      </c>
      <c r="B205" s="9" t="s">
        <v>322</v>
      </c>
    </row>
    <row r="206" spans="1:5">
      <c r="A206" s="8">
        <v>7</v>
      </c>
      <c r="B206" s="10"/>
    </row>
    <row r="207" spans="1:5">
      <c r="A207" s="8">
        <v>7</v>
      </c>
      <c r="B207" s="10" t="s">
        <v>323</v>
      </c>
    </row>
    <row r="208" spans="1:5">
      <c r="A208" s="8">
        <v>7</v>
      </c>
      <c r="B208" s="10" t="s">
        <v>324</v>
      </c>
    </row>
    <row r="209" spans="1:3">
      <c r="A209" s="8">
        <v>7</v>
      </c>
      <c r="B209" s="10" t="s">
        <v>325</v>
      </c>
    </row>
    <row r="210" spans="1:3">
      <c r="A210" s="8">
        <v>7</v>
      </c>
      <c r="B210" s="10" t="s">
        <v>326</v>
      </c>
    </row>
    <row r="211" spans="1:3">
      <c r="A211" s="8">
        <v>7</v>
      </c>
      <c r="B211" s="10" t="s">
        <v>327</v>
      </c>
    </row>
    <row r="212" spans="1:3">
      <c r="A212" s="8">
        <v>7</v>
      </c>
      <c r="B212" s="10"/>
    </row>
    <row r="213" spans="1:3">
      <c r="A213" s="8">
        <v>7</v>
      </c>
      <c r="B213" s="10" t="s">
        <v>328</v>
      </c>
    </row>
    <row r="214" spans="1:3">
      <c r="A214" s="8">
        <v>7</v>
      </c>
      <c r="B214" s="10" t="s">
        <v>329</v>
      </c>
    </row>
    <row r="215" spans="1:3">
      <c r="A215" s="8">
        <v>7</v>
      </c>
      <c r="B215" s="10" t="s">
        <v>370</v>
      </c>
    </row>
    <row r="216" spans="1:3">
      <c r="A216" s="8">
        <v>7</v>
      </c>
      <c r="B216" s="10" t="s">
        <v>371</v>
      </c>
    </row>
    <row r="217" spans="1:3">
      <c r="A217" s="8">
        <v>7</v>
      </c>
      <c r="B217" s="10" t="s">
        <v>372</v>
      </c>
    </row>
    <row r="218" spans="1:3">
      <c r="A218" s="8">
        <v>7</v>
      </c>
      <c r="B218" s="10"/>
    </row>
    <row r="219" spans="1:3">
      <c r="A219" s="8">
        <v>8</v>
      </c>
      <c r="B219" s="10"/>
    </row>
    <row r="220" spans="1:3">
      <c r="A220" s="6">
        <v>8</v>
      </c>
      <c r="B220" s="7" t="s">
        <v>180</v>
      </c>
      <c r="C220" s="55"/>
    </row>
    <row r="221" spans="1:3">
      <c r="A221" s="8">
        <v>8</v>
      </c>
      <c r="B221" s="9" t="s">
        <v>315</v>
      </c>
    </row>
    <row r="222" spans="1:3">
      <c r="A222" s="8">
        <v>8</v>
      </c>
      <c r="B222" s="9" t="s">
        <v>316</v>
      </c>
    </row>
    <row r="223" spans="1:3">
      <c r="A223" s="8">
        <v>8</v>
      </c>
      <c r="B223" s="10"/>
    </row>
    <row r="224" spans="1:3">
      <c r="A224" s="8">
        <v>8</v>
      </c>
      <c r="B224" s="10" t="s">
        <v>317</v>
      </c>
    </row>
    <row r="225" spans="1:3">
      <c r="A225" s="8">
        <v>8</v>
      </c>
      <c r="B225" s="10" t="s">
        <v>318</v>
      </c>
    </row>
    <row r="226" spans="1:3">
      <c r="A226" s="8">
        <v>8</v>
      </c>
      <c r="B226" s="10" t="s">
        <v>321</v>
      </c>
    </row>
    <row r="227" spans="1:3">
      <c r="A227" s="8">
        <v>8</v>
      </c>
      <c r="B227" s="10" t="s">
        <v>319</v>
      </c>
    </row>
    <row r="228" spans="1:3">
      <c r="A228" s="8">
        <v>8</v>
      </c>
      <c r="B228" s="10" t="s">
        <v>320</v>
      </c>
    </row>
    <row r="229" spans="1:3">
      <c r="A229" s="8">
        <v>8</v>
      </c>
      <c r="B229" s="10"/>
    </row>
    <row r="230" spans="1:3">
      <c r="A230" s="8">
        <v>8</v>
      </c>
      <c r="B230" s="10" t="s">
        <v>330</v>
      </c>
    </row>
    <row r="231" spans="1:3">
      <c r="A231" s="8">
        <v>8</v>
      </c>
    </row>
    <row r="232" spans="1:3">
      <c r="A232" s="8">
        <v>9</v>
      </c>
      <c r="B232" s="10"/>
    </row>
    <row r="233" spans="1:3">
      <c r="A233" s="6">
        <v>9</v>
      </c>
      <c r="B233" s="7" t="s">
        <v>180</v>
      </c>
      <c r="C233" s="55"/>
    </row>
    <row r="234" spans="1:3">
      <c r="A234" s="8">
        <v>9</v>
      </c>
      <c r="B234" s="9" t="s">
        <v>443</v>
      </c>
    </row>
    <row r="235" spans="1:3">
      <c r="A235" s="8">
        <v>9</v>
      </c>
      <c r="B235" s="9" t="s">
        <v>383</v>
      </c>
    </row>
    <row r="236" spans="1:3">
      <c r="A236" s="8"/>
      <c r="B236" s="9"/>
    </row>
    <row r="237" spans="1:3">
      <c r="A237" s="8">
        <v>9</v>
      </c>
      <c r="B237" s="9" t="s">
        <v>442</v>
      </c>
    </row>
    <row r="238" spans="1:3">
      <c r="A238" s="8">
        <v>9</v>
      </c>
      <c r="B238" s="9" t="s">
        <v>444</v>
      </c>
    </row>
    <row r="239" spans="1:3">
      <c r="A239" s="8">
        <v>9</v>
      </c>
      <c r="B239" s="9" t="s">
        <v>447</v>
      </c>
    </row>
    <row r="240" spans="1:3">
      <c r="A240" s="8">
        <v>9</v>
      </c>
      <c r="B240" s="9" t="s">
        <v>445</v>
      </c>
    </row>
    <row r="241" spans="1:7">
      <c r="A241" s="8">
        <v>9</v>
      </c>
      <c r="B241" s="9"/>
    </row>
    <row r="242" spans="1:7" ht="26.25">
      <c r="A242" s="8">
        <v>9</v>
      </c>
      <c r="B242" s="9"/>
      <c r="C242" s="102" t="s">
        <v>446</v>
      </c>
      <c r="D242" s="102" t="s">
        <v>448</v>
      </c>
    </row>
    <row r="243" spans="1:7">
      <c r="A243" s="8">
        <v>9</v>
      </c>
      <c r="B243" s="9"/>
      <c r="C243" s="102"/>
      <c r="D243" s="102" t="s">
        <v>449</v>
      </c>
    </row>
    <row r="244" spans="1:7">
      <c r="A244" s="8">
        <v>9</v>
      </c>
      <c r="B244" s="9"/>
      <c r="C244" s="102"/>
      <c r="D244" s="102"/>
    </row>
    <row r="245" spans="1:7">
      <c r="A245" s="8">
        <v>9</v>
      </c>
      <c r="B245" s="9" t="s">
        <v>458</v>
      </c>
      <c r="C245" s="102"/>
      <c r="D245" s="102"/>
    </row>
    <row r="246" spans="1:7" ht="13.5" thickBot="1">
      <c r="A246" s="8">
        <v>9</v>
      </c>
      <c r="B246" s="9"/>
    </row>
    <row r="247" spans="1:7">
      <c r="A247" s="8">
        <v>9</v>
      </c>
      <c r="B247" s="9"/>
      <c r="D247" s="104"/>
      <c r="E247" s="110" t="s">
        <v>379</v>
      </c>
      <c r="F247" s="110" t="s">
        <v>381</v>
      </c>
      <c r="G247" s="110" t="s">
        <v>473</v>
      </c>
    </row>
    <row r="248" spans="1:7">
      <c r="A248" s="8">
        <v>9</v>
      </c>
      <c r="B248" s="9"/>
      <c r="D248" s="105"/>
      <c r="E248" s="106" t="s">
        <v>472</v>
      </c>
      <c r="F248" s="106" t="s">
        <v>378</v>
      </c>
      <c r="G248" s="106" t="s">
        <v>386</v>
      </c>
    </row>
    <row r="249" spans="1:7">
      <c r="A249" s="8">
        <v>9</v>
      </c>
      <c r="B249" s="10"/>
      <c r="D249" s="106" t="s">
        <v>381</v>
      </c>
      <c r="E249" s="106" t="s">
        <v>380</v>
      </c>
      <c r="F249" s="106" t="s">
        <v>340</v>
      </c>
      <c r="G249" s="106" t="s">
        <v>382</v>
      </c>
    </row>
    <row r="250" spans="1:7" ht="13.5" thickBot="1">
      <c r="A250" s="8">
        <v>9</v>
      </c>
      <c r="B250" s="10"/>
      <c r="D250" s="107" t="s">
        <v>336</v>
      </c>
      <c r="E250" s="107" t="s">
        <v>373</v>
      </c>
      <c r="F250" s="107" t="s">
        <v>339</v>
      </c>
      <c r="G250" s="107" t="s">
        <v>339</v>
      </c>
    </row>
    <row r="251" spans="1:7" ht="26.25">
      <c r="A251" s="8">
        <v>9</v>
      </c>
      <c r="B251" s="10"/>
      <c r="D251" s="106">
        <v>0</v>
      </c>
      <c r="E251" s="108">
        <v>0</v>
      </c>
      <c r="F251" s="153" t="s">
        <v>428</v>
      </c>
      <c r="G251" s="151" t="s">
        <v>450</v>
      </c>
    </row>
    <row r="252" spans="1:7" ht="26.25">
      <c r="A252" s="8">
        <v>9</v>
      </c>
      <c r="B252" s="10"/>
      <c r="D252" s="106">
        <v>1</v>
      </c>
      <c r="E252" s="108">
        <v>0.05</v>
      </c>
      <c r="F252" s="154" t="s">
        <v>454</v>
      </c>
      <c r="G252" s="152" t="s">
        <v>451</v>
      </c>
    </row>
    <row r="253" spans="1:7" ht="26.25">
      <c r="A253" s="8">
        <v>9</v>
      </c>
      <c r="B253" s="10"/>
      <c r="D253" s="106">
        <v>2</v>
      </c>
      <c r="E253" s="108">
        <v>0.06</v>
      </c>
      <c r="F253" s="154" t="s">
        <v>455</v>
      </c>
      <c r="G253" s="152" t="s">
        <v>452</v>
      </c>
    </row>
    <row r="254" spans="1:7" ht="26.25">
      <c r="A254" s="8">
        <v>9</v>
      </c>
      <c r="B254" s="10"/>
      <c r="D254" s="106">
        <v>3</v>
      </c>
      <c r="E254" s="108">
        <v>7.0000000000000007E-2</v>
      </c>
      <c r="F254" s="154" t="s">
        <v>456</v>
      </c>
      <c r="G254" s="152" t="s">
        <v>453</v>
      </c>
    </row>
    <row r="255" spans="1:7" ht="13.5" thickBot="1">
      <c r="A255" s="8">
        <v>9</v>
      </c>
      <c r="B255" s="10"/>
      <c r="D255" s="107">
        <v>4</v>
      </c>
      <c r="E255" s="109">
        <v>7.4999999999999997E-2</v>
      </c>
      <c r="F255" s="112" t="s">
        <v>213</v>
      </c>
      <c r="G255" s="112" t="s">
        <v>213</v>
      </c>
    </row>
    <row r="256" spans="1:7">
      <c r="A256" s="8"/>
      <c r="B256" s="10"/>
      <c r="D256" s="155"/>
      <c r="E256" s="156"/>
      <c r="F256" s="157"/>
      <c r="G256" s="157"/>
    </row>
    <row r="257" spans="1:9">
      <c r="A257" s="8">
        <v>9</v>
      </c>
      <c r="B257" s="10" t="s">
        <v>457</v>
      </c>
    </row>
    <row r="258" spans="1:9">
      <c r="A258" s="8">
        <v>9</v>
      </c>
      <c r="B258" s="10" t="s">
        <v>384</v>
      </c>
    </row>
    <row r="259" spans="1:9" ht="13.5" thickBot="1">
      <c r="A259" s="8"/>
      <c r="B259" s="10"/>
    </row>
    <row r="260" spans="1:9" ht="26.25">
      <c r="A260" s="8">
        <v>9</v>
      </c>
      <c r="C260" s="123">
        <f>(1+E252)^D252</f>
        <v>1.05</v>
      </c>
      <c r="D260" s="124" t="s">
        <v>425</v>
      </c>
      <c r="E260" s="125"/>
      <c r="F260" s="132" t="s">
        <v>437</v>
      </c>
      <c r="G260" s="133">
        <v>0.05</v>
      </c>
      <c r="I260">
        <f>781*C260</f>
        <v>820.05000000000007</v>
      </c>
    </row>
    <row r="261" spans="1:9" ht="26.25">
      <c r="A261" s="8">
        <v>9</v>
      </c>
      <c r="C261" s="126">
        <f>(1+E253)^D253</f>
        <v>1.1236000000000002</v>
      </c>
      <c r="D261" s="127" t="s">
        <v>426</v>
      </c>
      <c r="E261" s="128"/>
      <c r="F261" s="134" t="s">
        <v>438</v>
      </c>
      <c r="G261" s="135">
        <f>(C261/C260) - 1</f>
        <v>7.009523809523821E-2</v>
      </c>
      <c r="I261">
        <f>781*C261</f>
        <v>877.53160000000014</v>
      </c>
    </row>
    <row r="262" spans="1:9" ht="26.25">
      <c r="A262" s="8">
        <v>9</v>
      </c>
      <c r="B262" s="10"/>
      <c r="C262" s="126">
        <f>(1+E254)^D254</f>
        <v>1.2250430000000001</v>
      </c>
      <c r="D262" s="127" t="s">
        <v>427</v>
      </c>
      <c r="E262" s="128"/>
      <c r="F262" s="134" t="s">
        <v>436</v>
      </c>
      <c r="G262" s="135">
        <f>(C262/C261) - 1</f>
        <v>9.0283908864364548E-2</v>
      </c>
      <c r="I262">
        <f>781*C262</f>
        <v>956.75858300000004</v>
      </c>
    </row>
    <row r="263" spans="1:9" ht="27" thickBot="1">
      <c r="A263" s="8">
        <v>9</v>
      </c>
      <c r="B263" s="10"/>
      <c r="C263" s="129">
        <f>(1+E255)^D255</f>
        <v>1.3354691406249999</v>
      </c>
      <c r="D263" s="130" t="s">
        <v>424</v>
      </c>
      <c r="E263" s="131"/>
      <c r="F263" s="136" t="s">
        <v>439</v>
      </c>
      <c r="G263" s="137">
        <f>(C263/C262) - 1</f>
        <v>9.0140624145437886E-2</v>
      </c>
      <c r="I263">
        <f>781*C263</f>
        <v>1043.0013988281248</v>
      </c>
    </row>
    <row r="264" spans="1:9">
      <c r="A264" s="8">
        <v>9</v>
      </c>
    </row>
    <row r="265" spans="1:9">
      <c r="A265" s="8">
        <v>9</v>
      </c>
      <c r="B265" s="10" t="s">
        <v>459</v>
      </c>
    </row>
    <row r="266" spans="1:9">
      <c r="A266" s="8">
        <v>9</v>
      </c>
      <c r="B266" s="10"/>
    </row>
    <row r="267" spans="1:9" ht="26.25">
      <c r="A267" s="8">
        <v>9</v>
      </c>
      <c r="E267" s="102" t="s">
        <v>432</v>
      </c>
      <c r="F267" s="102" t="s">
        <v>428</v>
      </c>
      <c r="G267" s="103">
        <f>GEOMEAN(G260:G260)</f>
        <v>5.000000000000001E-2</v>
      </c>
    </row>
    <row r="268" spans="1:9" ht="26.25">
      <c r="A268" s="8">
        <v>9</v>
      </c>
      <c r="E268" s="102" t="s">
        <v>433</v>
      </c>
      <c r="F268" s="102" t="s">
        <v>429</v>
      </c>
      <c r="G268" s="103">
        <f>GEOMEAN(G260:G261)</f>
        <v>5.9201029592076446E-2</v>
      </c>
    </row>
    <row r="269" spans="1:9" ht="26.25">
      <c r="A269" s="8">
        <v>9</v>
      </c>
      <c r="E269" s="102" t="s">
        <v>434</v>
      </c>
      <c r="F269" s="102" t="s">
        <v>430</v>
      </c>
      <c r="G269" s="103">
        <f>GEOMEAN(G260:G262)</f>
        <v>6.8143268037134178E-2</v>
      </c>
    </row>
    <row r="270" spans="1:9" ht="26.25">
      <c r="A270" s="8">
        <v>9</v>
      </c>
      <c r="E270" s="102" t="s">
        <v>435</v>
      </c>
      <c r="F270" s="102" t="s">
        <v>431</v>
      </c>
      <c r="G270" s="103">
        <f>GEOMEAN(G260:G263)</f>
        <v>7.3079801414639461E-2</v>
      </c>
    </row>
    <row r="271" spans="1:9" ht="13.5" thickBot="1">
      <c r="A271" s="8">
        <v>9</v>
      </c>
    </row>
    <row r="272" spans="1:9">
      <c r="A272" s="8">
        <v>9</v>
      </c>
      <c r="B272" s="9"/>
      <c r="C272" s="104"/>
      <c r="D272" s="110" t="s">
        <v>379</v>
      </c>
      <c r="E272" s="110" t="s">
        <v>381</v>
      </c>
      <c r="F272" s="110" t="s">
        <v>466</v>
      </c>
      <c r="G272" s="110" t="s">
        <v>462</v>
      </c>
    </row>
    <row r="273" spans="1:7">
      <c r="A273" s="8">
        <v>9</v>
      </c>
      <c r="B273" s="9"/>
      <c r="C273" s="105"/>
      <c r="D273" s="106" t="s">
        <v>472</v>
      </c>
      <c r="E273" s="106" t="s">
        <v>378</v>
      </c>
      <c r="F273" s="106" t="s">
        <v>386</v>
      </c>
      <c r="G273" s="106" t="s">
        <v>463</v>
      </c>
    </row>
    <row r="274" spans="1:7">
      <c r="A274" s="8">
        <v>9</v>
      </c>
      <c r="B274" s="10"/>
      <c r="C274" s="106" t="s">
        <v>381</v>
      </c>
      <c r="D274" s="106" t="s">
        <v>380</v>
      </c>
      <c r="E274" s="106" t="s">
        <v>340</v>
      </c>
      <c r="F274" s="106" t="s">
        <v>382</v>
      </c>
      <c r="G274" s="167" t="s">
        <v>464</v>
      </c>
    </row>
    <row r="275" spans="1:7" ht="13.5" thickBot="1">
      <c r="A275" s="8">
        <v>9</v>
      </c>
      <c r="B275" s="10"/>
      <c r="C275" s="107" t="s">
        <v>336</v>
      </c>
      <c r="D275" s="107" t="s">
        <v>373</v>
      </c>
      <c r="E275" s="107" t="s">
        <v>339</v>
      </c>
      <c r="F275" s="107" t="s">
        <v>339</v>
      </c>
      <c r="G275" s="107" t="s">
        <v>465</v>
      </c>
    </row>
    <row r="276" spans="1:7">
      <c r="A276" s="8">
        <v>9</v>
      </c>
      <c r="B276" s="10"/>
      <c r="C276" s="106" t="s">
        <v>385</v>
      </c>
      <c r="D276" s="108">
        <v>0</v>
      </c>
      <c r="E276" s="111">
        <f>G260</f>
        <v>0.05</v>
      </c>
      <c r="F276" s="111">
        <f>G267</f>
        <v>5.000000000000001E-2</v>
      </c>
      <c r="G276" s="111">
        <f>D277-F276</f>
        <v>0</v>
      </c>
    </row>
    <row r="277" spans="1:7">
      <c r="A277" s="8">
        <v>9</v>
      </c>
      <c r="B277" s="10"/>
      <c r="C277" s="106" t="s">
        <v>374</v>
      </c>
      <c r="D277" s="108">
        <v>0.05</v>
      </c>
      <c r="E277" s="111">
        <f>G261</f>
        <v>7.009523809523821E-2</v>
      </c>
      <c r="F277" s="111">
        <f>G268</f>
        <v>5.9201029592076446E-2</v>
      </c>
      <c r="G277" s="111">
        <f>D278-F277</f>
        <v>7.9897040792355212E-4</v>
      </c>
    </row>
    <row r="278" spans="1:7">
      <c r="A278" s="8">
        <v>9</v>
      </c>
      <c r="B278" s="10"/>
      <c r="C278" s="106" t="s">
        <v>375</v>
      </c>
      <c r="D278" s="108">
        <v>0.06</v>
      </c>
      <c r="E278" s="111">
        <f>G262</f>
        <v>9.0283908864364548E-2</v>
      </c>
      <c r="F278" s="111">
        <f>G269</f>
        <v>6.8143268037134178E-2</v>
      </c>
      <c r="G278" s="111">
        <f>D279-F278</f>
        <v>1.8567319628658291E-3</v>
      </c>
    </row>
    <row r="279" spans="1:7">
      <c r="A279" s="8">
        <v>9</v>
      </c>
      <c r="B279" s="10"/>
      <c r="C279" s="106" t="s">
        <v>376</v>
      </c>
      <c r="D279" s="108">
        <v>7.0000000000000007E-2</v>
      </c>
      <c r="E279" s="111">
        <f>G263</f>
        <v>9.0140624145437886E-2</v>
      </c>
      <c r="F279" s="111">
        <f>G270</f>
        <v>7.3079801414639461E-2</v>
      </c>
      <c r="G279" s="111">
        <f>D280-F279</f>
        <v>1.9201985853605358E-3</v>
      </c>
    </row>
    <row r="280" spans="1:7" ht="13.5" thickBot="1">
      <c r="A280" s="8">
        <v>9</v>
      </c>
      <c r="B280" s="10"/>
      <c r="C280" s="107" t="s">
        <v>377</v>
      </c>
      <c r="D280" s="109">
        <v>7.4999999999999997E-2</v>
      </c>
      <c r="E280" s="112" t="s">
        <v>213</v>
      </c>
      <c r="F280" s="112" t="s">
        <v>213</v>
      </c>
      <c r="G280" s="112" t="s">
        <v>213</v>
      </c>
    </row>
    <row r="281" spans="1:7">
      <c r="A281" s="8">
        <v>9</v>
      </c>
    </row>
    <row r="282" spans="1:7">
      <c r="A282" s="8">
        <v>10</v>
      </c>
    </row>
    <row r="283" spans="1:7">
      <c r="A283" s="6">
        <v>10</v>
      </c>
      <c r="B283" s="7" t="s">
        <v>180</v>
      </c>
      <c r="C283" s="55"/>
    </row>
    <row r="284" spans="1:7">
      <c r="A284" s="8">
        <v>10</v>
      </c>
      <c r="B284" s="9" t="s">
        <v>440</v>
      </c>
    </row>
    <row r="285" spans="1:7">
      <c r="A285" s="8">
        <v>10</v>
      </c>
      <c r="B285" s="9" t="s">
        <v>441</v>
      </c>
    </row>
    <row r="286" spans="1:7">
      <c r="A286" s="8">
        <v>10</v>
      </c>
      <c r="B286" s="9" t="s">
        <v>460</v>
      </c>
    </row>
    <row r="287" spans="1:7">
      <c r="A287" s="8">
        <v>10</v>
      </c>
      <c r="B287" s="9" t="s">
        <v>467</v>
      </c>
    </row>
    <row r="288" spans="1:7">
      <c r="A288" s="8">
        <v>10</v>
      </c>
      <c r="B288" s="9" t="s">
        <v>461</v>
      </c>
    </row>
    <row r="289" spans="1:8">
      <c r="A289" s="8">
        <v>10</v>
      </c>
      <c r="B289" s="9"/>
    </row>
    <row r="290" spans="1:8">
      <c r="A290" s="8">
        <v>10</v>
      </c>
      <c r="B290" s="9" t="s">
        <v>468</v>
      </c>
    </row>
    <row r="291" spans="1:8">
      <c r="A291" s="8">
        <v>10</v>
      </c>
      <c r="B291" s="9" t="s">
        <v>494</v>
      </c>
    </row>
    <row r="292" spans="1:8">
      <c r="A292" s="8">
        <v>10</v>
      </c>
      <c r="B292" s="9" t="s">
        <v>495</v>
      </c>
    </row>
    <row r="293" spans="1:8">
      <c r="A293" s="8">
        <v>10</v>
      </c>
      <c r="B293" s="9" t="s">
        <v>493</v>
      </c>
    </row>
    <row r="294" spans="1:8">
      <c r="A294" s="8">
        <v>10</v>
      </c>
      <c r="B294" s="9"/>
    </row>
    <row r="295" spans="1:8">
      <c r="A295" s="8">
        <v>10</v>
      </c>
      <c r="B295" s="9" t="s">
        <v>492</v>
      </c>
    </row>
    <row r="296" spans="1:8">
      <c r="A296" s="8">
        <v>10</v>
      </c>
      <c r="B296" s="9" t="s">
        <v>493</v>
      </c>
    </row>
    <row r="297" spans="1:8" ht="13.5" thickBot="1">
      <c r="A297" s="8">
        <v>10</v>
      </c>
    </row>
    <row r="298" spans="1:8" ht="13.5" thickBot="1">
      <c r="A298" s="8">
        <v>10</v>
      </c>
      <c r="B298" s="164" t="s">
        <v>474</v>
      </c>
      <c r="C298" s="165"/>
      <c r="D298" s="165"/>
      <c r="E298" s="165"/>
      <c r="F298" s="165"/>
      <c r="G298" s="166"/>
    </row>
    <row r="299" spans="1:8">
      <c r="A299" s="8">
        <v>10</v>
      </c>
      <c r="B299" s="104"/>
      <c r="C299" s="110" t="s">
        <v>392</v>
      </c>
      <c r="D299" s="110" t="s">
        <v>393</v>
      </c>
      <c r="E299" s="110" t="s">
        <v>379</v>
      </c>
      <c r="F299" s="110" t="s">
        <v>381</v>
      </c>
      <c r="G299" s="110" t="s">
        <v>466</v>
      </c>
      <c r="H299" s="110" t="s">
        <v>472</v>
      </c>
    </row>
    <row r="300" spans="1:8">
      <c r="A300" s="8">
        <v>10</v>
      </c>
      <c r="B300" s="105"/>
      <c r="C300" s="106" t="s">
        <v>379</v>
      </c>
      <c r="D300" s="106" t="s">
        <v>381</v>
      </c>
      <c r="E300" s="106" t="s">
        <v>472</v>
      </c>
      <c r="F300" s="106" t="s">
        <v>378</v>
      </c>
      <c r="G300" s="106" t="s">
        <v>386</v>
      </c>
      <c r="H300" s="106" t="s">
        <v>463</v>
      </c>
    </row>
    <row r="301" spans="1:8">
      <c r="A301" s="8">
        <v>10</v>
      </c>
      <c r="B301" s="106" t="s">
        <v>381</v>
      </c>
      <c r="C301" s="106" t="s">
        <v>387</v>
      </c>
      <c r="D301" s="106" t="s">
        <v>343</v>
      </c>
      <c r="E301" s="106" t="s">
        <v>380</v>
      </c>
      <c r="F301" s="106" t="s">
        <v>340</v>
      </c>
      <c r="G301" s="106" t="s">
        <v>382</v>
      </c>
      <c r="H301" s="167" t="s">
        <v>464</v>
      </c>
    </row>
    <row r="302" spans="1:8" ht="13.5" thickBot="1">
      <c r="A302" s="8">
        <v>10</v>
      </c>
      <c r="B302" s="107" t="s">
        <v>336</v>
      </c>
      <c r="C302" s="107" t="s">
        <v>344</v>
      </c>
      <c r="D302" s="107" t="s">
        <v>344</v>
      </c>
      <c r="E302" s="107" t="s">
        <v>373</v>
      </c>
      <c r="F302" s="107" t="s">
        <v>339</v>
      </c>
      <c r="G302" s="107" t="s">
        <v>339</v>
      </c>
      <c r="H302" s="107" t="s">
        <v>465</v>
      </c>
    </row>
    <row r="303" spans="1:8">
      <c r="A303" s="8">
        <v>10</v>
      </c>
      <c r="B303" s="106">
        <v>0</v>
      </c>
      <c r="C303" s="113">
        <f>PV(E303,B303,0,1000)</f>
        <v>-1000</v>
      </c>
      <c r="D303" s="113">
        <f>FV(E303,B303,0,C303)</f>
        <v>1000</v>
      </c>
      <c r="E303" s="159">
        <f>E251</f>
        <v>0</v>
      </c>
      <c r="F303" s="170" t="s">
        <v>391</v>
      </c>
      <c r="G303" s="170" t="s">
        <v>391</v>
      </c>
      <c r="H303" s="170" t="s">
        <v>391</v>
      </c>
    </row>
    <row r="304" spans="1:8">
      <c r="A304" s="8">
        <v>10</v>
      </c>
      <c r="B304" s="106">
        <v>1</v>
      </c>
      <c r="C304" s="115">
        <f>PV(E304,B304,0,1000)</f>
        <v>-952.38095238095229</v>
      </c>
      <c r="D304" s="115">
        <f>FV(E304,B304,0,C304)</f>
        <v>1000</v>
      </c>
      <c r="E304" s="158">
        <f>E252</f>
        <v>0.05</v>
      </c>
      <c r="F304" s="111" t="s">
        <v>388</v>
      </c>
      <c r="G304" s="111" t="s">
        <v>388</v>
      </c>
      <c r="H304" s="111" t="s">
        <v>388</v>
      </c>
    </row>
    <row r="305" spans="1:8">
      <c r="A305" s="8">
        <v>10</v>
      </c>
      <c r="B305" s="106">
        <v>2</v>
      </c>
      <c r="C305" s="115">
        <f>PV(E305,B305,0,1000)</f>
        <v>-889.99644001423985</v>
      </c>
      <c r="D305" s="115">
        <f>FV(E305,B305,0,C305)</f>
        <v>1000</v>
      </c>
      <c r="E305" s="158">
        <f>E253</f>
        <v>0.06</v>
      </c>
      <c r="F305" s="111" t="s">
        <v>471</v>
      </c>
      <c r="G305" s="111" t="s">
        <v>471</v>
      </c>
      <c r="H305" s="111" t="s">
        <v>471</v>
      </c>
    </row>
    <row r="306" spans="1:8">
      <c r="A306" s="8">
        <v>10</v>
      </c>
      <c r="B306" s="106">
        <v>3</v>
      </c>
      <c r="C306" s="115">
        <f>PV(E306,B306,0,1000)</f>
        <v>-816.29787689085197</v>
      </c>
      <c r="D306" s="115">
        <f>FV(E306,B306,0,C306)</f>
        <v>1000</v>
      </c>
      <c r="E306" s="158">
        <f>E254</f>
        <v>7.0000000000000007E-2</v>
      </c>
      <c r="F306" s="111" t="s">
        <v>389</v>
      </c>
      <c r="G306" s="111" t="s">
        <v>389</v>
      </c>
      <c r="H306" s="111" t="s">
        <v>389</v>
      </c>
    </row>
    <row r="307" spans="1:8" ht="13.5" thickBot="1">
      <c r="A307" s="8">
        <v>10</v>
      </c>
      <c r="B307" s="107">
        <v>4</v>
      </c>
      <c r="C307" s="116">
        <f>PV(E307,B307,0,1000)</f>
        <v>-748.8005297763749</v>
      </c>
      <c r="D307" s="116">
        <f>FV(E307,B307,0,C307)</f>
        <v>1000</v>
      </c>
      <c r="E307" s="160">
        <f>E255</f>
        <v>7.4999999999999997E-2</v>
      </c>
      <c r="F307" s="112" t="s">
        <v>390</v>
      </c>
      <c r="G307" s="112" t="s">
        <v>390</v>
      </c>
      <c r="H307" s="112" t="s">
        <v>390</v>
      </c>
    </row>
    <row r="308" spans="1:8" ht="13.5" thickBot="1">
      <c r="A308" s="8">
        <v>10</v>
      </c>
      <c r="B308" s="155"/>
      <c r="C308" s="161"/>
      <c r="D308" s="161"/>
      <c r="E308" s="162"/>
      <c r="F308" s="163"/>
      <c r="G308" s="163"/>
    </row>
    <row r="309" spans="1:8" ht="13.5" thickBot="1">
      <c r="A309" s="8">
        <v>10</v>
      </c>
      <c r="B309" s="164" t="s">
        <v>475</v>
      </c>
      <c r="C309" s="165"/>
      <c r="D309" s="165"/>
      <c r="E309" s="165"/>
      <c r="F309" s="165"/>
      <c r="G309" s="166"/>
    </row>
    <row r="310" spans="1:8">
      <c r="A310" s="8">
        <v>10</v>
      </c>
      <c r="B310" s="104"/>
      <c r="C310" s="110" t="s">
        <v>392</v>
      </c>
      <c r="D310" s="110" t="s">
        <v>393</v>
      </c>
      <c r="E310" s="110" t="s">
        <v>379</v>
      </c>
      <c r="F310" s="110" t="s">
        <v>381</v>
      </c>
      <c r="G310" s="110" t="s">
        <v>466</v>
      </c>
      <c r="H310" s="110" t="s">
        <v>472</v>
      </c>
    </row>
    <row r="311" spans="1:8">
      <c r="A311" s="8">
        <v>10</v>
      </c>
      <c r="B311" s="105"/>
      <c r="C311" s="106" t="s">
        <v>379</v>
      </c>
      <c r="D311" s="106" t="s">
        <v>381</v>
      </c>
      <c r="E311" s="106" t="s">
        <v>472</v>
      </c>
      <c r="F311" s="106" t="s">
        <v>378</v>
      </c>
      <c r="G311" s="106" t="s">
        <v>386</v>
      </c>
      <c r="H311" s="106" t="s">
        <v>463</v>
      </c>
    </row>
    <row r="312" spans="1:8">
      <c r="A312" s="8">
        <v>10</v>
      </c>
      <c r="B312" s="106" t="s">
        <v>381</v>
      </c>
      <c r="C312" s="106" t="s">
        <v>387</v>
      </c>
      <c r="D312" s="106" t="s">
        <v>343</v>
      </c>
      <c r="E312" s="106" t="s">
        <v>380</v>
      </c>
      <c r="F312" s="106" t="s">
        <v>340</v>
      </c>
      <c r="G312" s="106" t="s">
        <v>382</v>
      </c>
      <c r="H312" s="167" t="s">
        <v>464</v>
      </c>
    </row>
    <row r="313" spans="1:8" ht="13.5" thickBot="1">
      <c r="A313" s="8">
        <v>10</v>
      </c>
      <c r="B313" s="107" t="s">
        <v>336</v>
      </c>
      <c r="C313" s="107" t="s">
        <v>344</v>
      </c>
      <c r="D313" s="107" t="s">
        <v>344</v>
      </c>
      <c r="E313" s="107" t="s">
        <v>373</v>
      </c>
      <c r="F313" s="107" t="s">
        <v>339</v>
      </c>
      <c r="G313" s="107" t="s">
        <v>339</v>
      </c>
      <c r="H313" s="107" t="s">
        <v>465</v>
      </c>
    </row>
    <row r="314" spans="1:8">
      <c r="A314" s="8">
        <v>10</v>
      </c>
      <c r="B314" s="106">
        <v>0</v>
      </c>
      <c r="C314" s="113">
        <f>PV(E314,B314,0,D314)</f>
        <v>-781</v>
      </c>
      <c r="D314" s="113">
        <f>FV(E314,B314,0,-781)</f>
        <v>781</v>
      </c>
      <c r="E314" s="159">
        <v>0</v>
      </c>
      <c r="F314" s="170" t="s">
        <v>391</v>
      </c>
      <c r="G314" s="170" t="s">
        <v>391</v>
      </c>
      <c r="H314" s="170" t="s">
        <v>391</v>
      </c>
    </row>
    <row r="315" spans="1:8">
      <c r="A315" s="8">
        <v>10</v>
      </c>
      <c r="B315" s="106">
        <v>1</v>
      </c>
      <c r="C315" s="115">
        <f>PV(E315,B315,0,D315)</f>
        <v>-781</v>
      </c>
      <c r="D315" s="115">
        <f>FV(E315,B315,0,-781)</f>
        <v>820.05000000000007</v>
      </c>
      <c r="E315" s="158">
        <v>0.05</v>
      </c>
      <c r="F315" s="111" t="s">
        <v>388</v>
      </c>
      <c r="G315" s="111" t="s">
        <v>388</v>
      </c>
      <c r="H315" s="111" t="s">
        <v>388</v>
      </c>
    </row>
    <row r="316" spans="1:8">
      <c r="A316" s="8">
        <v>10</v>
      </c>
      <c r="B316" s="106">
        <v>2</v>
      </c>
      <c r="C316" s="115">
        <f>PV(E316,B316,0,D316)</f>
        <v>-781</v>
      </c>
      <c r="D316" s="115">
        <f>FV(E316,B316,0,-781)</f>
        <v>877.53160000000014</v>
      </c>
      <c r="E316" s="158">
        <v>0.06</v>
      </c>
      <c r="F316" s="111" t="s">
        <v>471</v>
      </c>
      <c r="G316" s="111" t="s">
        <v>471</v>
      </c>
      <c r="H316" s="111" t="s">
        <v>471</v>
      </c>
    </row>
    <row r="317" spans="1:8">
      <c r="A317" s="8">
        <v>10</v>
      </c>
      <c r="B317" s="106">
        <v>3</v>
      </c>
      <c r="C317" s="115">
        <f>PV(E317,B317,0,D317)</f>
        <v>-781</v>
      </c>
      <c r="D317" s="115">
        <f>FV(E317,B317,0,-781)</f>
        <v>956.75858300000004</v>
      </c>
      <c r="E317" s="158">
        <v>7.0000000000000007E-2</v>
      </c>
      <c r="F317" s="111" t="s">
        <v>389</v>
      </c>
      <c r="G317" s="111" t="s">
        <v>389</v>
      </c>
      <c r="H317" s="111" t="s">
        <v>389</v>
      </c>
    </row>
    <row r="318" spans="1:8" ht="13.5" thickBot="1">
      <c r="A318" s="8">
        <v>10</v>
      </c>
      <c r="B318" s="107">
        <v>4</v>
      </c>
      <c r="C318" s="116">
        <f>PV(E318,B318,0,D318)</f>
        <v>-780.99999999999989</v>
      </c>
      <c r="D318" s="116">
        <f>FV(E318,B318,0,-781)</f>
        <v>1043.0013988281248</v>
      </c>
      <c r="E318" s="160">
        <v>7.4999999999999997E-2</v>
      </c>
      <c r="F318" s="112" t="s">
        <v>390</v>
      </c>
      <c r="G318" s="112" t="s">
        <v>390</v>
      </c>
      <c r="H318" s="112" t="s">
        <v>390</v>
      </c>
    </row>
    <row r="319" spans="1:8">
      <c r="A319" s="8">
        <v>10</v>
      </c>
      <c r="B319" s="155"/>
      <c r="C319" s="161"/>
      <c r="D319" s="161"/>
      <c r="E319" s="162"/>
      <c r="F319" s="163"/>
      <c r="G319" s="163"/>
    </row>
    <row r="320" spans="1:8">
      <c r="A320" s="8">
        <v>10</v>
      </c>
      <c r="B320" s="168" t="s">
        <v>457</v>
      </c>
      <c r="C320" s="161"/>
      <c r="D320" s="161"/>
      <c r="E320" s="162"/>
      <c r="F320" s="163"/>
      <c r="G320" s="163"/>
    </row>
    <row r="321" spans="1:8">
      <c r="A321" s="8">
        <v>10</v>
      </c>
      <c r="B321" s="168" t="s">
        <v>469</v>
      </c>
    </row>
    <row r="322" spans="1:8">
      <c r="A322" s="8">
        <v>10</v>
      </c>
      <c r="B322" s="168" t="s">
        <v>470</v>
      </c>
    </row>
    <row r="323" spans="1:8" ht="13.5" thickBot="1">
      <c r="A323" s="8">
        <v>10</v>
      </c>
      <c r="B323" s="168"/>
    </row>
    <row r="324" spans="1:8" ht="13.5" thickBot="1">
      <c r="A324" s="8">
        <v>10</v>
      </c>
      <c r="B324" s="169" t="s">
        <v>476</v>
      </c>
      <c r="C324" s="165"/>
      <c r="D324" s="165"/>
      <c r="E324" s="165"/>
      <c r="F324" s="165"/>
      <c r="G324" s="166"/>
    </row>
    <row r="325" spans="1:8">
      <c r="A325" s="8">
        <v>10</v>
      </c>
      <c r="B325" s="104"/>
      <c r="C325" s="110" t="s">
        <v>392</v>
      </c>
      <c r="D325" s="110" t="s">
        <v>393</v>
      </c>
      <c r="E325" s="110" t="s">
        <v>398</v>
      </c>
      <c r="F325" s="110" t="s">
        <v>381</v>
      </c>
      <c r="G325" s="110" t="s">
        <v>466</v>
      </c>
      <c r="H325" s="110" t="s">
        <v>472</v>
      </c>
    </row>
    <row r="326" spans="1:8">
      <c r="A326" s="8">
        <v>10</v>
      </c>
      <c r="B326" s="105"/>
      <c r="C326" s="106" t="s">
        <v>379</v>
      </c>
      <c r="D326" s="106" t="s">
        <v>381</v>
      </c>
      <c r="E326" s="106" t="s">
        <v>338</v>
      </c>
      <c r="F326" s="106" t="s">
        <v>378</v>
      </c>
      <c r="G326" s="106" t="s">
        <v>386</v>
      </c>
      <c r="H326" s="106" t="s">
        <v>463</v>
      </c>
    </row>
    <row r="327" spans="1:8">
      <c r="A327" s="8">
        <v>10</v>
      </c>
      <c r="B327" s="106" t="s">
        <v>381</v>
      </c>
      <c r="C327" s="106" t="s">
        <v>387</v>
      </c>
      <c r="D327" s="106" t="s">
        <v>343</v>
      </c>
      <c r="E327" s="106" t="s">
        <v>339</v>
      </c>
      <c r="F327" s="106" t="s">
        <v>340</v>
      </c>
      <c r="G327" s="106" t="s">
        <v>382</v>
      </c>
      <c r="H327" s="167" t="s">
        <v>464</v>
      </c>
    </row>
    <row r="328" spans="1:8" ht="13.5" thickBot="1">
      <c r="A328" s="8">
        <v>10</v>
      </c>
      <c r="B328" s="107" t="s">
        <v>336</v>
      </c>
      <c r="C328" s="107" t="s">
        <v>344</v>
      </c>
      <c r="D328" s="107" t="s">
        <v>344</v>
      </c>
      <c r="E328" s="107" t="s">
        <v>373</v>
      </c>
      <c r="F328" s="107" t="s">
        <v>339</v>
      </c>
      <c r="G328" s="107" t="s">
        <v>339</v>
      </c>
      <c r="H328" s="107" t="s">
        <v>465</v>
      </c>
    </row>
    <row r="329" spans="1:8" s="102" customFormat="1">
      <c r="A329" s="8">
        <v>10</v>
      </c>
      <c r="B329" s="106">
        <v>0</v>
      </c>
      <c r="C329" s="113">
        <f t="shared" ref="C329:D333" si="0">C303</f>
        <v>-1000</v>
      </c>
      <c r="D329" s="113">
        <f t="shared" si="0"/>
        <v>1000</v>
      </c>
      <c r="E329" s="159">
        <v>0</v>
      </c>
      <c r="F329" s="171">
        <f t="shared" ref="F329:G332" si="1">E276</f>
        <v>0.05</v>
      </c>
      <c r="G329" s="171">
        <f t="shared" si="1"/>
        <v>5.000000000000001E-2</v>
      </c>
      <c r="H329" s="108">
        <f>E330-G329</f>
        <v>0</v>
      </c>
    </row>
    <row r="330" spans="1:8" s="102" customFormat="1">
      <c r="A330" s="8">
        <v>10</v>
      </c>
      <c r="B330" s="106">
        <v>1</v>
      </c>
      <c r="C330" s="115">
        <f t="shared" si="0"/>
        <v>-952.38095238095229</v>
      </c>
      <c r="D330" s="115">
        <f t="shared" si="0"/>
        <v>1000</v>
      </c>
      <c r="E330" s="158">
        <v>0.05</v>
      </c>
      <c r="F330" s="108">
        <f t="shared" si="1"/>
        <v>7.009523809523821E-2</v>
      </c>
      <c r="G330" s="108">
        <f t="shared" si="1"/>
        <v>5.9201029592076446E-2</v>
      </c>
      <c r="H330" s="108">
        <f>E331-G330</f>
        <v>7.9897040792355212E-4</v>
      </c>
    </row>
    <row r="331" spans="1:8" s="102" customFormat="1">
      <c r="A331" s="8">
        <v>10</v>
      </c>
      <c r="B331" s="106">
        <v>2</v>
      </c>
      <c r="C331" s="115">
        <f t="shared" si="0"/>
        <v>-889.99644001423985</v>
      </c>
      <c r="D331" s="115">
        <f t="shared" si="0"/>
        <v>1000</v>
      </c>
      <c r="E331" s="158">
        <v>0.06</v>
      </c>
      <c r="F331" s="108">
        <f t="shared" si="1"/>
        <v>9.0283908864364548E-2</v>
      </c>
      <c r="G331" s="108">
        <f t="shared" si="1"/>
        <v>6.8143268037134178E-2</v>
      </c>
      <c r="H331" s="108">
        <f>E332-G331</f>
        <v>1.8567319628658291E-3</v>
      </c>
    </row>
    <row r="332" spans="1:8" s="102" customFormat="1">
      <c r="A332" s="8">
        <v>10</v>
      </c>
      <c r="B332" s="106">
        <v>3</v>
      </c>
      <c r="C332" s="115">
        <f t="shared" si="0"/>
        <v>-816.29787689085197</v>
      </c>
      <c r="D332" s="115">
        <f t="shared" si="0"/>
        <v>1000</v>
      </c>
      <c r="E332" s="158">
        <v>7.0000000000000007E-2</v>
      </c>
      <c r="F332" s="108">
        <f t="shared" si="1"/>
        <v>9.0140624145437886E-2</v>
      </c>
      <c r="G332" s="108">
        <f t="shared" si="1"/>
        <v>7.3079801414639461E-2</v>
      </c>
      <c r="H332" s="108">
        <f>E333-G332</f>
        <v>1.9201985853605358E-3</v>
      </c>
    </row>
    <row r="333" spans="1:8" s="102" customFormat="1" ht="13.5" thickBot="1">
      <c r="A333" s="8">
        <v>10</v>
      </c>
      <c r="B333" s="107">
        <v>4</v>
      </c>
      <c r="C333" s="116">
        <f t="shared" si="0"/>
        <v>-748.8005297763749</v>
      </c>
      <c r="D333" s="116">
        <f t="shared" si="0"/>
        <v>1000</v>
      </c>
      <c r="E333" s="160">
        <v>7.4999999999999997E-2</v>
      </c>
      <c r="F333" s="107" t="s">
        <v>213</v>
      </c>
      <c r="G333" s="107" t="s">
        <v>213</v>
      </c>
      <c r="H333" s="107" t="s">
        <v>213</v>
      </c>
    </row>
    <row r="334" spans="1:8" ht="13.5" thickBot="1">
      <c r="A334" s="8">
        <v>10</v>
      </c>
      <c r="B334" s="155"/>
      <c r="C334" s="161"/>
      <c r="D334" s="161"/>
      <c r="E334" s="162"/>
      <c r="F334" s="163"/>
      <c r="G334" s="163"/>
    </row>
    <row r="335" spans="1:8" ht="13.5" thickBot="1">
      <c r="A335" s="8">
        <v>10</v>
      </c>
      <c r="B335" s="169" t="s">
        <v>477</v>
      </c>
      <c r="C335" s="165"/>
      <c r="D335" s="165"/>
      <c r="E335" s="165"/>
      <c r="F335" s="165"/>
      <c r="G335" s="166"/>
    </row>
    <row r="336" spans="1:8">
      <c r="A336" s="8">
        <v>10</v>
      </c>
      <c r="B336" s="104"/>
      <c r="C336" s="110" t="s">
        <v>392</v>
      </c>
      <c r="D336" s="110" t="s">
        <v>393</v>
      </c>
      <c r="E336" s="110" t="s">
        <v>398</v>
      </c>
      <c r="F336" s="110" t="s">
        <v>381</v>
      </c>
      <c r="G336" s="110" t="s">
        <v>466</v>
      </c>
      <c r="H336" s="110" t="s">
        <v>472</v>
      </c>
    </row>
    <row r="337" spans="1:8">
      <c r="A337" s="8">
        <v>10</v>
      </c>
      <c r="B337" s="105"/>
      <c r="C337" s="106" t="s">
        <v>379</v>
      </c>
      <c r="D337" s="106" t="s">
        <v>381</v>
      </c>
      <c r="E337" s="106" t="s">
        <v>338</v>
      </c>
      <c r="F337" s="106" t="s">
        <v>378</v>
      </c>
      <c r="G337" s="106" t="s">
        <v>386</v>
      </c>
      <c r="H337" s="106" t="s">
        <v>463</v>
      </c>
    </row>
    <row r="338" spans="1:8">
      <c r="A338" s="8">
        <v>10</v>
      </c>
      <c r="B338" s="106" t="s">
        <v>381</v>
      </c>
      <c r="C338" s="106" t="s">
        <v>387</v>
      </c>
      <c r="D338" s="106" t="s">
        <v>343</v>
      </c>
      <c r="E338" s="106" t="s">
        <v>339</v>
      </c>
      <c r="F338" s="106" t="s">
        <v>340</v>
      </c>
      <c r="G338" s="106" t="s">
        <v>382</v>
      </c>
      <c r="H338" s="167" t="s">
        <v>464</v>
      </c>
    </row>
    <row r="339" spans="1:8" ht="13.5" thickBot="1">
      <c r="A339" s="8">
        <v>10</v>
      </c>
      <c r="B339" s="107" t="s">
        <v>336</v>
      </c>
      <c r="C339" s="107" t="s">
        <v>344</v>
      </c>
      <c r="D339" s="107" t="s">
        <v>344</v>
      </c>
      <c r="E339" s="107" t="s">
        <v>373</v>
      </c>
      <c r="F339" s="107" t="s">
        <v>339</v>
      </c>
      <c r="G339" s="107" t="s">
        <v>339</v>
      </c>
      <c r="H339" s="107" t="s">
        <v>465</v>
      </c>
    </row>
    <row r="340" spans="1:8" s="102" customFormat="1">
      <c r="A340" s="8">
        <v>10</v>
      </c>
      <c r="B340" s="106">
        <v>0</v>
      </c>
      <c r="C340" s="113">
        <f t="shared" ref="C340:D344" si="2">C314</f>
        <v>-781</v>
      </c>
      <c r="D340" s="113">
        <f t="shared" si="2"/>
        <v>781</v>
      </c>
      <c r="E340" s="159">
        <v>0</v>
      </c>
      <c r="F340" s="171">
        <f>(FV(E341,B341,0,-1)/FV(E340,B340,0,-1)) - 1</f>
        <v>5.0000000000000044E-2</v>
      </c>
      <c r="G340" s="108">
        <f>GEOMEAN(F340:F340)</f>
        <v>5.0000000000000051E-2</v>
      </c>
      <c r="H340" s="108">
        <f>E341-G340</f>
        <v>0</v>
      </c>
    </row>
    <row r="341" spans="1:8" s="102" customFormat="1">
      <c r="A341" s="8">
        <v>10</v>
      </c>
      <c r="B341" s="106">
        <v>1</v>
      </c>
      <c r="C341" s="115">
        <f t="shared" si="2"/>
        <v>-781</v>
      </c>
      <c r="D341" s="115">
        <f t="shared" si="2"/>
        <v>820.05000000000007</v>
      </c>
      <c r="E341" s="158">
        <v>0.05</v>
      </c>
      <c r="F341" s="108">
        <f>(FV(E342,B342,0,-1)/FV(E341,B341,0,-1)) - 1</f>
        <v>7.009523809523821E-2</v>
      </c>
      <c r="G341" s="108">
        <f>GEOMEAN(F340:F341)</f>
        <v>5.9201029592076473E-2</v>
      </c>
      <c r="H341" s="108">
        <f>E342-G341</f>
        <v>7.9897040792352436E-4</v>
      </c>
    </row>
    <row r="342" spans="1:8" s="102" customFormat="1">
      <c r="A342" s="8">
        <v>10</v>
      </c>
      <c r="B342" s="106">
        <v>2</v>
      </c>
      <c r="C342" s="115">
        <f t="shared" si="2"/>
        <v>-781</v>
      </c>
      <c r="D342" s="115">
        <f t="shared" si="2"/>
        <v>877.53160000000014</v>
      </c>
      <c r="E342" s="158">
        <v>0.06</v>
      </c>
      <c r="F342" s="108">
        <f>(FV(E343,B343,0,-1)/FV(E342,B342,0,-1)) - 1</f>
        <v>9.0283908864364548E-2</v>
      </c>
      <c r="G342" s="108">
        <f>GEOMEAN(F340:F342)</f>
        <v>6.8143268037134178E-2</v>
      </c>
      <c r="H342" s="108">
        <f>E343-G342</f>
        <v>1.8567319628658291E-3</v>
      </c>
    </row>
    <row r="343" spans="1:8" s="102" customFormat="1">
      <c r="A343" s="8">
        <v>10</v>
      </c>
      <c r="B343" s="106">
        <v>3</v>
      </c>
      <c r="C343" s="115">
        <f t="shared" si="2"/>
        <v>-781</v>
      </c>
      <c r="D343" s="115">
        <f t="shared" si="2"/>
        <v>956.75858300000004</v>
      </c>
      <c r="E343" s="158">
        <v>7.0000000000000007E-2</v>
      </c>
      <c r="F343" s="108">
        <f>(FV(E344,B344,0,-1)/FV(E343,B343,0,-1)) - 1</f>
        <v>9.0140624145437886E-2</v>
      </c>
      <c r="G343" s="108">
        <f>GEOMEAN(F340:F343)</f>
        <v>7.3079801414639461E-2</v>
      </c>
      <c r="H343" s="108">
        <f>E344-G343</f>
        <v>1.9201985853605358E-3</v>
      </c>
    </row>
    <row r="344" spans="1:8" s="102" customFormat="1" ht="13.5" thickBot="1">
      <c r="A344" s="8">
        <v>10</v>
      </c>
      <c r="B344" s="107">
        <v>4</v>
      </c>
      <c r="C344" s="116">
        <f t="shared" si="2"/>
        <v>-780.99999999999989</v>
      </c>
      <c r="D344" s="116">
        <f t="shared" si="2"/>
        <v>1043.0013988281248</v>
      </c>
      <c r="E344" s="160">
        <v>7.4999999999999997E-2</v>
      </c>
      <c r="F344" s="160" t="s">
        <v>213</v>
      </c>
      <c r="G344" s="160" t="s">
        <v>213</v>
      </c>
      <c r="H344" s="109" t="s">
        <v>213</v>
      </c>
    </row>
    <row r="345" spans="1:8">
      <c r="A345" s="8">
        <v>10</v>
      </c>
    </row>
    <row r="346" spans="1:8">
      <c r="A346" s="8">
        <v>10</v>
      </c>
      <c r="B346" s="10" t="s">
        <v>478</v>
      </c>
    </row>
    <row r="347" spans="1:8">
      <c r="A347" s="8">
        <v>10</v>
      </c>
      <c r="B347" s="10" t="s">
        <v>479</v>
      </c>
    </row>
    <row r="348" spans="1:8">
      <c r="A348" s="8">
        <v>10</v>
      </c>
      <c r="B348" s="10" t="s">
        <v>480</v>
      </c>
    </row>
    <row r="349" spans="1:8">
      <c r="A349" s="8">
        <v>10</v>
      </c>
      <c r="B349" s="10" t="s">
        <v>481</v>
      </c>
    </row>
    <row r="350" spans="1:8">
      <c r="A350" s="8">
        <v>10</v>
      </c>
      <c r="B350" s="10" t="s">
        <v>486</v>
      </c>
    </row>
    <row r="351" spans="1:8">
      <c r="A351" s="8">
        <v>10</v>
      </c>
      <c r="B351" s="10"/>
    </row>
    <row r="352" spans="1:8">
      <c r="A352" s="8">
        <v>10</v>
      </c>
      <c r="B352" s="10" t="s">
        <v>487</v>
      </c>
    </row>
    <row r="353" spans="1:5">
      <c r="A353" s="8">
        <v>10</v>
      </c>
      <c r="B353" s="10" t="s">
        <v>488</v>
      </c>
    </row>
    <row r="354" spans="1:5">
      <c r="A354" s="8">
        <v>10</v>
      </c>
      <c r="B354" s="10" t="s">
        <v>482</v>
      </c>
    </row>
    <row r="355" spans="1:5">
      <c r="A355" s="8">
        <v>10</v>
      </c>
      <c r="B355" s="10" t="s">
        <v>83</v>
      </c>
    </row>
    <row r="356" spans="1:5">
      <c r="A356" s="8">
        <v>10</v>
      </c>
      <c r="B356" s="10" t="s">
        <v>483</v>
      </c>
    </row>
    <row r="357" spans="1:5">
      <c r="A357" s="8">
        <v>10</v>
      </c>
      <c r="B357" s="10"/>
    </row>
    <row r="358" spans="1:5">
      <c r="A358" s="8">
        <v>10</v>
      </c>
      <c r="B358" s="10" t="s">
        <v>484</v>
      </c>
    </row>
    <row r="359" spans="1:5">
      <c r="A359" s="8">
        <v>10</v>
      </c>
      <c r="B359" s="10" t="s">
        <v>485</v>
      </c>
    </row>
    <row r="360" spans="1:5">
      <c r="A360" s="8">
        <v>10</v>
      </c>
      <c r="B360" s="10" t="s">
        <v>533</v>
      </c>
    </row>
    <row r="361" spans="1:5">
      <c r="A361" s="8">
        <v>10</v>
      </c>
      <c r="B361" s="10"/>
    </row>
    <row r="362" spans="1:5">
      <c r="A362" s="8">
        <v>10</v>
      </c>
      <c r="B362" s="10" t="s">
        <v>489</v>
      </c>
    </row>
    <row r="363" spans="1:5">
      <c r="A363" s="8">
        <v>10</v>
      </c>
      <c r="B363" s="10"/>
    </row>
    <row r="364" spans="1:5" ht="13.5" thickBot="1">
      <c r="A364" s="8">
        <v>10</v>
      </c>
      <c r="B364" s="10"/>
      <c r="C364" s="20" t="s">
        <v>379</v>
      </c>
      <c r="D364" t="s">
        <v>490</v>
      </c>
      <c r="E364" t="s">
        <v>491</v>
      </c>
    </row>
    <row r="365" spans="1:5">
      <c r="A365" s="8">
        <v>10</v>
      </c>
      <c r="B365" s="10"/>
      <c r="C365" s="20">
        <v>0</v>
      </c>
      <c r="D365" s="173">
        <f>E340</f>
        <v>0</v>
      </c>
      <c r="E365" s="159">
        <f>G340</f>
        <v>5.0000000000000051E-2</v>
      </c>
    </row>
    <row r="366" spans="1:5">
      <c r="A366" s="8">
        <v>10</v>
      </c>
      <c r="B366" s="10"/>
      <c r="C366" s="20">
        <v>1</v>
      </c>
      <c r="D366" s="172">
        <f>E341</f>
        <v>0.05</v>
      </c>
      <c r="E366" s="158">
        <f>G341</f>
        <v>5.9201029592076473E-2</v>
      </c>
    </row>
    <row r="367" spans="1:5">
      <c r="A367" s="8">
        <v>10</v>
      </c>
      <c r="B367" s="10"/>
      <c r="C367" s="20">
        <v>2</v>
      </c>
      <c r="D367" s="172">
        <f>E342</f>
        <v>0.06</v>
      </c>
      <c r="E367" s="158">
        <f>G342</f>
        <v>6.8143268037134178E-2</v>
      </c>
    </row>
    <row r="368" spans="1:5">
      <c r="A368" s="8">
        <v>10</v>
      </c>
      <c r="B368" s="10"/>
      <c r="C368" s="20">
        <v>3</v>
      </c>
      <c r="D368" s="172">
        <f>E343</f>
        <v>7.0000000000000007E-2</v>
      </c>
      <c r="E368" s="158">
        <f>G343</f>
        <v>7.3079801414639461E-2</v>
      </c>
    </row>
    <row r="369" spans="1:5" ht="13.5" thickBot="1">
      <c r="A369" s="8">
        <v>10</v>
      </c>
      <c r="B369" s="10"/>
      <c r="D369" s="174">
        <f>E344</f>
        <v>7.4999999999999997E-2</v>
      </c>
      <c r="E369" s="160" t="str">
        <f>G344</f>
        <v xml:space="preserve"> </v>
      </c>
    </row>
    <row r="370" spans="1:5">
      <c r="A370" s="8">
        <v>10</v>
      </c>
      <c r="B370" s="10"/>
    </row>
    <row r="371" spans="1:5">
      <c r="A371" s="8">
        <v>10</v>
      </c>
      <c r="B371" s="10"/>
    </row>
    <row r="372" spans="1:5">
      <c r="A372" s="8">
        <v>10</v>
      </c>
      <c r="B372" s="10"/>
    </row>
    <row r="373" spans="1:5">
      <c r="A373" s="8">
        <v>10</v>
      </c>
      <c r="B373" s="10"/>
    </row>
    <row r="374" spans="1:5">
      <c r="A374" s="8">
        <v>10</v>
      </c>
      <c r="B374" s="10"/>
    </row>
    <row r="375" spans="1:5">
      <c r="A375" s="8">
        <v>10</v>
      </c>
    </row>
    <row r="376" spans="1:5">
      <c r="A376" s="8">
        <v>10</v>
      </c>
    </row>
    <row r="377" spans="1:5">
      <c r="A377" s="8">
        <v>10</v>
      </c>
    </row>
    <row r="378" spans="1:5">
      <c r="A378" s="8">
        <v>10</v>
      </c>
    </row>
    <row r="379" spans="1:5">
      <c r="A379" s="8">
        <v>10</v>
      </c>
    </row>
    <row r="380" spans="1:5">
      <c r="A380" s="8">
        <v>10</v>
      </c>
    </row>
    <row r="381" spans="1:5">
      <c r="A381" s="8">
        <v>10</v>
      </c>
    </row>
    <row r="382" spans="1:5">
      <c r="A382" s="8">
        <v>10</v>
      </c>
    </row>
    <row r="383" spans="1:5">
      <c r="A383" s="8">
        <v>10</v>
      </c>
    </row>
    <row r="384" spans="1:5">
      <c r="A384" s="8">
        <v>10</v>
      </c>
    </row>
    <row r="385" spans="1:7">
      <c r="A385" s="8">
        <v>11</v>
      </c>
      <c r="B385" s="10"/>
    </row>
    <row r="386" spans="1:7">
      <c r="A386" s="6">
        <v>11</v>
      </c>
      <c r="B386" s="7" t="s">
        <v>180</v>
      </c>
      <c r="C386" s="55"/>
    </row>
    <row r="387" spans="1:7">
      <c r="A387" s="8">
        <v>11</v>
      </c>
      <c r="B387" s="9" t="s">
        <v>515</v>
      </c>
    </row>
    <row r="388" spans="1:7">
      <c r="A388" s="8">
        <v>11</v>
      </c>
      <c r="B388" s="9" t="s">
        <v>529</v>
      </c>
    </row>
    <row r="389" spans="1:7" ht="13.5" thickBot="1">
      <c r="A389" s="8"/>
      <c r="B389" s="9"/>
    </row>
    <row r="390" spans="1:7" ht="13.5" thickBot="1">
      <c r="A390" s="8">
        <v>11</v>
      </c>
      <c r="B390" s="184" t="s">
        <v>496</v>
      </c>
      <c r="C390" s="185"/>
      <c r="D390" s="186" t="s">
        <v>497</v>
      </c>
      <c r="E390" s="187"/>
      <c r="F390" s="188" t="s">
        <v>498</v>
      </c>
      <c r="G390" s="189"/>
    </row>
    <row r="391" spans="1:7" ht="26.25">
      <c r="A391" s="8">
        <v>11</v>
      </c>
      <c r="B391" s="175" t="s">
        <v>437</v>
      </c>
      <c r="C391" s="190">
        <f>G260</f>
        <v>0.05</v>
      </c>
      <c r="D391" s="178" t="s">
        <v>514</v>
      </c>
      <c r="E391" s="193">
        <f>C391</f>
        <v>0.05</v>
      </c>
      <c r="F391" s="181" t="s">
        <v>514</v>
      </c>
      <c r="G391" s="196">
        <f>C391</f>
        <v>0.05</v>
      </c>
    </row>
    <row r="392" spans="1:7" ht="26.25">
      <c r="A392" s="8">
        <v>11</v>
      </c>
      <c r="B392" s="176" t="s">
        <v>438</v>
      </c>
      <c r="C392" s="191">
        <f>G261</f>
        <v>7.009523809523821E-2</v>
      </c>
      <c r="D392" s="179" t="s">
        <v>511</v>
      </c>
      <c r="E392" s="194">
        <f>(C330*C261)/(C329*C260) - 1</f>
        <v>1.9138321995464835E-2</v>
      </c>
      <c r="F392" s="182" t="s">
        <v>511</v>
      </c>
      <c r="G392" s="197">
        <f>(C341*C261)/(C340*C260) - 1</f>
        <v>7.009523809523821E-2</v>
      </c>
    </row>
    <row r="393" spans="1:7" ht="26.25">
      <c r="A393" s="8">
        <v>11</v>
      </c>
      <c r="B393" s="176" t="s">
        <v>436</v>
      </c>
      <c r="C393" s="191">
        <f>G262</f>
        <v>9.0283908864364548E-2</v>
      </c>
      <c r="D393" s="179" t="s">
        <v>512</v>
      </c>
      <c r="E393" s="194">
        <f>(C331*C262)/(C330*C261) - 1</f>
        <v>1.886623736879911E-2</v>
      </c>
      <c r="F393" s="182" t="s">
        <v>512</v>
      </c>
      <c r="G393" s="197">
        <f>(C342*C262)/(C341*C261) - 1</f>
        <v>9.0283908864364326E-2</v>
      </c>
    </row>
    <row r="394" spans="1:7" ht="27" thickBot="1">
      <c r="A394" s="8">
        <v>11</v>
      </c>
      <c r="B394" s="177" t="s">
        <v>439</v>
      </c>
      <c r="C394" s="192">
        <f>G263</f>
        <v>9.0140624145437886E-2</v>
      </c>
      <c r="D394" s="180" t="s">
        <v>513</v>
      </c>
      <c r="E394" s="195">
        <f>(C332*C263)/(C331*C262) - 1</f>
        <v>-1.3141964011531559E-4</v>
      </c>
      <c r="F394" s="183" t="s">
        <v>513</v>
      </c>
      <c r="G394" s="198">
        <f>(C343*C263)/(C342*C262) - 1</f>
        <v>9.0140624145437886E-2</v>
      </c>
    </row>
    <row r="395" spans="1:7">
      <c r="A395" s="8">
        <v>11</v>
      </c>
      <c r="B395" s="10" t="s">
        <v>213</v>
      </c>
    </row>
    <row r="396" spans="1:7">
      <c r="A396" s="8">
        <v>11</v>
      </c>
      <c r="B396" s="10" t="s">
        <v>457</v>
      </c>
    </row>
    <row r="397" spans="1:7">
      <c r="A397" s="8">
        <v>11</v>
      </c>
      <c r="B397" s="10" t="s">
        <v>530</v>
      </c>
      <c r="C397" s="57"/>
    </row>
    <row r="398" spans="1:7">
      <c r="A398" s="8">
        <v>11</v>
      </c>
      <c r="B398" s="10" t="s">
        <v>507</v>
      </c>
      <c r="C398" s="57"/>
    </row>
    <row r="399" spans="1:7">
      <c r="A399" s="8">
        <v>11</v>
      </c>
      <c r="B399" s="10" t="s">
        <v>499</v>
      </c>
      <c r="C399" s="57"/>
    </row>
    <row r="400" spans="1:7">
      <c r="A400" s="8">
        <v>11</v>
      </c>
      <c r="B400" s="10" t="s">
        <v>84</v>
      </c>
      <c r="C400" s="57"/>
    </row>
    <row r="401" spans="1:6">
      <c r="A401" s="8">
        <v>11</v>
      </c>
      <c r="B401" s="10" t="s">
        <v>503</v>
      </c>
    </row>
    <row r="402" spans="1:6">
      <c r="A402" s="8">
        <v>11</v>
      </c>
      <c r="B402" s="10"/>
    </row>
    <row r="403" spans="1:6" ht="23.25">
      <c r="A403" s="8">
        <v>11</v>
      </c>
      <c r="B403" s="38" t="s">
        <v>501</v>
      </c>
      <c r="C403" s="199">
        <f>-C343*(1+E343)^B343</f>
        <v>956.75858300000004</v>
      </c>
      <c r="D403" s="200" t="s">
        <v>508</v>
      </c>
      <c r="F403" t="s">
        <v>505</v>
      </c>
    </row>
    <row r="404" spans="1:6" ht="26.25">
      <c r="A404" s="8">
        <v>11</v>
      </c>
      <c r="B404" s="38" t="s">
        <v>501</v>
      </c>
      <c r="C404" s="199">
        <f>D343*(1+F343)</f>
        <v>1043.0013988281248</v>
      </c>
      <c r="D404" s="200" t="s">
        <v>509</v>
      </c>
      <c r="F404" t="s">
        <v>506</v>
      </c>
    </row>
    <row r="405" spans="1:6" ht="23.25">
      <c r="A405" s="8">
        <v>11</v>
      </c>
      <c r="B405" s="38" t="s">
        <v>501</v>
      </c>
      <c r="C405" s="199">
        <f>-C344*(1+E344)^B344</f>
        <v>1043.0013988281248</v>
      </c>
      <c r="D405" s="200" t="s">
        <v>504</v>
      </c>
      <c r="F405" t="s">
        <v>502</v>
      </c>
    </row>
    <row r="406" spans="1:6">
      <c r="A406" s="8">
        <v>11</v>
      </c>
      <c r="B406" s="10"/>
    </row>
    <row r="407" spans="1:6">
      <c r="A407" s="8">
        <v>11</v>
      </c>
      <c r="B407" s="10" t="s">
        <v>516</v>
      </c>
    </row>
    <row r="408" spans="1:6">
      <c r="A408" s="8">
        <v>11</v>
      </c>
      <c r="B408" s="10"/>
    </row>
    <row r="409" spans="1:6" ht="23.25">
      <c r="A409" s="8">
        <v>11</v>
      </c>
      <c r="B409" s="38" t="s">
        <v>500</v>
      </c>
      <c r="C409" s="199">
        <f>-C332*(1+E332)^B332</f>
        <v>1000</v>
      </c>
      <c r="D409" s="200" t="s">
        <v>508</v>
      </c>
      <c r="F409" t="s">
        <v>505</v>
      </c>
    </row>
    <row r="410" spans="1:6" ht="26.25">
      <c r="A410" s="8">
        <v>11</v>
      </c>
      <c r="B410" s="38" t="s">
        <v>500</v>
      </c>
      <c r="C410" s="199">
        <f>D332*(1+F332)</f>
        <v>1090.1406241454379</v>
      </c>
      <c r="D410" s="200" t="s">
        <v>509</v>
      </c>
      <c r="F410" t="s">
        <v>506</v>
      </c>
    </row>
    <row r="411" spans="1:6" ht="23.25">
      <c r="A411" s="8">
        <v>11</v>
      </c>
      <c r="B411" s="38" t="s">
        <v>500</v>
      </c>
      <c r="C411" s="199">
        <f>-C332*(1+E332)^B332</f>
        <v>1000</v>
      </c>
      <c r="D411" s="200" t="s">
        <v>510</v>
      </c>
      <c r="F411" t="s">
        <v>502</v>
      </c>
    </row>
    <row r="412" spans="1:6">
      <c r="A412" s="8">
        <v>11</v>
      </c>
      <c r="B412" s="10"/>
    </row>
    <row r="413" spans="1:6">
      <c r="A413" s="8">
        <v>11</v>
      </c>
      <c r="B413" s="10" t="s">
        <v>517</v>
      </c>
    </row>
    <row r="414" spans="1:6">
      <c r="A414" s="8">
        <v>11</v>
      </c>
      <c r="B414" s="10"/>
    </row>
    <row r="415" spans="1:6" ht="23.25">
      <c r="A415" s="8">
        <v>11</v>
      </c>
      <c r="B415" s="38" t="s">
        <v>500</v>
      </c>
      <c r="C415" s="199">
        <f>-C332*(1+E332)^B332</f>
        <v>1000</v>
      </c>
      <c r="D415" s="200" t="s">
        <v>508</v>
      </c>
      <c r="F415" t="s">
        <v>505</v>
      </c>
    </row>
    <row r="416" spans="1:6" ht="26.25">
      <c r="A416" s="8">
        <v>11</v>
      </c>
      <c r="B416" s="38" t="s">
        <v>500</v>
      </c>
      <c r="C416" s="199">
        <f>D332*(1+E394)</f>
        <v>999.86858035988473</v>
      </c>
      <c r="D416" s="200" t="s">
        <v>531</v>
      </c>
      <c r="F416" t="s">
        <v>506</v>
      </c>
    </row>
    <row r="417" spans="1:6" ht="23.25">
      <c r="A417" s="8">
        <v>11</v>
      </c>
      <c r="B417" s="38" t="s">
        <v>500</v>
      </c>
      <c r="C417" s="199">
        <f>-C332*(1+E332)^B332</f>
        <v>1000</v>
      </c>
      <c r="D417" s="200" t="s">
        <v>510</v>
      </c>
      <c r="F417" t="s">
        <v>502</v>
      </c>
    </row>
    <row r="418" spans="1:6">
      <c r="A418" s="8">
        <v>11</v>
      </c>
      <c r="B418" s="10"/>
    </row>
    <row r="419" spans="1:6">
      <c r="A419" s="8">
        <v>11</v>
      </c>
      <c r="B419" s="10" t="s">
        <v>518</v>
      </c>
    </row>
    <row r="420" spans="1:6">
      <c r="A420" s="8">
        <v>11</v>
      </c>
      <c r="B420" s="10" t="s">
        <v>523</v>
      </c>
    </row>
    <row r="421" spans="1:6">
      <c r="A421" s="8">
        <v>11</v>
      </c>
      <c r="B421" s="10" t="s">
        <v>519</v>
      </c>
    </row>
    <row r="422" spans="1:6">
      <c r="A422" s="8">
        <v>11</v>
      </c>
      <c r="B422" s="10"/>
    </row>
    <row r="423" spans="1:6">
      <c r="A423" s="8">
        <v>11</v>
      </c>
      <c r="B423" s="10" t="s">
        <v>528</v>
      </c>
    </row>
    <row r="424" spans="1:6">
      <c r="A424" s="8">
        <v>11</v>
      </c>
      <c r="B424" s="10" t="s">
        <v>521</v>
      </c>
    </row>
    <row r="425" spans="1:6">
      <c r="A425" s="8">
        <v>11</v>
      </c>
      <c r="B425" s="10" t="s">
        <v>522</v>
      </c>
    </row>
    <row r="426" spans="1:6">
      <c r="A426" s="8">
        <v>11</v>
      </c>
      <c r="B426" s="10" t="s">
        <v>520</v>
      </c>
    </row>
    <row r="427" spans="1:6">
      <c r="A427" s="8">
        <v>11</v>
      </c>
    </row>
    <row r="428" spans="1:6">
      <c r="A428" s="8">
        <v>11</v>
      </c>
      <c r="B428" s="10" t="s">
        <v>524</v>
      </c>
    </row>
    <row r="429" spans="1:6">
      <c r="A429" s="8">
        <v>11</v>
      </c>
      <c r="B429" s="10" t="s">
        <v>525</v>
      </c>
    </row>
    <row r="430" spans="1:6">
      <c r="A430" s="8">
        <v>11</v>
      </c>
      <c r="B430" s="10"/>
    </row>
    <row r="431" spans="1:6">
      <c r="A431" s="8">
        <v>11</v>
      </c>
      <c r="B431" s="10" t="s">
        <v>526</v>
      </c>
    </row>
    <row r="432" spans="1:6">
      <c r="A432" s="8">
        <v>11</v>
      </c>
      <c r="B432" s="10" t="s">
        <v>527</v>
      </c>
    </row>
    <row r="433" spans="1:10">
      <c r="A433" s="8">
        <v>11</v>
      </c>
      <c r="B433" s="10"/>
    </row>
    <row r="435" spans="1:10">
      <c r="A435" s="2"/>
      <c r="B435" s="3"/>
      <c r="C435" s="4"/>
      <c r="D435" s="5"/>
      <c r="E435" s="5"/>
      <c r="F435" s="60"/>
      <c r="G435" s="59"/>
      <c r="I435" s="59"/>
      <c r="J435" s="59"/>
    </row>
    <row r="436" spans="1:10">
      <c r="A436" s="2"/>
      <c r="B436" s="3"/>
      <c r="C436" s="4"/>
      <c r="D436" s="5"/>
      <c r="E436" s="5"/>
      <c r="F436" s="60"/>
      <c r="G436" s="59"/>
      <c r="I436" s="59"/>
      <c r="J436" s="59"/>
    </row>
    <row r="437" spans="1:10">
      <c r="A437" s="2"/>
      <c r="B437" s="3"/>
      <c r="C437" s="4"/>
      <c r="D437" s="5"/>
      <c r="E437" s="5"/>
      <c r="F437" s="60"/>
      <c r="G437" s="59"/>
      <c r="I437" s="59"/>
      <c r="J437" s="59"/>
    </row>
    <row r="438" spans="1:10">
      <c r="A438" s="2"/>
      <c r="B438" s="3"/>
      <c r="C438" s="4"/>
      <c r="D438" s="5"/>
      <c r="E438" s="5"/>
      <c r="F438" s="60"/>
      <c r="G438" s="59"/>
      <c r="I438" s="59"/>
      <c r="J438" s="59"/>
    </row>
    <row r="439" spans="1:10">
      <c r="A439" s="2"/>
      <c r="B439" s="3"/>
      <c r="C439" s="4"/>
      <c r="D439" s="5"/>
      <c r="E439" s="5"/>
      <c r="F439" s="60"/>
      <c r="G439" s="59"/>
      <c r="I439" s="59"/>
      <c r="J439" s="59"/>
    </row>
    <row r="440" spans="1:10">
      <c r="A440" s="2"/>
      <c r="B440" s="3"/>
      <c r="C440" s="4"/>
      <c r="D440" s="5"/>
      <c r="E440" s="5"/>
      <c r="F440" s="60"/>
      <c r="G440" s="59"/>
      <c r="I440" s="59"/>
      <c r="J440" s="59"/>
    </row>
    <row r="441" spans="1:10">
      <c r="A441" s="2"/>
      <c r="B441" s="3"/>
      <c r="C441" s="4"/>
      <c r="D441" s="5"/>
      <c r="E441" s="5"/>
      <c r="F441" s="60"/>
      <c r="G441" s="59"/>
      <c r="I441" s="59"/>
      <c r="J441" s="59"/>
    </row>
    <row r="442" spans="1:10">
      <c r="A442" s="2"/>
      <c r="B442" s="3"/>
      <c r="C442" s="4"/>
      <c r="D442" s="5"/>
      <c r="E442" s="5"/>
      <c r="F442" s="60"/>
      <c r="G442" s="59"/>
      <c r="I442" s="59"/>
      <c r="J442" s="59"/>
    </row>
    <row r="443" spans="1:10">
      <c r="A443" s="2"/>
      <c r="B443" s="3"/>
      <c r="C443" s="4"/>
      <c r="D443" s="5"/>
      <c r="E443" s="5"/>
      <c r="F443" s="60"/>
      <c r="G443" s="59"/>
      <c r="I443" s="59"/>
      <c r="J443" s="59"/>
    </row>
    <row r="444" spans="1:10">
      <c r="A444" s="2"/>
      <c r="B444" s="3"/>
      <c r="C444" s="4"/>
      <c r="D444" s="5"/>
      <c r="E444" s="5"/>
      <c r="F444" s="60"/>
      <c r="G444" s="59"/>
      <c r="I444" s="59"/>
      <c r="J444" s="59"/>
    </row>
    <row r="445" spans="1:10">
      <c r="A445" s="2"/>
      <c r="B445" s="3"/>
      <c r="C445" s="4"/>
      <c r="D445" s="5"/>
      <c r="E445" s="5"/>
      <c r="F445" s="60"/>
      <c r="G445" s="59"/>
      <c r="I445" s="59"/>
      <c r="J445" s="59"/>
    </row>
    <row r="446" spans="1:10">
      <c r="A446" s="2"/>
      <c r="B446" s="3"/>
      <c r="C446" s="4"/>
      <c r="D446" s="5"/>
      <c r="E446" s="5"/>
      <c r="F446" s="60"/>
      <c r="G446" s="59"/>
      <c r="I446" s="59"/>
      <c r="J446" s="59"/>
    </row>
  </sheetData>
  <pageMargins left="0.75" right="0.75" top="1" bottom="1" header="0.5" footer="0.5"/>
  <pageSetup orientation="portrait" horizontalDpi="200" verticalDpi="200" copies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M299"/>
  <sheetViews>
    <sheetView workbookViewId="0"/>
  </sheetViews>
  <sheetFormatPr defaultRowHeight="12.75"/>
  <cols>
    <col min="3" max="3" width="12.5703125" bestFit="1" customWidth="1"/>
    <col min="5" max="5" width="11" bestFit="1" customWidth="1"/>
    <col min="8" max="9" width="10.140625" customWidth="1"/>
  </cols>
  <sheetData>
    <row r="1" spans="1:14">
      <c r="A1" s="1" t="s">
        <v>178</v>
      </c>
      <c r="B1" s="202"/>
    </row>
    <row r="2" spans="1:14">
      <c r="A2" s="202" t="s">
        <v>23</v>
      </c>
      <c r="B2" s="202"/>
    </row>
    <row r="3" spans="1:14">
      <c r="A3" s="10" t="s">
        <v>534</v>
      </c>
      <c r="B3" s="202"/>
      <c r="H3" s="9"/>
      <c r="I3" s="9"/>
      <c r="J3" s="201"/>
    </row>
    <row r="4" spans="1:14">
      <c r="A4" s="202"/>
      <c r="B4" s="264" t="s">
        <v>558</v>
      </c>
      <c r="I4" s="9"/>
      <c r="J4" s="201"/>
    </row>
    <row r="5" spans="1:14">
      <c r="A5" s="202"/>
      <c r="B5" s="202"/>
    </row>
    <row r="6" spans="1:14">
      <c r="A6" s="202" t="s">
        <v>559</v>
      </c>
      <c r="B6" s="265"/>
      <c r="H6" s="9"/>
      <c r="I6" s="9"/>
      <c r="J6" s="266"/>
      <c r="L6" s="9"/>
      <c r="M6" s="9"/>
      <c r="N6" s="266"/>
    </row>
    <row r="7" spans="1:14">
      <c r="A7" s="202" t="s">
        <v>560</v>
      </c>
      <c r="B7" s="265"/>
      <c r="H7" s="9"/>
      <c r="I7" s="9"/>
      <c r="J7" s="266"/>
      <c r="L7" s="9"/>
      <c r="M7" s="9"/>
      <c r="N7" s="266"/>
    </row>
    <row r="8" spans="1:14">
      <c r="A8" s="202" t="s">
        <v>561</v>
      </c>
      <c r="B8" s="265"/>
      <c r="H8" s="9"/>
      <c r="I8" s="9"/>
      <c r="J8" s="266"/>
      <c r="L8" s="9"/>
      <c r="M8" s="9"/>
      <c r="N8" s="266"/>
    </row>
    <row r="9" spans="1:14">
      <c r="A9" s="202" t="s">
        <v>562</v>
      </c>
      <c r="B9" s="265"/>
      <c r="H9" s="9"/>
      <c r="I9" s="9"/>
      <c r="J9" s="266"/>
      <c r="L9" s="9"/>
      <c r="M9" s="9"/>
      <c r="N9" s="266"/>
    </row>
    <row r="10" spans="1:14">
      <c r="A10" s="202"/>
      <c r="B10" s="265" t="s">
        <v>563</v>
      </c>
      <c r="H10" s="9"/>
      <c r="I10" s="9"/>
      <c r="J10" s="266"/>
      <c r="L10" s="9"/>
      <c r="M10" s="9"/>
      <c r="N10" s="266"/>
    </row>
    <row r="11" spans="1:14">
      <c r="A11" s="202"/>
      <c r="B11" s="265"/>
      <c r="H11" s="9"/>
      <c r="I11" s="9"/>
      <c r="J11" s="266"/>
      <c r="L11" s="9"/>
      <c r="M11" s="9"/>
      <c r="N11" s="266"/>
    </row>
    <row r="12" spans="1:14">
      <c r="A12" s="2"/>
      <c r="B12" s="3"/>
      <c r="C12" s="4"/>
      <c r="D12" s="5"/>
      <c r="E12" s="5"/>
      <c r="F12" s="60"/>
      <c r="G12" s="59"/>
      <c r="I12" s="59"/>
      <c r="J12" s="59"/>
    </row>
    <row r="13" spans="1:14">
      <c r="A13" s="2"/>
      <c r="B13" s="3"/>
      <c r="C13" s="4"/>
      <c r="D13" s="5"/>
      <c r="E13" s="5"/>
      <c r="F13" s="60"/>
      <c r="G13" s="59"/>
      <c r="I13" s="59"/>
      <c r="J13" s="59"/>
    </row>
    <row r="14" spans="1:14">
      <c r="A14" s="2"/>
      <c r="B14" s="3"/>
      <c r="C14" s="4"/>
      <c r="D14" s="5"/>
      <c r="E14" s="5"/>
      <c r="F14" s="60"/>
      <c r="G14" s="59"/>
      <c r="I14" s="59"/>
      <c r="J14" s="59"/>
    </row>
    <row r="15" spans="1:14">
      <c r="A15" s="2"/>
      <c r="B15" s="3"/>
      <c r="C15" s="4"/>
      <c r="D15" s="5"/>
      <c r="E15" s="5"/>
      <c r="F15" s="60"/>
      <c r="G15" s="59"/>
      <c r="I15" s="59"/>
      <c r="J15" s="59"/>
    </row>
    <row r="16" spans="1:14">
      <c r="A16" s="2"/>
      <c r="B16" s="3"/>
      <c r="C16" s="4"/>
      <c r="D16" s="5"/>
      <c r="E16" s="5"/>
      <c r="F16" s="60"/>
      <c r="G16" s="59"/>
      <c r="I16" s="59"/>
      <c r="J16" s="59"/>
    </row>
    <row r="17" spans="1:39">
      <c r="A17" s="2"/>
      <c r="B17" s="3"/>
      <c r="C17" s="4"/>
      <c r="D17" s="5"/>
      <c r="E17" s="5"/>
      <c r="F17" s="60"/>
      <c r="G17" s="59"/>
      <c r="I17" s="59"/>
      <c r="J17" s="59"/>
    </row>
    <row r="18" spans="1:39">
      <c r="A18" s="2"/>
      <c r="B18" s="3"/>
      <c r="C18" s="4"/>
      <c r="D18" s="5"/>
      <c r="E18" s="5"/>
      <c r="F18" s="60"/>
      <c r="G18" s="59"/>
      <c r="I18" s="59"/>
      <c r="J18" s="59"/>
    </row>
    <row r="19" spans="1:39">
      <c r="A19" s="2"/>
      <c r="B19" s="3"/>
      <c r="C19" s="4"/>
      <c r="D19" s="5"/>
      <c r="E19" s="5"/>
      <c r="F19" s="60"/>
      <c r="G19" s="59"/>
      <c r="I19" s="59"/>
      <c r="J19" s="59"/>
    </row>
    <row r="20" spans="1:39">
      <c r="A20" s="2"/>
      <c r="B20" s="3"/>
      <c r="C20" s="4"/>
      <c r="D20" s="5"/>
      <c r="E20" s="5"/>
      <c r="F20" s="60"/>
      <c r="G20" s="59"/>
      <c r="I20" s="59"/>
      <c r="J20" s="59"/>
    </row>
    <row r="21" spans="1:39">
      <c r="A21" s="2"/>
      <c r="B21" s="3"/>
      <c r="C21" s="4"/>
      <c r="D21" s="5"/>
      <c r="E21" s="5"/>
      <c r="F21" s="60"/>
      <c r="G21" s="59"/>
      <c r="I21" s="59"/>
      <c r="J21" s="59"/>
    </row>
    <row r="22" spans="1:39">
      <c r="A22" s="2"/>
      <c r="B22" s="3"/>
      <c r="C22" s="4"/>
      <c r="D22" s="5"/>
      <c r="E22" s="5"/>
      <c r="F22" s="60"/>
      <c r="G22" s="59"/>
      <c r="I22" s="59"/>
      <c r="J22" s="59"/>
    </row>
    <row r="23" spans="1:39">
      <c r="A23" s="2"/>
      <c r="B23" s="3"/>
      <c r="C23" s="4"/>
      <c r="D23" s="5"/>
      <c r="E23" s="5"/>
      <c r="F23" s="60"/>
      <c r="G23" s="59"/>
      <c r="I23" s="59"/>
      <c r="J23" s="59"/>
    </row>
    <row r="24" spans="1:39">
      <c r="A24" s="202"/>
      <c r="H24" s="9"/>
      <c r="I24" s="9"/>
      <c r="J24" s="266"/>
      <c r="L24" s="9"/>
      <c r="M24" s="9"/>
      <c r="N24" s="266"/>
    </row>
    <row r="25" spans="1:39" s="102" customFormat="1">
      <c r="A25" s="8" t="s">
        <v>564</v>
      </c>
      <c r="B25" s="267" t="s">
        <v>565</v>
      </c>
    </row>
    <row r="26" spans="1:39" s="102" customFormat="1">
      <c r="A26" s="439" t="s">
        <v>144</v>
      </c>
      <c r="B26" s="267"/>
    </row>
    <row r="27" spans="1:39" s="102" customFormat="1">
      <c r="A27" s="268" t="s">
        <v>566</v>
      </c>
      <c r="B27" s="267"/>
    </row>
    <row r="28" spans="1:39" s="102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>
      <c r="A29" s="269" t="s">
        <v>76</v>
      </c>
    </row>
    <row r="30" spans="1:39">
      <c r="A30" s="269" t="s">
        <v>567</v>
      </c>
    </row>
    <row r="31" spans="1:39">
      <c r="A31" s="269" t="s">
        <v>568</v>
      </c>
    </row>
    <row r="32" spans="1:39">
      <c r="A32" s="269" t="s">
        <v>569</v>
      </c>
    </row>
    <row r="33" spans="1:10">
      <c r="A33" s="269" t="s">
        <v>570</v>
      </c>
    </row>
    <row r="35" spans="1:10">
      <c r="A35" s="203" t="s">
        <v>535</v>
      </c>
      <c r="H35" s="9"/>
      <c r="I35" s="9"/>
      <c r="J35" s="201"/>
    </row>
    <row r="36" spans="1:10">
      <c r="A36" s="204"/>
      <c r="B36" s="205" t="s">
        <v>536</v>
      </c>
      <c r="C36" s="205" t="s">
        <v>537</v>
      </c>
      <c r="H36" s="9"/>
      <c r="I36" s="9"/>
      <c r="J36" s="201"/>
    </row>
    <row r="37" spans="1:10">
      <c r="A37" s="206"/>
      <c r="B37" s="207" t="s">
        <v>538</v>
      </c>
      <c r="C37" s="207" t="s">
        <v>539</v>
      </c>
      <c r="H37" s="9"/>
      <c r="I37" s="9"/>
      <c r="J37" s="201"/>
    </row>
    <row r="38" spans="1:10">
      <c r="A38" s="208"/>
      <c r="B38" s="207" t="s">
        <v>354</v>
      </c>
      <c r="C38" s="207" t="s">
        <v>540</v>
      </c>
      <c r="E38" s="209"/>
      <c r="F38" s="210" t="s">
        <v>536</v>
      </c>
      <c r="G38" s="210" t="s">
        <v>541</v>
      </c>
      <c r="H38" s="210" t="s">
        <v>542</v>
      </c>
      <c r="I38" s="9"/>
      <c r="J38" s="201"/>
    </row>
    <row r="39" spans="1:10">
      <c r="A39" s="208"/>
      <c r="B39" s="207" t="s">
        <v>537</v>
      </c>
      <c r="C39" s="207" t="s">
        <v>344</v>
      </c>
      <c r="E39" s="208"/>
      <c r="F39" s="211" t="s">
        <v>538</v>
      </c>
      <c r="G39" s="211" t="s">
        <v>543</v>
      </c>
      <c r="H39" s="211" t="s">
        <v>344</v>
      </c>
      <c r="I39" s="9"/>
      <c r="J39" s="201"/>
    </row>
    <row r="40" spans="1:10">
      <c r="A40" s="212" t="s">
        <v>544</v>
      </c>
      <c r="B40" s="212" t="s">
        <v>339</v>
      </c>
      <c r="C40" s="212" t="s">
        <v>545</v>
      </c>
      <c r="E40" s="212" t="s">
        <v>544</v>
      </c>
      <c r="F40" s="212" t="s">
        <v>339</v>
      </c>
      <c r="G40" s="212" t="s">
        <v>546</v>
      </c>
      <c r="H40" s="212" t="s">
        <v>547</v>
      </c>
      <c r="I40" s="9"/>
      <c r="J40" s="201"/>
    </row>
    <row r="41" spans="1:10">
      <c r="A41" s="213">
        <v>0</v>
      </c>
      <c r="B41" s="214">
        <v>6.4100000000000004E-2</v>
      </c>
      <c r="C41" s="215">
        <v>1</v>
      </c>
      <c r="E41" s="213" t="s">
        <v>548</v>
      </c>
      <c r="F41" s="216">
        <f>B41/4</f>
        <v>1.6025000000000001E-2</v>
      </c>
      <c r="G41" s="217">
        <v>1000000</v>
      </c>
      <c r="H41" s="218">
        <f>G41*C41</f>
        <v>1000000</v>
      </c>
      <c r="I41" s="9"/>
      <c r="J41" s="201"/>
    </row>
    <row r="42" spans="1:10">
      <c r="A42" s="219">
        <v>1</v>
      </c>
      <c r="B42" s="220">
        <v>6.4100000000000004E-2</v>
      </c>
      <c r="C42" s="221">
        <v>0.99885100000000004</v>
      </c>
      <c r="E42" s="219" t="s">
        <v>549</v>
      </c>
      <c r="F42" s="222">
        <f t="shared" ref="F42:F49" si="0">B42/4</f>
        <v>1.6025000000000001E-2</v>
      </c>
      <c r="G42" s="223">
        <v>1000000</v>
      </c>
      <c r="H42" s="224">
        <f t="shared" ref="H42:H49" si="1">G42*C42</f>
        <v>998851</v>
      </c>
      <c r="I42" s="9"/>
      <c r="J42" s="201"/>
    </row>
    <row r="43" spans="1:10">
      <c r="A43" s="225">
        <v>2</v>
      </c>
      <c r="B43" s="226">
        <v>6.4799999999999996E-2</v>
      </c>
      <c r="C43" s="227">
        <v>1</v>
      </c>
      <c r="E43" s="225" t="s">
        <v>550</v>
      </c>
      <c r="F43" s="228">
        <f t="shared" si="0"/>
        <v>1.6199999999999999E-2</v>
      </c>
      <c r="G43" s="229">
        <v>1000000</v>
      </c>
      <c r="H43" s="230">
        <f t="shared" si="1"/>
        <v>1000000</v>
      </c>
      <c r="I43" s="9"/>
      <c r="J43" s="201"/>
    </row>
    <row r="44" spans="1:10">
      <c r="A44" s="231">
        <v>3</v>
      </c>
      <c r="B44" s="232">
        <v>6.4100000000000004E-2</v>
      </c>
      <c r="C44" s="233">
        <v>1.001074</v>
      </c>
      <c r="E44" s="231" t="s">
        <v>16</v>
      </c>
      <c r="F44" s="234">
        <f t="shared" si="0"/>
        <v>1.6025000000000001E-2</v>
      </c>
      <c r="G44" s="235">
        <v>1000000</v>
      </c>
      <c r="H44" s="236">
        <f t="shared" si="1"/>
        <v>1001074</v>
      </c>
      <c r="I44" s="237"/>
      <c r="J44" s="238"/>
    </row>
    <row r="45" spans="1:10">
      <c r="A45" s="239">
        <v>4</v>
      </c>
      <c r="B45" s="240">
        <v>6.3200000000000006E-2</v>
      </c>
      <c r="C45" s="241">
        <v>0.988645</v>
      </c>
      <c r="E45" s="239" t="s">
        <v>551</v>
      </c>
      <c r="F45" s="242">
        <f t="shared" si="0"/>
        <v>1.5800000000000002E-2</v>
      </c>
      <c r="G45" s="243">
        <v>1000000</v>
      </c>
      <c r="H45" s="244">
        <f t="shared" si="1"/>
        <v>988645</v>
      </c>
      <c r="I45" s="237"/>
      <c r="J45" s="238"/>
    </row>
    <row r="46" spans="1:10">
      <c r="A46" s="245">
        <v>5</v>
      </c>
      <c r="B46" s="246">
        <v>7.5999999999999998E-2</v>
      </c>
      <c r="C46" s="247">
        <v>0.99061500000000002</v>
      </c>
      <c r="E46" s="245" t="s">
        <v>552</v>
      </c>
      <c r="F46" s="248">
        <f t="shared" si="0"/>
        <v>1.9E-2</v>
      </c>
      <c r="G46" s="249">
        <v>1000000</v>
      </c>
      <c r="H46" s="250">
        <f t="shared" si="1"/>
        <v>990615</v>
      </c>
      <c r="I46" s="237"/>
      <c r="J46" s="238"/>
    </row>
    <row r="47" spans="1:10">
      <c r="A47" s="251">
        <v>6</v>
      </c>
      <c r="B47" s="220">
        <v>7.7100000000000002E-2</v>
      </c>
      <c r="C47" s="221">
        <v>0.99315200000000003</v>
      </c>
      <c r="E47" s="251" t="s">
        <v>553</v>
      </c>
      <c r="F47" s="222">
        <f t="shared" si="0"/>
        <v>1.9275E-2</v>
      </c>
      <c r="G47" s="223">
        <v>1000000</v>
      </c>
      <c r="H47" s="224">
        <f t="shared" si="1"/>
        <v>993152</v>
      </c>
      <c r="I47" s="237"/>
      <c r="J47" s="238"/>
    </row>
    <row r="48" spans="1:10">
      <c r="A48" s="252">
        <v>7</v>
      </c>
      <c r="B48" s="253">
        <v>7.8200000000000006E-2</v>
      </c>
      <c r="C48" s="254">
        <v>0.99752099999999999</v>
      </c>
      <c r="E48" s="252" t="s">
        <v>554</v>
      </c>
      <c r="F48" s="255">
        <f t="shared" si="0"/>
        <v>1.9550000000000001E-2</v>
      </c>
      <c r="G48" s="256">
        <v>1000000</v>
      </c>
      <c r="H48" s="257">
        <f t="shared" si="1"/>
        <v>997521</v>
      </c>
      <c r="I48" s="237"/>
      <c r="J48" s="238"/>
    </row>
    <row r="49" spans="1:10">
      <c r="A49" s="258">
        <v>8</v>
      </c>
      <c r="B49" s="259">
        <v>7.4200000000000002E-2</v>
      </c>
      <c r="C49" s="260">
        <v>0</v>
      </c>
      <c r="E49" s="258" t="s">
        <v>555</v>
      </c>
      <c r="F49" s="261">
        <f t="shared" si="0"/>
        <v>1.8550000000000001E-2</v>
      </c>
      <c r="G49" s="262">
        <v>1000000</v>
      </c>
      <c r="H49" s="263">
        <f t="shared" si="1"/>
        <v>0</v>
      </c>
      <c r="I49" s="144"/>
      <c r="J49" s="238"/>
    </row>
    <row r="51" spans="1:10">
      <c r="A51" s="6">
        <v>1</v>
      </c>
      <c r="B51" s="7" t="s">
        <v>180</v>
      </c>
      <c r="C51" s="55"/>
    </row>
    <row r="52" spans="1:10">
      <c r="A52" s="8">
        <v>1</v>
      </c>
      <c r="B52" s="3" t="s">
        <v>572</v>
      </c>
    </row>
    <row r="53" spans="1:10">
      <c r="A53" s="8">
        <v>1</v>
      </c>
      <c r="B53" s="9" t="s">
        <v>573</v>
      </c>
    </row>
    <row r="54" spans="1:10">
      <c r="A54" s="8">
        <v>1</v>
      </c>
      <c r="B54" s="9" t="s">
        <v>574</v>
      </c>
    </row>
    <row r="55" spans="1:10">
      <c r="A55" s="8">
        <v>1</v>
      </c>
      <c r="B55" s="9" t="s">
        <v>571</v>
      </c>
    </row>
    <row r="56" spans="1:10">
      <c r="A56" s="8">
        <v>1</v>
      </c>
      <c r="B56" s="9" t="s">
        <v>592</v>
      </c>
    </row>
    <row r="57" spans="1:10">
      <c r="A57" s="8">
        <v>1</v>
      </c>
      <c r="B57" s="9" t="s">
        <v>74</v>
      </c>
    </row>
    <row r="58" spans="1:10">
      <c r="A58" s="8">
        <v>1</v>
      </c>
      <c r="B58" s="9" t="s">
        <v>0</v>
      </c>
    </row>
    <row r="59" spans="1:10">
      <c r="A59" s="8">
        <v>1</v>
      </c>
      <c r="B59" s="9"/>
    </row>
    <row r="60" spans="1:10">
      <c r="A60" s="8">
        <v>1</v>
      </c>
      <c r="B60" s="9" t="s">
        <v>77</v>
      </c>
    </row>
    <row r="61" spans="1:10">
      <c r="A61" s="8">
        <v>1</v>
      </c>
      <c r="B61" s="9" t="s">
        <v>47</v>
      </c>
    </row>
    <row r="62" spans="1:10">
      <c r="A62" s="8">
        <v>1</v>
      </c>
      <c r="B62" s="9" t="s">
        <v>48</v>
      </c>
    </row>
    <row r="63" spans="1:10">
      <c r="A63" s="8">
        <v>1</v>
      </c>
      <c r="B63" s="9" t="s">
        <v>49</v>
      </c>
    </row>
    <row r="64" spans="1:10">
      <c r="A64" s="8">
        <v>1</v>
      </c>
      <c r="B64" s="9" t="s">
        <v>50</v>
      </c>
    </row>
    <row r="65" spans="1:8">
      <c r="A65" s="8">
        <v>1</v>
      </c>
      <c r="B65" s="9" t="s">
        <v>51</v>
      </c>
    </row>
    <row r="66" spans="1:8">
      <c r="A66" s="8">
        <v>1</v>
      </c>
      <c r="B66" s="9"/>
    </row>
    <row r="67" spans="1:8">
      <c r="A67" s="8">
        <v>1</v>
      </c>
      <c r="B67" s="9"/>
      <c r="C67" s="421">
        <f>PMT(B43/4,7,,-1149)</f>
        <v>156.33640729392258</v>
      </c>
      <c r="D67" s="23" t="s">
        <v>575</v>
      </c>
    </row>
    <row r="68" spans="1:8">
      <c r="A68" s="8">
        <v>1</v>
      </c>
      <c r="B68" s="9"/>
      <c r="C68" s="420">
        <f>RATE(7,C67,,-1149)</f>
        <v>1.6200000001857371E-2</v>
      </c>
      <c r="D68" s="419" t="s">
        <v>53</v>
      </c>
    </row>
    <row r="69" spans="1:8">
      <c r="A69" s="8">
        <v>1</v>
      </c>
      <c r="B69" s="9"/>
      <c r="C69" s="418">
        <f>PV(C68,7,C67)</f>
        <v>-1026.7523243207106</v>
      </c>
      <c r="D69" s="419" t="s">
        <v>52</v>
      </c>
    </row>
    <row r="70" spans="1:8">
      <c r="A70" s="8">
        <v>1</v>
      </c>
      <c r="B70" s="9"/>
      <c r="C70" s="418">
        <f>FV(C68,7,C67)</f>
        <v>-1149.0000000064374</v>
      </c>
      <c r="D70" s="419" t="s">
        <v>54</v>
      </c>
    </row>
    <row r="71" spans="1:8">
      <c r="A71" s="8">
        <v>1</v>
      </c>
      <c r="B71" s="9"/>
      <c r="C71" s="270"/>
      <c r="D71" s="23"/>
    </row>
    <row r="72" spans="1:8">
      <c r="A72" s="8">
        <v>1</v>
      </c>
      <c r="B72" s="9" t="s">
        <v>1</v>
      </c>
      <c r="C72" s="270"/>
      <c r="D72" s="23"/>
    </row>
    <row r="73" spans="1:8">
      <c r="A73" s="8">
        <v>1</v>
      </c>
      <c r="B73" s="9" t="s">
        <v>59</v>
      </c>
    </row>
    <row r="74" spans="1:8">
      <c r="A74" s="8">
        <v>1</v>
      </c>
      <c r="B74" s="9" t="s">
        <v>60</v>
      </c>
    </row>
    <row r="75" spans="1:8" ht="13.5" thickBot="1">
      <c r="A75" s="8">
        <v>1</v>
      </c>
      <c r="B75" s="9"/>
    </row>
    <row r="76" spans="1:8" ht="13.5" thickBot="1">
      <c r="A76" s="8">
        <v>1</v>
      </c>
      <c r="B76" s="9"/>
      <c r="C76" s="164" t="s">
        <v>55</v>
      </c>
      <c r="D76" s="165"/>
      <c r="E76" s="166"/>
      <c r="F76" s="164" t="s">
        <v>56</v>
      </c>
      <c r="G76" s="165"/>
      <c r="H76" s="166"/>
    </row>
    <row r="77" spans="1:8">
      <c r="A77" s="8">
        <v>1</v>
      </c>
      <c r="C77" s="110" t="s">
        <v>556</v>
      </c>
      <c r="D77" s="424">
        <f xml:space="preserve"> C67</f>
        <v>156.33640729392258</v>
      </c>
      <c r="E77" s="425">
        <f>C67</f>
        <v>156.33640729392258</v>
      </c>
      <c r="F77" s="110" t="s">
        <v>556</v>
      </c>
      <c r="G77" s="424">
        <f>C67</f>
        <v>156.33640729392258</v>
      </c>
      <c r="H77" s="425">
        <f>C67</f>
        <v>156.33640729392258</v>
      </c>
    </row>
    <row r="78" spans="1:8">
      <c r="A78" s="8">
        <v>1</v>
      </c>
      <c r="C78" s="106" t="s">
        <v>57</v>
      </c>
      <c r="D78" s="115" t="s">
        <v>577</v>
      </c>
      <c r="E78" s="115" t="s">
        <v>577</v>
      </c>
      <c r="F78" s="106" t="s">
        <v>57</v>
      </c>
      <c r="G78" s="115" t="s">
        <v>577</v>
      </c>
      <c r="H78" s="115" t="s">
        <v>577</v>
      </c>
    </row>
    <row r="79" spans="1:8" ht="13.5" thickBot="1">
      <c r="A79" s="8">
        <v>1</v>
      </c>
      <c r="B79" s="8" t="s">
        <v>544</v>
      </c>
      <c r="C79" s="107" t="s">
        <v>344</v>
      </c>
      <c r="D79" s="107" t="s">
        <v>392</v>
      </c>
      <c r="E79" s="107" t="s">
        <v>393</v>
      </c>
      <c r="F79" s="107" t="s">
        <v>344</v>
      </c>
      <c r="G79" s="107" t="s">
        <v>392</v>
      </c>
      <c r="H79" s="107" t="s">
        <v>393</v>
      </c>
    </row>
    <row r="80" spans="1:8">
      <c r="A80" s="8">
        <v>1</v>
      </c>
      <c r="B80" s="8">
        <v>2</v>
      </c>
      <c r="C80" s="304">
        <f>C68</f>
        <v>1.6200000001857371E-2</v>
      </c>
      <c r="D80" s="426">
        <f>PV(C80,B80-B80+1,,D77)</f>
        <v>-153.84413234957373</v>
      </c>
      <c r="E80" s="427">
        <f>-FV(C80,D80-D80+1,,D80)</f>
        <v>-156.33640729392258</v>
      </c>
      <c r="F80" s="304">
        <v>1.1089999999999999E-2</v>
      </c>
      <c r="G80" s="430">
        <f>-PV(F80,B80-B$80+1,,H80)</f>
        <v>-154.62165316037402</v>
      </c>
      <c r="H80" s="431">
        <f>E80</f>
        <v>-156.33640729392258</v>
      </c>
    </row>
    <row r="81" spans="1:8">
      <c r="A81" s="8">
        <v>1</v>
      </c>
      <c r="B81" s="8">
        <v>3</v>
      </c>
      <c r="C81" s="304">
        <f>C68</f>
        <v>1.6200000001857371E-2</v>
      </c>
      <c r="D81" s="426">
        <f>PV(C81,B81-B80+1,,D77)</f>
        <v>-151.3915886137498</v>
      </c>
      <c r="E81" s="427">
        <f>-FV(C81,B81-B80+1,,D81)</f>
        <v>-156.33640729392258</v>
      </c>
      <c r="F81" s="304">
        <v>1.209E-2</v>
      </c>
      <c r="G81" s="426">
        <f t="shared" ref="G81:G86" si="2">-PV(F81,B81-B$80+1,,H81)</f>
        <v>-152.62365852071079</v>
      </c>
      <c r="H81" s="427">
        <f t="shared" ref="H81:H86" si="3">E81</f>
        <v>-156.33640729392258</v>
      </c>
    </row>
    <row r="82" spans="1:8">
      <c r="A82" s="8">
        <v>1</v>
      </c>
      <c r="B82" s="8">
        <v>4</v>
      </c>
      <c r="C82" s="304">
        <f>C68</f>
        <v>1.6200000001857371E-2</v>
      </c>
      <c r="D82" s="426">
        <f>PV(C82,B82-B80+1,,D77)</f>
        <v>-148.97814270170548</v>
      </c>
      <c r="E82" s="427">
        <f>-FV(C82,B82-B80+1,,D82)</f>
        <v>-156.33640729392258</v>
      </c>
      <c r="F82" s="304">
        <v>1.304E-2</v>
      </c>
      <c r="G82" s="426">
        <f t="shared" si="2"/>
        <v>-150.3766292723696</v>
      </c>
      <c r="H82" s="427">
        <f t="shared" si="3"/>
        <v>-156.33640729392258</v>
      </c>
    </row>
    <row r="83" spans="1:8">
      <c r="A83" s="8">
        <v>1</v>
      </c>
      <c r="B83" s="8">
        <v>5</v>
      </c>
      <c r="C83" s="304">
        <f>C68</f>
        <v>1.6200000001857371E-2</v>
      </c>
      <c r="D83" s="426">
        <f>PV(C83,B83-B80+1,,D77)</f>
        <v>-146.60317132595273</v>
      </c>
      <c r="E83" s="427">
        <f>-FV(C83,B83-B80+1,,D83)</f>
        <v>-156.33640729392258</v>
      </c>
      <c r="F83" s="304">
        <v>1.3939999999999999E-2</v>
      </c>
      <c r="G83" s="426">
        <f t="shared" si="2"/>
        <v>-147.91461996407133</v>
      </c>
      <c r="H83" s="427">
        <f t="shared" si="3"/>
        <v>-156.33640729392258</v>
      </c>
    </row>
    <row r="84" spans="1:8">
      <c r="A84" s="8">
        <v>1</v>
      </c>
      <c r="B84" s="8">
        <v>6</v>
      </c>
      <c r="C84" s="304">
        <f>C68</f>
        <v>1.6200000001857371E-2</v>
      </c>
      <c r="D84" s="426">
        <f>PV(C84,B84-B80+1,,D77)</f>
        <v>-144.26606113529303</v>
      </c>
      <c r="E84" s="427">
        <f>-FV(C84,B84-B80+1,,D84)</f>
        <v>-156.33640729392258</v>
      </c>
      <c r="F84" s="304">
        <v>1.474E-2</v>
      </c>
      <c r="G84" s="426">
        <f t="shared" si="2"/>
        <v>-145.30689634110522</v>
      </c>
      <c r="H84" s="427">
        <f t="shared" si="3"/>
        <v>-156.33640729392258</v>
      </c>
    </row>
    <row r="85" spans="1:8">
      <c r="A85" s="8">
        <v>1</v>
      </c>
      <c r="B85" s="8">
        <v>7</v>
      </c>
      <c r="C85" s="304">
        <f>C68</f>
        <v>1.6200000001857371E-2</v>
      </c>
      <c r="D85" s="426">
        <f>PV(C85,B85-B80+1,,D77)</f>
        <v>-141.96620855641538</v>
      </c>
      <c r="E85" s="427">
        <f>-FV(C85,B85-B80+1,,D85)</f>
        <v>-156.33640729392258</v>
      </c>
      <c r="F85" s="304">
        <v>1.55E-2</v>
      </c>
      <c r="G85" s="426">
        <f t="shared" si="2"/>
        <v>-142.55437847014619</v>
      </c>
      <c r="H85" s="427">
        <f t="shared" si="3"/>
        <v>-156.33640729392258</v>
      </c>
    </row>
    <row r="86" spans="1:8" ht="13.5" thickBot="1">
      <c r="A86" s="8">
        <v>1</v>
      </c>
      <c r="B86" s="8">
        <v>8</v>
      </c>
      <c r="C86" s="423">
        <f>C68</f>
        <v>1.6200000001857371E-2</v>
      </c>
      <c r="D86" s="428">
        <f>PV(C86,B86-B80+1,,D77)</f>
        <v>-139.70301963802001</v>
      </c>
      <c r="E86" s="429">
        <f>-FV(C86,B86-B80+1,,D86)</f>
        <v>-156.33640729392258</v>
      </c>
      <c r="F86" s="423">
        <v>1.6199999999999999E-2</v>
      </c>
      <c r="G86" s="428">
        <f t="shared" si="2"/>
        <v>-139.70301963980745</v>
      </c>
      <c r="H86" s="429">
        <f t="shared" si="3"/>
        <v>-156.33640729392258</v>
      </c>
    </row>
    <row r="87" spans="1:8">
      <c r="A87" s="8">
        <v>1</v>
      </c>
      <c r="B87" s="9" t="s">
        <v>58</v>
      </c>
      <c r="D87" s="422">
        <f>SUM(D80:D86)</f>
        <v>-1026.7523243207102</v>
      </c>
      <c r="E87" s="422" t="s">
        <v>213</v>
      </c>
      <c r="F87" t="s">
        <v>213</v>
      </c>
      <c r="G87" s="422">
        <f>SUM(G80:G86)</f>
        <v>-1033.1008553685847</v>
      </c>
    </row>
    <row r="88" spans="1:8">
      <c r="A88" s="8">
        <v>1</v>
      </c>
      <c r="B88" s="9"/>
      <c r="D88" s="422"/>
      <c r="E88" s="422"/>
      <c r="G88" s="422"/>
    </row>
    <row r="89" spans="1:8">
      <c r="A89" s="8">
        <v>1</v>
      </c>
      <c r="B89" s="9" t="s">
        <v>61</v>
      </c>
      <c r="D89" s="422"/>
      <c r="E89" s="422"/>
      <c r="G89" s="422"/>
    </row>
    <row r="90" spans="1:8">
      <c r="A90" s="8">
        <v>1</v>
      </c>
      <c r="B90" s="9" t="s">
        <v>62</v>
      </c>
      <c r="D90" s="422"/>
      <c r="E90" s="422"/>
      <c r="G90" s="422"/>
    </row>
    <row r="91" spans="1:8">
      <c r="A91" s="8">
        <v>1</v>
      </c>
      <c r="B91" s="9"/>
    </row>
    <row r="92" spans="1:8">
      <c r="A92" s="8">
        <v>1</v>
      </c>
      <c r="B92" s="9" t="s">
        <v>63</v>
      </c>
    </row>
    <row r="93" spans="1:8">
      <c r="A93" s="8">
        <v>1</v>
      </c>
      <c r="B93" s="9" t="s">
        <v>2</v>
      </c>
    </row>
    <row r="94" spans="1:8">
      <c r="A94" s="8">
        <v>1</v>
      </c>
      <c r="B94" s="9" t="s">
        <v>3</v>
      </c>
    </row>
    <row r="95" spans="1:8">
      <c r="A95" s="8">
        <v>1</v>
      </c>
      <c r="B95" s="9" t="s">
        <v>4</v>
      </c>
    </row>
    <row r="96" spans="1:8">
      <c r="A96" s="8">
        <v>1</v>
      </c>
      <c r="B96" s="9" t="s">
        <v>81</v>
      </c>
    </row>
    <row r="97" spans="1:9">
      <c r="A97" s="8">
        <v>1</v>
      </c>
      <c r="B97" s="9" t="s">
        <v>5</v>
      </c>
    </row>
    <row r="98" spans="1:9" ht="13.5" thickBot="1">
      <c r="A98" s="8">
        <v>1</v>
      </c>
    </row>
    <row r="99" spans="1:9" ht="13.5" thickBot="1">
      <c r="A99" s="8">
        <v>1</v>
      </c>
      <c r="B99" s="271" t="s">
        <v>579</v>
      </c>
      <c r="C99" s="165"/>
      <c r="D99" s="165"/>
      <c r="E99" s="165"/>
      <c r="F99" s="165"/>
      <c r="G99" s="166"/>
    </row>
    <row r="100" spans="1:9">
      <c r="A100" s="8">
        <v>1</v>
      </c>
      <c r="B100" s="104"/>
      <c r="C100" s="110" t="s">
        <v>392</v>
      </c>
      <c r="D100" s="110" t="s">
        <v>393</v>
      </c>
      <c r="E100" s="110" t="s">
        <v>398</v>
      </c>
      <c r="F100" s="279" t="s">
        <v>557</v>
      </c>
      <c r="G100" s="386" t="s">
        <v>550</v>
      </c>
      <c r="H100" s="278" t="s">
        <v>213</v>
      </c>
      <c r="I100" s="110" t="s">
        <v>577</v>
      </c>
    </row>
    <row r="101" spans="1:9">
      <c r="A101" s="8">
        <v>1</v>
      </c>
      <c r="B101" s="105"/>
      <c r="C101" s="106" t="s">
        <v>379</v>
      </c>
      <c r="D101" s="106" t="s">
        <v>577</v>
      </c>
      <c r="E101" s="106" t="s">
        <v>556</v>
      </c>
      <c r="F101" s="279" t="s">
        <v>41</v>
      </c>
      <c r="G101" s="282" t="s">
        <v>37</v>
      </c>
      <c r="H101" s="286" t="s">
        <v>577</v>
      </c>
      <c r="I101" s="106" t="s">
        <v>378</v>
      </c>
    </row>
    <row r="102" spans="1:9">
      <c r="A102" s="8">
        <v>1</v>
      </c>
      <c r="B102" s="106" t="s">
        <v>577</v>
      </c>
      <c r="C102" s="106" t="s">
        <v>387</v>
      </c>
      <c r="D102" s="106" t="s">
        <v>343</v>
      </c>
      <c r="E102" s="106" t="s">
        <v>57</v>
      </c>
      <c r="F102" s="310">
        <v>-1149</v>
      </c>
      <c r="G102" s="282" t="s">
        <v>556</v>
      </c>
      <c r="H102" s="286" t="s">
        <v>538</v>
      </c>
      <c r="I102" s="106" t="s">
        <v>340</v>
      </c>
    </row>
    <row r="103" spans="1:9" ht="13.5" thickBot="1">
      <c r="A103" s="8">
        <v>1</v>
      </c>
      <c r="B103" s="107" t="s">
        <v>336</v>
      </c>
      <c r="C103" s="107" t="s">
        <v>344</v>
      </c>
      <c r="D103" s="107" t="s">
        <v>344</v>
      </c>
      <c r="E103" s="277" t="s">
        <v>344</v>
      </c>
      <c r="F103" s="279" t="s">
        <v>578</v>
      </c>
      <c r="G103" s="387" t="s">
        <v>38</v>
      </c>
      <c r="H103" s="403" t="s">
        <v>39</v>
      </c>
      <c r="I103" s="107" t="s">
        <v>339</v>
      </c>
    </row>
    <row r="104" spans="1:9" ht="13.5" thickBot="1">
      <c r="A104" s="8">
        <v>1</v>
      </c>
      <c r="B104" s="278">
        <v>0</v>
      </c>
      <c r="C104" s="272">
        <v>0</v>
      </c>
      <c r="D104" s="272">
        <v>0</v>
      </c>
      <c r="E104" s="273">
        <v>0</v>
      </c>
      <c r="F104" s="274"/>
      <c r="G104" s="274"/>
      <c r="H104" s="274"/>
      <c r="I104" s="276" t="s">
        <v>213</v>
      </c>
    </row>
    <row r="105" spans="1:9">
      <c r="A105" s="8">
        <v>1</v>
      </c>
      <c r="B105" s="280">
        <v>1</v>
      </c>
      <c r="C105" s="272" t="s">
        <v>213</v>
      </c>
      <c r="D105" s="272" t="s">
        <v>213</v>
      </c>
      <c r="E105" s="272" t="s">
        <v>213</v>
      </c>
      <c r="F105" s="272" t="s">
        <v>213</v>
      </c>
      <c r="G105" s="272" t="s">
        <v>213</v>
      </c>
      <c r="H105" s="272" t="s">
        <v>213</v>
      </c>
      <c r="I105" s="272" t="s">
        <v>213</v>
      </c>
    </row>
    <row r="106" spans="1:9" ht="13.5" thickBot="1">
      <c r="A106" s="8">
        <v>1</v>
      </c>
      <c r="B106" s="282">
        <v>2</v>
      </c>
      <c r="C106" s="283">
        <v>-153.84413234985493</v>
      </c>
      <c r="D106" s="283">
        <v>-156.33640729392258</v>
      </c>
      <c r="E106" s="284" t="s">
        <v>205</v>
      </c>
      <c r="F106" s="283">
        <v>156.33640729392258</v>
      </c>
      <c r="G106" s="283">
        <v>174.99999999999818</v>
      </c>
      <c r="H106" s="283">
        <v>-18.663592706075605</v>
      </c>
      <c r="I106" s="284" t="s">
        <v>205</v>
      </c>
    </row>
    <row r="107" spans="1:9" ht="13.5" thickBot="1">
      <c r="A107" s="8">
        <v>1</v>
      </c>
      <c r="B107" s="106">
        <v>3</v>
      </c>
      <c r="C107" s="115">
        <v>-151.39158861430323</v>
      </c>
      <c r="D107" s="115">
        <v>-156.33640729392258</v>
      </c>
      <c r="E107" s="158" t="s">
        <v>205</v>
      </c>
      <c r="F107" s="82">
        <v>156.33640729392258</v>
      </c>
      <c r="G107" s="272" t="s">
        <v>213</v>
      </c>
      <c r="H107" s="272" t="s">
        <v>213</v>
      </c>
      <c r="I107" s="158" t="s">
        <v>205</v>
      </c>
    </row>
    <row r="108" spans="1:9" ht="13.5" thickBot="1">
      <c r="A108" s="8">
        <v>1</v>
      </c>
      <c r="B108" s="106">
        <v>4</v>
      </c>
      <c r="C108" s="115">
        <v>-148.97814270252235</v>
      </c>
      <c r="D108" s="115">
        <v>-156.33640729392258</v>
      </c>
      <c r="E108" s="158" t="s">
        <v>205</v>
      </c>
      <c r="F108" s="82">
        <v>156.33640729392258</v>
      </c>
      <c r="G108" s="272" t="s">
        <v>213</v>
      </c>
      <c r="H108" s="272" t="s">
        <v>213</v>
      </c>
      <c r="I108" s="158" t="s">
        <v>205</v>
      </c>
    </row>
    <row r="109" spans="1:9" ht="13.5" thickBot="1">
      <c r="A109" s="8">
        <v>1</v>
      </c>
      <c r="B109" s="106">
        <v>5</v>
      </c>
      <c r="C109" s="115">
        <v>-146.60317132702457</v>
      </c>
      <c r="D109" s="115">
        <v>-156.33640729392258</v>
      </c>
      <c r="E109" s="158" t="s">
        <v>205</v>
      </c>
      <c r="F109" s="82">
        <v>156.33640729392258</v>
      </c>
      <c r="G109" s="272" t="s">
        <v>213</v>
      </c>
      <c r="H109" s="272" t="s">
        <v>213</v>
      </c>
      <c r="I109" s="158" t="s">
        <v>205</v>
      </c>
    </row>
    <row r="110" spans="1:9" ht="13.5" thickBot="1">
      <c r="A110" s="8">
        <v>1</v>
      </c>
      <c r="B110" s="106">
        <v>6</v>
      </c>
      <c r="C110" s="115">
        <v>-144.26606113661148</v>
      </c>
      <c r="D110" s="115">
        <v>-156.33640729392258</v>
      </c>
      <c r="E110" s="158" t="s">
        <v>205</v>
      </c>
      <c r="F110" s="82">
        <v>156.33640729392258</v>
      </c>
      <c r="G110" s="272" t="s">
        <v>213</v>
      </c>
      <c r="H110" s="272" t="s">
        <v>213</v>
      </c>
      <c r="I110" s="158" t="s">
        <v>205</v>
      </c>
    </row>
    <row r="111" spans="1:9" ht="13.5" thickBot="1">
      <c r="A111" s="8">
        <v>1</v>
      </c>
      <c r="B111" s="106">
        <v>7</v>
      </c>
      <c r="C111" s="115">
        <v>-141.96620855797232</v>
      </c>
      <c r="D111" s="115">
        <v>-156.33640729392258</v>
      </c>
      <c r="E111" s="158" t="s">
        <v>205</v>
      </c>
      <c r="F111" s="82">
        <v>156.33640729392258</v>
      </c>
      <c r="G111" s="272" t="s">
        <v>213</v>
      </c>
      <c r="H111" s="272" t="s">
        <v>213</v>
      </c>
      <c r="I111" s="158" t="s">
        <v>205</v>
      </c>
    </row>
    <row r="112" spans="1:9" ht="13.5" thickBot="1">
      <c r="A112" s="8">
        <v>1</v>
      </c>
      <c r="B112" s="107">
        <v>8</v>
      </c>
      <c r="C112" s="116">
        <v>-139.70301963980745</v>
      </c>
      <c r="D112" s="297">
        <v>-156.33640729392258</v>
      </c>
      <c r="E112" s="160" t="s">
        <v>205</v>
      </c>
      <c r="F112" s="83">
        <v>156.33640729392258</v>
      </c>
      <c r="G112" s="272" t="s">
        <v>213</v>
      </c>
      <c r="H112" s="272" t="s">
        <v>213</v>
      </c>
      <c r="I112" s="285" t="s">
        <v>213</v>
      </c>
    </row>
    <row r="113" spans="1:6">
      <c r="A113" s="8">
        <v>1</v>
      </c>
      <c r="F113" s="27" t="s">
        <v>213</v>
      </c>
    </row>
    <row r="114" spans="1:6">
      <c r="A114" s="8">
        <v>1</v>
      </c>
      <c r="B114" s="9" t="s">
        <v>157</v>
      </c>
    </row>
    <row r="115" spans="1:6">
      <c r="A115" s="8">
        <v>1</v>
      </c>
      <c r="B115" s="9" t="s">
        <v>78</v>
      </c>
    </row>
    <row r="116" spans="1:6">
      <c r="A116" s="8">
        <v>1</v>
      </c>
      <c r="B116" s="9" t="s">
        <v>79</v>
      </c>
    </row>
    <row r="117" spans="1:6">
      <c r="A117" s="8">
        <v>1</v>
      </c>
      <c r="B117" s="9"/>
    </row>
    <row r="118" spans="1:6">
      <c r="A118" s="8">
        <v>1</v>
      </c>
      <c r="B118" s="10" t="s">
        <v>457</v>
      </c>
    </row>
    <row r="119" spans="1:6">
      <c r="A119" s="8">
        <v>1</v>
      </c>
      <c r="B119" s="10" t="s">
        <v>581</v>
      </c>
    </row>
    <row r="120" spans="1:6">
      <c r="A120" s="8">
        <v>1</v>
      </c>
      <c r="B120" s="10" t="s">
        <v>80</v>
      </c>
    </row>
    <row r="121" spans="1:6">
      <c r="A121" s="8">
        <v>1</v>
      </c>
      <c r="B121" s="10" t="s">
        <v>582</v>
      </c>
    </row>
    <row r="122" spans="1:6">
      <c r="A122" s="8">
        <v>1</v>
      </c>
      <c r="B122" s="10"/>
    </row>
    <row r="123" spans="1:6">
      <c r="A123" s="8">
        <v>1</v>
      </c>
      <c r="B123" s="10" t="s">
        <v>590</v>
      </c>
    </row>
    <row r="124" spans="1:6">
      <c r="A124" s="8">
        <v>1</v>
      </c>
      <c r="B124" s="10" t="s">
        <v>591</v>
      </c>
    </row>
    <row r="125" spans="1:6">
      <c r="A125" s="8">
        <v>1</v>
      </c>
      <c r="B125" s="10" t="s">
        <v>123</v>
      </c>
    </row>
    <row r="126" spans="1:6">
      <c r="A126" s="8">
        <v>1</v>
      </c>
      <c r="B126" s="10" t="s">
        <v>124</v>
      </c>
    </row>
    <row r="127" spans="1:6">
      <c r="A127" s="8">
        <v>1</v>
      </c>
      <c r="B127" s="10" t="s">
        <v>125</v>
      </c>
    </row>
    <row r="128" spans="1:6">
      <c r="A128" s="8">
        <v>1</v>
      </c>
      <c r="B128" s="10" t="s">
        <v>126</v>
      </c>
    </row>
    <row r="129" spans="1:10">
      <c r="A129" s="8">
        <v>1</v>
      </c>
      <c r="B129" s="10"/>
    </row>
    <row r="130" spans="1:10">
      <c r="A130" s="8">
        <v>1</v>
      </c>
      <c r="B130" s="10" t="s">
        <v>82</v>
      </c>
    </row>
    <row r="131" spans="1:10">
      <c r="A131" s="8">
        <v>1</v>
      </c>
      <c r="B131" s="10" t="s">
        <v>168</v>
      </c>
    </row>
    <row r="132" spans="1:10">
      <c r="A132" s="8">
        <v>1</v>
      </c>
      <c r="B132" s="10" t="s">
        <v>166</v>
      </c>
    </row>
    <row r="133" spans="1:10">
      <c r="A133" s="8">
        <v>1</v>
      </c>
      <c r="B133" s="10" t="s">
        <v>167</v>
      </c>
    </row>
    <row r="134" spans="1:10">
      <c r="A134" s="8">
        <v>1</v>
      </c>
      <c r="B134" s="10"/>
    </row>
    <row r="135" spans="1:10">
      <c r="A135" s="8">
        <v>1</v>
      </c>
      <c r="B135" s="10" t="s">
        <v>169</v>
      </c>
    </row>
    <row r="136" spans="1:10" ht="13.5" thickBot="1">
      <c r="A136" s="8">
        <v>1</v>
      </c>
      <c r="B136" s="10"/>
    </row>
    <row r="137" spans="1:10" ht="13.5" thickBot="1">
      <c r="A137" s="8">
        <v>1</v>
      </c>
      <c r="B137" s="271" t="s">
        <v>579</v>
      </c>
      <c r="C137" s="165"/>
      <c r="D137" s="165"/>
      <c r="E137" s="165"/>
      <c r="F137" s="165"/>
      <c r="G137" s="166"/>
    </row>
    <row r="138" spans="1:10">
      <c r="A138" s="8">
        <v>1</v>
      </c>
      <c r="B138" s="104"/>
      <c r="C138" s="110" t="s">
        <v>392</v>
      </c>
      <c r="D138" s="110" t="s">
        <v>393</v>
      </c>
      <c r="E138" s="110" t="s">
        <v>398</v>
      </c>
      <c r="F138" s="279" t="s">
        <v>557</v>
      </c>
      <c r="G138" s="386" t="str">
        <f>E43</f>
        <v>12/31/x1</v>
      </c>
      <c r="H138" s="278" t="s">
        <v>213</v>
      </c>
      <c r="I138" s="110" t="s">
        <v>577</v>
      </c>
      <c r="J138" s="110" t="s">
        <v>466</v>
      </c>
    </row>
    <row r="139" spans="1:10">
      <c r="A139" s="8">
        <v>1</v>
      </c>
      <c r="B139" s="105"/>
      <c r="C139" s="106" t="s">
        <v>379</v>
      </c>
      <c r="D139" s="106" t="s">
        <v>577</v>
      </c>
      <c r="E139" s="106" t="s">
        <v>556</v>
      </c>
      <c r="F139" s="279" t="s">
        <v>41</v>
      </c>
      <c r="G139" s="282" t="s">
        <v>37</v>
      </c>
      <c r="H139" s="286" t="s">
        <v>577</v>
      </c>
      <c r="I139" s="106" t="s">
        <v>378</v>
      </c>
      <c r="J139" s="106" t="s">
        <v>386</v>
      </c>
    </row>
    <row r="140" spans="1:10">
      <c r="A140" s="8">
        <v>1</v>
      </c>
      <c r="B140" s="106" t="s">
        <v>577</v>
      </c>
      <c r="C140" s="106" t="s">
        <v>387</v>
      </c>
      <c r="D140" s="106" t="s">
        <v>343</v>
      </c>
      <c r="E140" s="106" t="s">
        <v>57</v>
      </c>
      <c r="F140" s="310">
        <f>H42-H41</f>
        <v>-1149</v>
      </c>
      <c r="G140" s="282" t="s">
        <v>556</v>
      </c>
      <c r="H140" s="286" t="s">
        <v>538</v>
      </c>
      <c r="I140" s="106" t="s">
        <v>340</v>
      </c>
      <c r="J140" s="106" t="s">
        <v>382</v>
      </c>
    </row>
    <row r="141" spans="1:10" ht="13.5" thickBot="1">
      <c r="A141" s="8">
        <v>1</v>
      </c>
      <c r="B141" s="107" t="s">
        <v>336</v>
      </c>
      <c r="C141" s="107" t="s">
        <v>344</v>
      </c>
      <c r="D141" s="107" t="s">
        <v>344</v>
      </c>
      <c r="E141" s="277" t="s">
        <v>344</v>
      </c>
      <c r="F141" s="279" t="s">
        <v>578</v>
      </c>
      <c r="G141" s="387" t="s">
        <v>38</v>
      </c>
      <c r="H141" s="403" t="s">
        <v>39</v>
      </c>
      <c r="I141" s="107" t="s">
        <v>339</v>
      </c>
      <c r="J141" s="107" t="s">
        <v>339</v>
      </c>
    </row>
    <row r="142" spans="1:10" ht="13.5" thickBot="1">
      <c r="A142" s="8">
        <v>1</v>
      </c>
      <c r="B142" s="278">
        <v>0</v>
      </c>
      <c r="C142" s="272">
        <f>C95</f>
        <v>0</v>
      </c>
      <c r="D142" s="272">
        <f>D95</f>
        <v>0</v>
      </c>
      <c r="E142" s="273">
        <v>0</v>
      </c>
      <c r="F142" s="274"/>
      <c r="G142" s="274"/>
      <c r="H142" s="274"/>
      <c r="I142" s="276" t="s">
        <v>213</v>
      </c>
      <c r="J142" s="275" t="s">
        <v>213</v>
      </c>
    </row>
    <row r="143" spans="1:10" ht="13.5" thickBot="1">
      <c r="A143" s="8">
        <v>1</v>
      </c>
      <c r="B143" s="280">
        <v>1</v>
      </c>
      <c r="C143" s="272" t="s">
        <v>213</v>
      </c>
      <c r="D143" s="272" t="s">
        <v>213</v>
      </c>
      <c r="E143" s="272" t="s">
        <v>213</v>
      </c>
      <c r="F143" s="272" t="s">
        <v>213</v>
      </c>
      <c r="G143" s="272" t="s">
        <v>213</v>
      </c>
      <c r="H143" s="272" t="s">
        <v>213</v>
      </c>
      <c r="I143" s="272" t="s">
        <v>213</v>
      </c>
      <c r="J143" s="272" t="s">
        <v>213</v>
      </c>
    </row>
    <row r="144" spans="1:10">
      <c r="A144" s="8">
        <v>1</v>
      </c>
      <c r="B144" s="282">
        <v>2</v>
      </c>
      <c r="C144" s="318">
        <f>-PV(E144,B144-B$143,,-F144)</f>
        <v>-153.84413234985493</v>
      </c>
      <c r="D144" s="318">
        <f>-F144</f>
        <v>-156.33640729392258</v>
      </c>
      <c r="E144" s="433">
        <f>B43/4</f>
        <v>1.6199999999999999E-2</v>
      </c>
      <c r="F144" s="318">
        <f>PMT(E144,B150-B143,,H42-H41)</f>
        <v>156.33640729392258</v>
      </c>
      <c r="G144" s="318">
        <f>-(F41*G41-F43*G43)</f>
        <v>174.99999999999818</v>
      </c>
      <c r="H144" s="283">
        <f>F144-G144</f>
        <v>-18.663592706075605</v>
      </c>
      <c r="I144" s="302">
        <f t="shared" ref="I144:I149" si="4">(FV(E145,B145,0,-1)/FV(E144,B144,0,-1)) - 1</f>
        <v>1.6199999999999992E-2</v>
      </c>
      <c r="J144" s="302">
        <f>GEOMEAN(I143:I144)</f>
        <v>1.6199999999999992E-2</v>
      </c>
    </row>
    <row r="145" spans="1:11">
      <c r="A145" s="8">
        <v>1</v>
      </c>
      <c r="B145" s="106">
        <v>3</v>
      </c>
      <c r="C145" s="82">
        <f t="shared" ref="C145:C150" si="5">-PV(E145,B145-B$143,,-F145)</f>
        <v>-151.39158861430323</v>
      </c>
      <c r="D145" s="82">
        <f t="shared" ref="D145:D150" si="6">-F145</f>
        <v>-156.33640729392258</v>
      </c>
      <c r="E145" s="158">
        <f t="shared" ref="E145:F150" si="7">E144</f>
        <v>1.6199999999999999E-2</v>
      </c>
      <c r="F145" s="82">
        <f t="shared" si="7"/>
        <v>156.33640729392258</v>
      </c>
      <c r="G145" s="291" t="s">
        <v>213</v>
      </c>
      <c r="H145" s="291" t="s">
        <v>213</v>
      </c>
      <c r="I145" s="108">
        <f t="shared" si="4"/>
        <v>1.619999999999977E-2</v>
      </c>
      <c r="J145" s="108">
        <f>GEOMEAN(I143:I145)</f>
        <v>1.6199999999999878E-2</v>
      </c>
    </row>
    <row r="146" spans="1:11">
      <c r="A146" s="8">
        <v>1</v>
      </c>
      <c r="B146" s="106">
        <v>4</v>
      </c>
      <c r="C146" s="82">
        <f t="shared" si="5"/>
        <v>-148.97814270252235</v>
      </c>
      <c r="D146" s="82">
        <f t="shared" si="6"/>
        <v>-156.33640729392258</v>
      </c>
      <c r="E146" s="158">
        <f t="shared" si="7"/>
        <v>1.6199999999999999E-2</v>
      </c>
      <c r="F146" s="82">
        <f t="shared" si="7"/>
        <v>156.33640729392258</v>
      </c>
      <c r="G146" s="291" t="s">
        <v>213</v>
      </c>
      <c r="H146" s="291" t="s">
        <v>213</v>
      </c>
      <c r="I146" s="108">
        <f t="shared" si="4"/>
        <v>1.6199999999999992E-2</v>
      </c>
      <c r="J146" s="108">
        <f>GEOMEAN(I143:I146)</f>
        <v>1.6199999999999923E-2</v>
      </c>
    </row>
    <row r="147" spans="1:11">
      <c r="A147" s="8">
        <v>1</v>
      </c>
      <c r="B147" s="106">
        <v>5</v>
      </c>
      <c r="C147" s="82">
        <f t="shared" si="5"/>
        <v>-146.60317132702457</v>
      </c>
      <c r="D147" s="82">
        <f t="shared" si="6"/>
        <v>-156.33640729392258</v>
      </c>
      <c r="E147" s="158">
        <f t="shared" si="7"/>
        <v>1.6199999999999999E-2</v>
      </c>
      <c r="F147" s="82">
        <f t="shared" si="7"/>
        <v>156.33640729392258</v>
      </c>
      <c r="G147" s="291" t="s">
        <v>213</v>
      </c>
      <c r="H147" s="291" t="s">
        <v>213</v>
      </c>
      <c r="I147" s="108">
        <f t="shared" si="4"/>
        <v>1.6199999999999992E-2</v>
      </c>
      <c r="J147" s="108">
        <f>GEOMEAN(I143:I147)</f>
        <v>1.6199999999999937E-2</v>
      </c>
    </row>
    <row r="148" spans="1:11">
      <c r="A148" s="8">
        <v>1</v>
      </c>
      <c r="B148" s="106">
        <v>6</v>
      </c>
      <c r="C148" s="82">
        <f t="shared" si="5"/>
        <v>-144.26606113661148</v>
      </c>
      <c r="D148" s="82">
        <f t="shared" si="6"/>
        <v>-156.33640729392258</v>
      </c>
      <c r="E148" s="158">
        <f t="shared" si="7"/>
        <v>1.6199999999999999E-2</v>
      </c>
      <c r="F148" s="82">
        <f t="shared" si="7"/>
        <v>156.33640729392258</v>
      </c>
      <c r="G148" s="291" t="s">
        <v>213</v>
      </c>
      <c r="H148" s="291" t="s">
        <v>213</v>
      </c>
      <c r="I148" s="108">
        <f t="shared" si="4"/>
        <v>1.6199999999999992E-2</v>
      </c>
      <c r="J148" s="108">
        <f>GEOMEAN(I143:I148)</f>
        <v>1.6199999999999937E-2</v>
      </c>
    </row>
    <row r="149" spans="1:11">
      <c r="A149" s="8">
        <v>1</v>
      </c>
      <c r="B149" s="106">
        <v>7</v>
      </c>
      <c r="C149" s="82">
        <f t="shared" si="5"/>
        <v>-141.96620855797232</v>
      </c>
      <c r="D149" s="82">
        <f t="shared" si="6"/>
        <v>-156.33640729392258</v>
      </c>
      <c r="E149" s="158">
        <f t="shared" si="7"/>
        <v>1.6199999999999999E-2</v>
      </c>
      <c r="F149" s="82">
        <f t="shared" si="7"/>
        <v>156.33640729392258</v>
      </c>
      <c r="G149" s="291" t="s">
        <v>213</v>
      </c>
      <c r="H149" s="291" t="s">
        <v>213</v>
      </c>
      <c r="I149" s="108">
        <f t="shared" si="4"/>
        <v>1.6199999999999992E-2</v>
      </c>
      <c r="J149" s="108">
        <f>GEOMEAN(I143:I149)</f>
        <v>1.6199999999999951E-2</v>
      </c>
    </row>
    <row r="150" spans="1:11" ht="13.5" thickBot="1">
      <c r="A150" s="8">
        <v>1</v>
      </c>
      <c r="B150" s="107">
        <v>8</v>
      </c>
      <c r="C150" s="83">
        <f t="shared" si="5"/>
        <v>-139.70301963980745</v>
      </c>
      <c r="D150" s="83">
        <f t="shared" si="6"/>
        <v>-156.33640729392258</v>
      </c>
      <c r="E150" s="160">
        <f t="shared" si="7"/>
        <v>1.6199999999999999E-2</v>
      </c>
      <c r="F150" s="83">
        <f t="shared" si="7"/>
        <v>156.33640729392258</v>
      </c>
      <c r="G150" s="291" t="s">
        <v>213</v>
      </c>
      <c r="H150" s="291" t="s">
        <v>213</v>
      </c>
      <c r="I150" s="285" t="s">
        <v>213</v>
      </c>
      <c r="J150" s="285" t="s">
        <v>213</v>
      </c>
    </row>
    <row r="151" spans="1:11">
      <c r="A151" s="8">
        <v>1</v>
      </c>
      <c r="B151" s="439" t="s">
        <v>144</v>
      </c>
    </row>
    <row r="152" spans="1:11" ht="13.5" thickBot="1">
      <c r="A152" s="8">
        <v>1</v>
      </c>
      <c r="B152" s="439"/>
    </row>
    <row r="153" spans="1:11" ht="13.5" thickBot="1">
      <c r="A153" s="8">
        <v>1</v>
      </c>
      <c r="B153" s="271" t="s">
        <v>580</v>
      </c>
      <c r="C153" s="165"/>
      <c r="D153" s="165"/>
      <c r="E153" s="165"/>
      <c r="F153" s="165"/>
      <c r="G153" s="166"/>
    </row>
    <row r="154" spans="1:11">
      <c r="A154" s="8">
        <v>1</v>
      </c>
      <c r="B154" s="104"/>
      <c r="C154" s="110" t="s">
        <v>392</v>
      </c>
      <c r="D154" s="110" t="s">
        <v>393</v>
      </c>
      <c r="E154" s="110" t="s">
        <v>398</v>
      </c>
      <c r="F154" s="279" t="s">
        <v>557</v>
      </c>
      <c r="G154" s="388" t="str">
        <f>E44</f>
        <v>03/31/x2</v>
      </c>
      <c r="H154" s="278" t="s">
        <v>213</v>
      </c>
      <c r="I154" s="110" t="s">
        <v>577</v>
      </c>
      <c r="J154" s="110" t="s">
        <v>466</v>
      </c>
    </row>
    <row r="155" spans="1:11">
      <c r="A155" s="8">
        <v>1</v>
      </c>
      <c r="B155" s="105"/>
      <c r="C155" s="106" t="s">
        <v>379</v>
      </c>
      <c r="D155" s="106" t="s">
        <v>577</v>
      </c>
      <c r="E155" s="106" t="s">
        <v>556</v>
      </c>
      <c r="F155" s="279" t="s">
        <v>41</v>
      </c>
      <c r="G155" s="287" t="s">
        <v>40</v>
      </c>
      <c r="H155" s="286" t="s">
        <v>577</v>
      </c>
      <c r="I155" s="106" t="s">
        <v>378</v>
      </c>
      <c r="J155" s="106" t="s">
        <v>386</v>
      </c>
    </row>
    <row r="156" spans="1:11">
      <c r="A156" s="8">
        <v>1</v>
      </c>
      <c r="B156" s="106" t="s">
        <v>577</v>
      </c>
      <c r="C156" s="106" t="s">
        <v>387</v>
      </c>
      <c r="D156" s="106" t="s">
        <v>343</v>
      </c>
      <c r="E156" s="106" t="s">
        <v>57</v>
      </c>
      <c r="F156" s="313">
        <f>H43-H41</f>
        <v>0</v>
      </c>
      <c r="G156" s="287" t="s">
        <v>556</v>
      </c>
      <c r="H156" s="286" t="s">
        <v>538</v>
      </c>
      <c r="I156" s="106" t="s">
        <v>340</v>
      </c>
      <c r="J156" s="106" t="s">
        <v>382</v>
      </c>
    </row>
    <row r="157" spans="1:11" ht="13.5" thickBot="1">
      <c r="A157" s="8">
        <v>1</v>
      </c>
      <c r="B157" s="107" t="s">
        <v>336</v>
      </c>
      <c r="C157" s="107" t="s">
        <v>344</v>
      </c>
      <c r="D157" s="107" t="s">
        <v>344</v>
      </c>
      <c r="E157" s="277" t="s">
        <v>344</v>
      </c>
      <c r="F157" s="279" t="s">
        <v>578</v>
      </c>
      <c r="G157" s="389" t="s">
        <v>38</v>
      </c>
      <c r="H157" s="403" t="s">
        <v>39</v>
      </c>
      <c r="I157" s="107" t="s">
        <v>339</v>
      </c>
      <c r="J157" s="107" t="s">
        <v>339</v>
      </c>
    </row>
    <row r="158" spans="1:11" ht="13.5" thickBot="1">
      <c r="A158" s="8">
        <v>1</v>
      </c>
      <c r="B158" s="278">
        <v>0</v>
      </c>
      <c r="C158" s="272" t="s">
        <v>213</v>
      </c>
      <c r="D158" s="272" t="s">
        <v>213</v>
      </c>
      <c r="E158" s="273">
        <v>0</v>
      </c>
      <c r="F158" s="274"/>
      <c r="G158" s="274"/>
      <c r="H158" s="274"/>
      <c r="I158" s="276" t="s">
        <v>213</v>
      </c>
      <c r="J158" s="275" t="s">
        <v>213</v>
      </c>
    </row>
    <row r="159" spans="1:11" ht="13.5" thickBot="1">
      <c r="A159" s="8">
        <v>1</v>
      </c>
      <c r="B159" s="286">
        <v>1</v>
      </c>
      <c r="C159" s="291"/>
      <c r="D159" s="291"/>
      <c r="E159" s="292"/>
      <c r="F159" s="272"/>
      <c r="G159" s="272" t="s">
        <v>213</v>
      </c>
      <c r="H159" s="272" t="s">
        <v>213</v>
      </c>
      <c r="I159" s="293" t="s">
        <v>213</v>
      </c>
      <c r="J159" s="293"/>
    </row>
    <row r="160" spans="1:11" s="102" customFormat="1" ht="13.5" thickBot="1">
      <c r="A160" s="8">
        <v>1</v>
      </c>
      <c r="B160" s="282">
        <v>2</v>
      </c>
      <c r="C160" s="291" t="s">
        <v>213</v>
      </c>
      <c r="D160" s="291" t="s">
        <v>213</v>
      </c>
      <c r="E160" s="291" t="s">
        <v>213</v>
      </c>
      <c r="F160" s="291" t="s">
        <v>213</v>
      </c>
      <c r="G160" s="272" t="s">
        <v>213</v>
      </c>
      <c r="H160" s="272" t="s">
        <v>213</v>
      </c>
      <c r="I160" s="272" t="s">
        <v>213</v>
      </c>
      <c r="J160" s="272" t="s">
        <v>213</v>
      </c>
      <c r="K160"/>
    </row>
    <row r="161" spans="1:11" s="102" customFormat="1">
      <c r="A161" s="8">
        <v>1</v>
      </c>
      <c r="B161" s="287">
        <v>3</v>
      </c>
      <c r="C161" s="288">
        <f t="shared" ref="C161:C166" si="8">-PV(E161,B161-B$143,,-F161)</f>
        <v>0</v>
      </c>
      <c r="D161" s="288">
        <f t="shared" ref="D161:D166" si="9">-F161</f>
        <v>0</v>
      </c>
      <c r="E161" s="404">
        <f>B44/4</f>
        <v>1.6025000000000001E-2</v>
      </c>
      <c r="F161" s="432">
        <f>PMT(E161,B166-B160,,H43-H41)</f>
        <v>0</v>
      </c>
      <c r="G161" s="432">
        <f>-(F41*G41-F44*G44)</f>
        <v>0</v>
      </c>
      <c r="H161" s="288">
        <f>F161-G161</f>
        <v>0</v>
      </c>
      <c r="I161" s="303">
        <f>(FV(E162,B162,0,-1)/FV(E161,B161,0,-1)) - 1</f>
        <v>1.6024999999999956E-2</v>
      </c>
      <c r="J161" s="303">
        <f>GEOMEAN(I160:I161)</f>
        <v>1.6024999999999952E-2</v>
      </c>
      <c r="K161"/>
    </row>
    <row r="162" spans="1:11" s="102" customFormat="1">
      <c r="A162" s="8">
        <v>1</v>
      </c>
      <c r="B162" s="286">
        <v>4</v>
      </c>
      <c r="C162" s="82">
        <f t="shared" si="8"/>
        <v>0</v>
      </c>
      <c r="D162" s="82">
        <f t="shared" si="9"/>
        <v>0</v>
      </c>
      <c r="E162" s="108">
        <f t="shared" ref="E162:F166" si="10">E161</f>
        <v>1.6025000000000001E-2</v>
      </c>
      <c r="F162" s="82">
        <f t="shared" si="10"/>
        <v>0</v>
      </c>
      <c r="G162" s="291" t="s">
        <v>213</v>
      </c>
      <c r="H162" s="291" t="s">
        <v>213</v>
      </c>
      <c r="I162" s="304">
        <f>(FV(E163,B163,0,-1)/FV(E162,B162,0,-1)) - 1</f>
        <v>1.6024999999999956E-2</v>
      </c>
      <c r="J162" s="304">
        <f>GEOMEAN(I160:I162)</f>
        <v>1.6024999999999952E-2</v>
      </c>
      <c r="K162"/>
    </row>
    <row r="163" spans="1:11" s="102" customFormat="1">
      <c r="A163" s="8">
        <v>1</v>
      </c>
      <c r="B163" s="106">
        <v>5</v>
      </c>
      <c r="C163" s="82">
        <f t="shared" si="8"/>
        <v>0</v>
      </c>
      <c r="D163" s="82">
        <f t="shared" si="9"/>
        <v>0</v>
      </c>
      <c r="E163" s="108">
        <f t="shared" si="10"/>
        <v>1.6025000000000001E-2</v>
      </c>
      <c r="F163" s="82">
        <f t="shared" si="10"/>
        <v>0</v>
      </c>
      <c r="G163" s="291" t="s">
        <v>213</v>
      </c>
      <c r="H163" s="291" t="s">
        <v>213</v>
      </c>
      <c r="I163" s="108">
        <f>(FV(E164,B164,0,-1)/FV(E163,B163,0,-1)) - 1</f>
        <v>1.6025000000000178E-2</v>
      </c>
      <c r="J163" s="108">
        <f>GEOMEAN(I160:I163)</f>
        <v>1.6025000000000039E-2</v>
      </c>
      <c r="K163"/>
    </row>
    <row r="164" spans="1:11" s="102" customFormat="1">
      <c r="A164" s="8">
        <v>1</v>
      </c>
      <c r="B164" s="106">
        <v>6</v>
      </c>
      <c r="C164" s="82">
        <f t="shared" si="8"/>
        <v>0</v>
      </c>
      <c r="D164" s="82">
        <f t="shared" si="9"/>
        <v>0</v>
      </c>
      <c r="E164" s="108">
        <f t="shared" si="10"/>
        <v>1.6025000000000001E-2</v>
      </c>
      <c r="F164" s="82">
        <f t="shared" si="10"/>
        <v>0</v>
      </c>
      <c r="G164" s="291" t="s">
        <v>213</v>
      </c>
      <c r="H164" s="291" t="s">
        <v>213</v>
      </c>
      <c r="I164" s="108">
        <f>(FV(E165,B165,0,-1)/FV(E164,B164,0,-1)) - 1</f>
        <v>1.6024999999999956E-2</v>
      </c>
      <c r="J164" s="108">
        <f>GEOMEAN(I160:I164)</f>
        <v>1.6025000000000008E-2</v>
      </c>
      <c r="K164"/>
    </row>
    <row r="165" spans="1:11" s="102" customFormat="1">
      <c r="A165" s="8">
        <v>1</v>
      </c>
      <c r="B165" s="106">
        <v>7</v>
      </c>
      <c r="C165" s="82">
        <f t="shared" si="8"/>
        <v>0</v>
      </c>
      <c r="D165" s="82">
        <f t="shared" si="9"/>
        <v>0</v>
      </c>
      <c r="E165" s="108">
        <f t="shared" si="10"/>
        <v>1.6025000000000001E-2</v>
      </c>
      <c r="F165" s="82">
        <f t="shared" si="10"/>
        <v>0</v>
      </c>
      <c r="G165" s="291" t="s">
        <v>213</v>
      </c>
      <c r="H165" s="291" t="s">
        <v>213</v>
      </c>
      <c r="I165" s="108">
        <f>(FV(E166,B166,0,-1)/FV(E165,B165,0,-1)) - 1</f>
        <v>1.6024999999999956E-2</v>
      </c>
      <c r="J165" s="108">
        <f>GEOMEAN(I162:I165)</f>
        <v>1.6025000000000008E-2</v>
      </c>
      <c r="K165"/>
    </row>
    <row r="166" spans="1:11" ht="13.5" thickBot="1">
      <c r="A166" s="8">
        <v>1</v>
      </c>
      <c r="B166" s="107">
        <v>8</v>
      </c>
      <c r="C166" s="83">
        <f t="shared" si="8"/>
        <v>0</v>
      </c>
      <c r="D166" s="83">
        <f t="shared" si="9"/>
        <v>0</v>
      </c>
      <c r="E166" s="109">
        <f t="shared" si="10"/>
        <v>1.6025000000000001E-2</v>
      </c>
      <c r="F166" s="83">
        <f t="shared" si="10"/>
        <v>0</v>
      </c>
      <c r="G166" s="291" t="s">
        <v>213</v>
      </c>
      <c r="H166" s="291" t="s">
        <v>213</v>
      </c>
      <c r="I166" s="285" t="s">
        <v>213</v>
      </c>
      <c r="J166" s="285" t="s">
        <v>213</v>
      </c>
    </row>
    <row r="167" spans="1:11">
      <c r="A167" s="8">
        <v>1</v>
      </c>
      <c r="B167" s="439" t="s">
        <v>144</v>
      </c>
    </row>
    <row r="168" spans="1:11" ht="13.5" thickBot="1">
      <c r="A168" s="8">
        <v>1</v>
      </c>
    </row>
    <row r="169" spans="1:11" ht="13.5" thickBot="1">
      <c r="A169" s="8">
        <v>1</v>
      </c>
      <c r="B169" s="271" t="s">
        <v>583</v>
      </c>
      <c r="C169" s="165"/>
      <c r="D169" s="165"/>
      <c r="E169" s="165"/>
      <c r="F169" s="165"/>
      <c r="G169" s="166"/>
    </row>
    <row r="170" spans="1:11">
      <c r="A170" s="8">
        <v>1</v>
      </c>
      <c r="B170" s="104"/>
      <c r="C170" s="110" t="s">
        <v>392</v>
      </c>
      <c r="D170" s="110" t="s">
        <v>393</v>
      </c>
      <c r="E170" s="110" t="s">
        <v>398</v>
      </c>
      <c r="F170" s="279" t="s">
        <v>557</v>
      </c>
      <c r="G170" s="391" t="str">
        <f>E45</f>
        <v>06/30/x2</v>
      </c>
      <c r="H170" s="278" t="s">
        <v>213</v>
      </c>
      <c r="I170" s="110" t="s">
        <v>577</v>
      </c>
      <c r="J170" s="110" t="s">
        <v>466</v>
      </c>
    </row>
    <row r="171" spans="1:11">
      <c r="A171" s="8">
        <v>1</v>
      </c>
      <c r="B171" s="105"/>
      <c r="C171" s="106" t="s">
        <v>379</v>
      </c>
      <c r="D171" s="106" t="s">
        <v>577</v>
      </c>
      <c r="E171" s="106" t="s">
        <v>556</v>
      </c>
      <c r="F171" s="279" t="s">
        <v>41</v>
      </c>
      <c r="G171" s="289" t="s">
        <v>42</v>
      </c>
      <c r="H171" s="286" t="s">
        <v>577</v>
      </c>
      <c r="I171" s="106" t="s">
        <v>378</v>
      </c>
      <c r="J171" s="106" t="s">
        <v>386</v>
      </c>
    </row>
    <row r="172" spans="1:11">
      <c r="A172" s="8">
        <v>1</v>
      </c>
      <c r="B172" s="106" t="s">
        <v>577</v>
      </c>
      <c r="C172" s="106" t="s">
        <v>387</v>
      </c>
      <c r="D172" s="106" t="s">
        <v>343</v>
      </c>
      <c r="E172" s="106" t="s">
        <v>57</v>
      </c>
      <c r="F172" s="393">
        <f>H44-H41</f>
        <v>1074</v>
      </c>
      <c r="G172" s="289" t="s">
        <v>556</v>
      </c>
      <c r="H172" s="286" t="s">
        <v>538</v>
      </c>
      <c r="I172" s="106" t="s">
        <v>340</v>
      </c>
      <c r="J172" s="106" t="s">
        <v>382</v>
      </c>
    </row>
    <row r="173" spans="1:11" ht="13.5" thickBot="1">
      <c r="A173" s="8">
        <v>1</v>
      </c>
      <c r="B173" s="107" t="s">
        <v>336</v>
      </c>
      <c r="C173" s="107" t="s">
        <v>344</v>
      </c>
      <c r="D173" s="107" t="s">
        <v>344</v>
      </c>
      <c r="E173" s="277" t="s">
        <v>344</v>
      </c>
      <c r="F173" s="279" t="s">
        <v>578</v>
      </c>
      <c r="G173" s="392" t="s">
        <v>38</v>
      </c>
      <c r="H173" s="403" t="s">
        <v>39</v>
      </c>
      <c r="I173" s="107" t="s">
        <v>339</v>
      </c>
      <c r="J173" s="107" t="s">
        <v>339</v>
      </c>
    </row>
    <row r="174" spans="1:11" ht="13.5" thickBot="1">
      <c r="A174" s="8">
        <v>1</v>
      </c>
      <c r="B174" s="278">
        <v>0</v>
      </c>
      <c r="C174" s="272" t="s">
        <v>213</v>
      </c>
      <c r="D174" s="272" t="str">
        <f>D139</f>
        <v>Quarter t</v>
      </c>
      <c r="E174" s="273">
        <v>0</v>
      </c>
      <c r="F174" s="274"/>
      <c r="G174" s="274"/>
      <c r="H174" s="274"/>
      <c r="I174" s="276" t="s">
        <v>213</v>
      </c>
      <c r="J174" s="275" t="s">
        <v>213</v>
      </c>
    </row>
    <row r="175" spans="1:11" s="102" customFormat="1" ht="13.5" thickBot="1">
      <c r="A175" s="8">
        <v>1</v>
      </c>
      <c r="B175" s="286">
        <v>1</v>
      </c>
      <c r="C175" s="291"/>
      <c r="D175" s="291"/>
      <c r="E175" s="273"/>
      <c r="F175" s="272"/>
      <c r="G175" s="272" t="s">
        <v>213</v>
      </c>
      <c r="H175" s="272" t="s">
        <v>213</v>
      </c>
      <c r="I175" s="306" t="s">
        <v>213</v>
      </c>
      <c r="J175" s="306"/>
      <c r="K175"/>
    </row>
    <row r="176" spans="1:11" s="102" customFormat="1">
      <c r="A176" s="8">
        <v>1</v>
      </c>
      <c r="B176" s="286">
        <v>2</v>
      </c>
      <c r="C176" s="291"/>
      <c r="D176" s="291"/>
      <c r="E176" s="307"/>
      <c r="F176" s="291"/>
      <c r="G176" s="272" t="s">
        <v>213</v>
      </c>
      <c r="H176" s="272" t="s">
        <v>213</v>
      </c>
      <c r="I176" s="306" t="s">
        <v>213</v>
      </c>
      <c r="J176" s="306"/>
      <c r="K176"/>
    </row>
    <row r="177" spans="1:11" s="102" customFormat="1" ht="13.5" thickBot="1">
      <c r="A177" s="8">
        <v>1</v>
      </c>
      <c r="B177" s="287">
        <v>3</v>
      </c>
      <c r="C177" s="291" t="s">
        <v>213</v>
      </c>
      <c r="D177" s="291" t="s">
        <v>213</v>
      </c>
      <c r="E177" s="291" t="s">
        <v>213</v>
      </c>
      <c r="F177" s="291" t="s">
        <v>213</v>
      </c>
      <c r="G177" s="291" t="s">
        <v>213</v>
      </c>
      <c r="H177" s="291" t="s">
        <v>213</v>
      </c>
      <c r="I177" s="291" t="s">
        <v>213</v>
      </c>
      <c r="J177" s="291" t="s">
        <v>213</v>
      </c>
      <c r="K177"/>
    </row>
    <row r="178" spans="1:11" s="102" customFormat="1">
      <c r="A178" s="8">
        <v>1</v>
      </c>
      <c r="B178" s="289">
        <v>4</v>
      </c>
      <c r="C178" s="290">
        <f>-PV(E178,B178-B$143,,-F178)</f>
        <v>198.55759849715778</v>
      </c>
      <c r="D178" s="290">
        <f>-F178</f>
        <v>208.11871559570804</v>
      </c>
      <c r="E178" s="305">
        <f>B45/4</f>
        <v>1.5800000000000002E-2</v>
      </c>
      <c r="F178" s="434">
        <f>PMT(E178,B182-B177,,H44-H41)</f>
        <v>-208.11871559570804</v>
      </c>
      <c r="G178" s="434">
        <f>-(F41*G41-F45*G45)</f>
        <v>-225</v>
      </c>
      <c r="H178" s="290">
        <f>F178-G178</f>
        <v>16.881284404291961</v>
      </c>
      <c r="I178" s="305">
        <f>(FV(E179,B179,0,-1)/FV(E178,B178,0,-1)) - 1</f>
        <v>1.5800000000000036E-2</v>
      </c>
      <c r="J178" s="305">
        <f>GEOMEAN(I177:I178)</f>
        <v>1.5800000000000029E-2</v>
      </c>
      <c r="K178"/>
    </row>
    <row r="179" spans="1:11" s="102" customFormat="1">
      <c r="A179" s="8">
        <v>1</v>
      </c>
      <c r="B179" s="106">
        <v>5</v>
      </c>
      <c r="C179" s="82">
        <f>-PV(E179,B179-B$143,,-F179)</f>
        <v>195.46918536833806</v>
      </c>
      <c r="D179" s="82">
        <f>-F179</f>
        <v>208.11871559570804</v>
      </c>
      <c r="E179" s="108">
        <f t="shared" ref="E179:F182" si="11">E178</f>
        <v>1.5800000000000002E-2</v>
      </c>
      <c r="F179" s="82">
        <f t="shared" si="11"/>
        <v>-208.11871559570804</v>
      </c>
      <c r="G179" s="291" t="s">
        <v>213</v>
      </c>
      <c r="H179" s="291" t="s">
        <v>213</v>
      </c>
      <c r="I179" s="108">
        <f>(FV(E180,B180,0,-1)/FV(E179,B179,0,-1)) - 1</f>
        <v>1.5800000000000036E-2</v>
      </c>
      <c r="J179" s="108">
        <f>GEOMEAN(I177:I179)</f>
        <v>1.5800000000000043E-2</v>
      </c>
      <c r="K179"/>
    </row>
    <row r="180" spans="1:11" s="102" customFormat="1">
      <c r="A180" s="8">
        <v>1</v>
      </c>
      <c r="B180" s="106">
        <v>6</v>
      </c>
      <c r="C180" s="82">
        <f>-PV(E180,B180-B$143,,-F180)</f>
        <v>192.42881016768857</v>
      </c>
      <c r="D180" s="82">
        <f>-F180</f>
        <v>208.11871559570804</v>
      </c>
      <c r="E180" s="108">
        <f t="shared" si="11"/>
        <v>1.5800000000000002E-2</v>
      </c>
      <c r="F180" s="82">
        <f t="shared" si="11"/>
        <v>-208.11871559570804</v>
      </c>
      <c r="G180" s="291" t="s">
        <v>213</v>
      </c>
      <c r="H180" s="291" t="s">
        <v>213</v>
      </c>
      <c r="I180" s="108">
        <f>(FV(E181,B181,0,-1)/FV(E180,B180,0,-1)) - 1</f>
        <v>1.5800000000000258E-2</v>
      </c>
      <c r="J180" s="108">
        <f>GEOMEAN(I177:I180)</f>
        <v>1.5800000000000113E-2</v>
      </c>
      <c r="K180"/>
    </row>
    <row r="181" spans="1:11" s="102" customFormat="1">
      <c r="A181" s="8">
        <v>1</v>
      </c>
      <c r="B181" s="106">
        <v>7</v>
      </c>
      <c r="C181" s="82">
        <f>-PV(E181,B181-B$143,,-F181)</f>
        <v>189.43572570160322</v>
      </c>
      <c r="D181" s="82">
        <f>-F181</f>
        <v>208.11871559570804</v>
      </c>
      <c r="E181" s="108">
        <f t="shared" si="11"/>
        <v>1.5800000000000002E-2</v>
      </c>
      <c r="F181" s="82">
        <f t="shared" si="11"/>
        <v>-208.11871559570804</v>
      </c>
      <c r="G181" s="291" t="s">
        <v>213</v>
      </c>
      <c r="H181" s="291" t="s">
        <v>213</v>
      </c>
      <c r="I181" s="108">
        <f>(FV(E182,B182,0,-1)/FV(E181,B181,0,-1)) - 1</f>
        <v>1.5800000000000036E-2</v>
      </c>
      <c r="J181" s="108">
        <f>GEOMEAN(I177:I181)</f>
        <v>1.5800000000000085E-2</v>
      </c>
      <c r="K181"/>
    </row>
    <row r="182" spans="1:11" s="102" customFormat="1" ht="13.5" thickBot="1">
      <c r="A182" s="8">
        <v>1</v>
      </c>
      <c r="B182" s="107">
        <v>8</v>
      </c>
      <c r="C182" s="83">
        <f>-PV(E182,B182-B$143,,-F182)</f>
        <v>186.48919639850678</v>
      </c>
      <c r="D182" s="83">
        <f>-F182</f>
        <v>208.11871559570804</v>
      </c>
      <c r="E182" s="109">
        <f t="shared" si="11"/>
        <v>1.5800000000000002E-2</v>
      </c>
      <c r="F182" s="83">
        <f t="shared" si="11"/>
        <v>-208.11871559570804</v>
      </c>
      <c r="G182" s="291" t="s">
        <v>213</v>
      </c>
      <c r="H182" s="291" t="s">
        <v>213</v>
      </c>
      <c r="I182" s="285" t="s">
        <v>213</v>
      </c>
      <c r="J182" s="285" t="s">
        <v>213</v>
      </c>
      <c r="K182"/>
    </row>
    <row r="183" spans="1:11">
      <c r="A183" s="8">
        <v>1</v>
      </c>
      <c r="B183" s="439" t="s">
        <v>144</v>
      </c>
    </row>
    <row r="184" spans="1:11" ht="13.5" thickBot="1">
      <c r="A184" s="8">
        <v>1</v>
      </c>
      <c r="B184" s="439"/>
    </row>
    <row r="185" spans="1:11" ht="13.5" thickBot="1">
      <c r="A185" s="8">
        <v>1</v>
      </c>
      <c r="B185" s="271" t="s">
        <v>584</v>
      </c>
      <c r="C185" s="165"/>
      <c r="D185" s="165"/>
      <c r="E185" s="165"/>
      <c r="F185" s="165"/>
      <c r="G185" s="166"/>
    </row>
    <row r="186" spans="1:11">
      <c r="A186" s="8">
        <v>1</v>
      </c>
      <c r="B186" s="104"/>
      <c r="C186" s="110" t="s">
        <v>392</v>
      </c>
      <c r="D186" s="110" t="s">
        <v>393</v>
      </c>
      <c r="E186" s="110" t="s">
        <v>398</v>
      </c>
      <c r="F186" s="279" t="s">
        <v>557</v>
      </c>
      <c r="G186" s="394" t="str">
        <f>E46</f>
        <v>09/30/x2</v>
      </c>
      <c r="H186" s="278" t="s">
        <v>213</v>
      </c>
      <c r="I186" s="110" t="s">
        <v>577</v>
      </c>
      <c r="J186" s="110" t="s">
        <v>466</v>
      </c>
    </row>
    <row r="187" spans="1:11">
      <c r="A187" s="8">
        <v>1</v>
      </c>
      <c r="B187" s="105"/>
      <c r="C187" s="106" t="s">
        <v>379</v>
      </c>
      <c r="D187" s="106" t="s">
        <v>577</v>
      </c>
      <c r="E187" s="106" t="s">
        <v>556</v>
      </c>
      <c r="F187" s="279" t="s">
        <v>41</v>
      </c>
      <c r="G187" s="296" t="s">
        <v>43</v>
      </c>
      <c r="H187" s="286" t="s">
        <v>577</v>
      </c>
      <c r="I187" s="106" t="s">
        <v>378</v>
      </c>
      <c r="J187" s="106" t="s">
        <v>386</v>
      </c>
    </row>
    <row r="188" spans="1:11">
      <c r="A188" s="8">
        <v>1</v>
      </c>
      <c r="B188" s="106" t="s">
        <v>577</v>
      </c>
      <c r="C188" s="106" t="s">
        <v>387</v>
      </c>
      <c r="D188" s="106" t="s">
        <v>343</v>
      </c>
      <c r="E188" s="106" t="s">
        <v>57</v>
      </c>
      <c r="F188" s="312">
        <f>H45-H41</f>
        <v>-11355</v>
      </c>
      <c r="G188" s="296" t="s">
        <v>556</v>
      </c>
      <c r="H188" s="286" t="s">
        <v>538</v>
      </c>
      <c r="I188" s="106" t="s">
        <v>340</v>
      </c>
      <c r="J188" s="106" t="s">
        <v>382</v>
      </c>
    </row>
    <row r="189" spans="1:11" ht="13.5" thickBot="1">
      <c r="A189" s="8">
        <v>1</v>
      </c>
      <c r="B189" s="107" t="s">
        <v>336</v>
      </c>
      <c r="C189" s="107" t="s">
        <v>344</v>
      </c>
      <c r="D189" s="107" t="s">
        <v>344</v>
      </c>
      <c r="E189" s="277" t="s">
        <v>344</v>
      </c>
      <c r="F189" s="279" t="s">
        <v>578</v>
      </c>
      <c r="G189" s="395" t="s">
        <v>38</v>
      </c>
      <c r="H189" s="403" t="s">
        <v>39</v>
      </c>
      <c r="I189" s="107" t="s">
        <v>339</v>
      </c>
      <c r="J189" s="107" t="s">
        <v>339</v>
      </c>
    </row>
    <row r="190" spans="1:11" ht="13.5" thickBot="1">
      <c r="A190" s="8">
        <v>1</v>
      </c>
      <c r="B190" s="278">
        <v>0</v>
      </c>
      <c r="C190" s="272" t="s">
        <v>213</v>
      </c>
      <c r="D190" s="272" t="str">
        <f>D155</f>
        <v>Quarter t</v>
      </c>
      <c r="E190" s="273">
        <v>0</v>
      </c>
      <c r="F190" s="274"/>
      <c r="G190" s="274"/>
      <c r="H190" s="274"/>
      <c r="I190" s="276"/>
      <c r="J190" s="275" t="s">
        <v>213</v>
      </c>
    </row>
    <row r="191" spans="1:11" ht="13.5" thickBot="1">
      <c r="A191" s="8">
        <v>1</v>
      </c>
      <c r="B191" s="286">
        <v>1</v>
      </c>
      <c r="C191" s="291"/>
      <c r="D191" s="291"/>
      <c r="E191" s="292"/>
      <c r="F191" s="272"/>
      <c r="G191" s="272" t="s">
        <v>213</v>
      </c>
      <c r="H191" s="272" t="s">
        <v>213</v>
      </c>
      <c r="I191" s="293"/>
      <c r="J191" s="293"/>
    </row>
    <row r="192" spans="1:11" ht="13.5" thickBot="1">
      <c r="A192" s="8">
        <v>1</v>
      </c>
      <c r="B192" s="286">
        <v>2</v>
      </c>
      <c r="C192" s="291"/>
      <c r="D192" s="291"/>
      <c r="E192" s="294"/>
      <c r="F192" s="291"/>
      <c r="G192" s="272" t="s">
        <v>213</v>
      </c>
      <c r="H192" s="272" t="s">
        <v>213</v>
      </c>
      <c r="I192" s="293"/>
      <c r="J192" s="293"/>
    </row>
    <row r="193" spans="1:11">
      <c r="A193" s="8">
        <v>1</v>
      </c>
      <c r="B193" s="286">
        <v>3</v>
      </c>
      <c r="C193" s="291"/>
      <c r="D193" s="291"/>
      <c r="E193" s="292"/>
      <c r="F193" s="291"/>
      <c r="G193" s="291" t="s">
        <v>213</v>
      </c>
      <c r="H193" s="291" t="s">
        <v>213</v>
      </c>
      <c r="I193" s="293"/>
      <c r="J193" s="293"/>
    </row>
    <row r="194" spans="1:11" s="102" customFormat="1" ht="13.5" thickBot="1">
      <c r="A194" s="8">
        <v>1</v>
      </c>
      <c r="B194" s="289">
        <v>4</v>
      </c>
      <c r="C194" s="291" t="s">
        <v>213</v>
      </c>
      <c r="D194" s="291" t="s">
        <v>213</v>
      </c>
      <c r="E194" s="291" t="s">
        <v>213</v>
      </c>
      <c r="F194" s="291" t="s">
        <v>213</v>
      </c>
      <c r="G194" s="291" t="s">
        <v>213</v>
      </c>
      <c r="H194" s="291" t="s">
        <v>213</v>
      </c>
      <c r="I194" s="291" t="s">
        <v>213</v>
      </c>
      <c r="J194" s="291" t="s">
        <v>213</v>
      </c>
      <c r="K194"/>
    </row>
    <row r="195" spans="1:11" s="102" customFormat="1">
      <c r="A195" s="8">
        <v>1</v>
      </c>
      <c r="B195" s="296">
        <v>5</v>
      </c>
      <c r="C195" s="295">
        <f>-PV(E195,B195-B$143,,-F195)</f>
        <v>-2559.0158876704409</v>
      </c>
      <c r="D195" s="295">
        <f>-F195</f>
        <v>-2759.1144661994917</v>
      </c>
      <c r="E195" s="435">
        <f>B46/4</f>
        <v>1.9E-2</v>
      </c>
      <c r="F195" s="436">
        <f>PMT(E195,B198-B194,,H45-H41)</f>
        <v>2759.1144661994917</v>
      </c>
      <c r="G195" s="436">
        <f>-(F41*G41-F46*G46)</f>
        <v>2974.9999999999982</v>
      </c>
      <c r="H195" s="295">
        <f>F195-G195</f>
        <v>-215.88553380050644</v>
      </c>
      <c r="I195" s="308">
        <f>(FV(E196,B196,0,-1)/FV(E195,B195,0,-1)) - 1</f>
        <v>1.9000000000000128E-2</v>
      </c>
      <c r="J195" s="308">
        <f>GEOMEAN(I194:I195)</f>
        <v>1.9000000000000128E-2</v>
      </c>
      <c r="K195"/>
    </row>
    <row r="196" spans="1:11" s="102" customFormat="1">
      <c r="A196" s="8">
        <v>1</v>
      </c>
      <c r="B196" s="106">
        <v>6</v>
      </c>
      <c r="C196" s="82">
        <f>-PV(E196,B196-B$143,,-F196)</f>
        <v>-2511.3011655254577</v>
      </c>
      <c r="D196" s="82">
        <f>-F196</f>
        <v>-2759.1144661994917</v>
      </c>
      <c r="E196" s="304">
        <f t="shared" ref="E196:F198" si="12">E195</f>
        <v>1.9E-2</v>
      </c>
      <c r="F196" s="82">
        <f t="shared" si="12"/>
        <v>2759.1144661994917</v>
      </c>
      <c r="G196" s="291" t="s">
        <v>213</v>
      </c>
      <c r="H196" s="291" t="s">
        <v>213</v>
      </c>
      <c r="I196" s="108">
        <f>(FV(E197,B197,0,-1)/FV(E196,B196,0,-1)) - 1</f>
        <v>1.8999999999999906E-2</v>
      </c>
      <c r="J196" s="108">
        <f>GEOMEAN(I194:I196)</f>
        <v>1.9000000000000017E-2</v>
      </c>
      <c r="K196"/>
    </row>
    <row r="197" spans="1:11" s="102" customFormat="1">
      <c r="A197" s="8">
        <v>1</v>
      </c>
      <c r="B197" s="106">
        <v>7</v>
      </c>
      <c r="C197" s="82">
        <f>-PV(E197,B197-B$143,,-F197)</f>
        <v>-2464.4761192595265</v>
      </c>
      <c r="D197" s="82">
        <f>-F197</f>
        <v>-2759.1144661994917</v>
      </c>
      <c r="E197" s="304">
        <f t="shared" si="12"/>
        <v>1.9E-2</v>
      </c>
      <c r="F197" s="82">
        <f t="shared" si="12"/>
        <v>2759.1144661994917</v>
      </c>
      <c r="G197" s="291" t="s">
        <v>213</v>
      </c>
      <c r="H197" s="291" t="s">
        <v>213</v>
      </c>
      <c r="I197" s="108">
        <f>(FV(E198,B198,0,-1)/FV(E197,B197,0,-1)) - 1</f>
        <v>1.8999999999999906E-2</v>
      </c>
      <c r="J197" s="108">
        <f>GEOMEAN(I194:I197)</f>
        <v>1.8999999999999982E-2</v>
      </c>
      <c r="K197"/>
    </row>
    <row r="198" spans="1:11" s="102" customFormat="1" ht="13.5" thickBot="1">
      <c r="A198" s="8">
        <v>1</v>
      </c>
      <c r="B198" s="107">
        <v>8</v>
      </c>
      <c r="C198" s="83">
        <f>-PV(E198,B198-B$143,,-F198)</f>
        <v>-2418.5241602154333</v>
      </c>
      <c r="D198" s="83">
        <f>-F198</f>
        <v>-2759.1144661994917</v>
      </c>
      <c r="E198" s="423">
        <f t="shared" si="12"/>
        <v>1.9E-2</v>
      </c>
      <c r="F198" s="83">
        <f t="shared" si="12"/>
        <v>2759.1144661994917</v>
      </c>
      <c r="G198" s="291" t="s">
        <v>213</v>
      </c>
      <c r="H198" s="291" t="s">
        <v>213</v>
      </c>
      <c r="I198" s="285" t="s">
        <v>213</v>
      </c>
      <c r="J198" s="285" t="s">
        <v>213</v>
      </c>
      <c r="K198"/>
    </row>
    <row r="199" spans="1:11">
      <c r="A199" s="8">
        <v>1</v>
      </c>
      <c r="B199" s="439" t="s">
        <v>144</v>
      </c>
    </row>
    <row r="200" spans="1:11" ht="13.5" thickBot="1">
      <c r="A200" s="8">
        <v>1</v>
      </c>
      <c r="B200" s="439"/>
    </row>
    <row r="201" spans="1:11" ht="13.5" thickBot="1">
      <c r="A201" s="8">
        <v>1</v>
      </c>
      <c r="B201" s="271" t="s">
        <v>585</v>
      </c>
      <c r="C201" s="165"/>
      <c r="D201" s="165"/>
      <c r="E201" s="165"/>
      <c r="F201" s="165"/>
      <c r="G201" s="166"/>
    </row>
    <row r="202" spans="1:11">
      <c r="A202" s="8">
        <v>1</v>
      </c>
      <c r="B202" s="104"/>
      <c r="C202" s="110" t="s">
        <v>392</v>
      </c>
      <c r="D202" s="110" t="s">
        <v>393</v>
      </c>
      <c r="E202" s="110" t="s">
        <v>398</v>
      </c>
      <c r="F202" s="279" t="s">
        <v>557</v>
      </c>
      <c r="G202" s="396" t="str">
        <f>E47</f>
        <v>12/31/x2</v>
      </c>
      <c r="H202" s="278" t="s">
        <v>213</v>
      </c>
      <c r="I202" s="110" t="s">
        <v>577</v>
      </c>
      <c r="J202" s="110" t="s">
        <v>466</v>
      </c>
    </row>
    <row r="203" spans="1:11">
      <c r="A203" s="8">
        <v>1</v>
      </c>
      <c r="B203" s="105"/>
      <c r="C203" s="106" t="s">
        <v>379</v>
      </c>
      <c r="D203" s="106" t="s">
        <v>577</v>
      </c>
      <c r="E203" s="106" t="s">
        <v>556</v>
      </c>
      <c r="F203" s="279" t="s">
        <v>41</v>
      </c>
      <c r="G203" s="280" t="s">
        <v>44</v>
      </c>
      <c r="H203" s="286" t="s">
        <v>577</v>
      </c>
      <c r="I203" s="106" t="s">
        <v>378</v>
      </c>
      <c r="J203" s="106" t="s">
        <v>386</v>
      </c>
    </row>
    <row r="204" spans="1:11">
      <c r="A204" s="8">
        <v>1</v>
      </c>
      <c r="B204" s="106" t="s">
        <v>577</v>
      </c>
      <c r="C204" s="106" t="s">
        <v>387</v>
      </c>
      <c r="D204" s="106" t="s">
        <v>343</v>
      </c>
      <c r="E204" s="106" t="s">
        <v>57</v>
      </c>
      <c r="F204" s="311">
        <f>H46-H41</f>
        <v>-9385</v>
      </c>
      <c r="G204" s="280" t="s">
        <v>556</v>
      </c>
      <c r="H204" s="286" t="s">
        <v>538</v>
      </c>
      <c r="I204" s="106" t="s">
        <v>340</v>
      </c>
      <c r="J204" s="106" t="s">
        <v>382</v>
      </c>
    </row>
    <row r="205" spans="1:11" ht="13.5" thickBot="1">
      <c r="A205" s="8">
        <v>1</v>
      </c>
      <c r="B205" s="107" t="s">
        <v>336</v>
      </c>
      <c r="C205" s="107" t="s">
        <v>344</v>
      </c>
      <c r="D205" s="107" t="s">
        <v>344</v>
      </c>
      <c r="E205" s="277" t="s">
        <v>344</v>
      </c>
      <c r="F205" s="279" t="s">
        <v>578</v>
      </c>
      <c r="G205" s="397" t="s">
        <v>38</v>
      </c>
      <c r="H205" s="403" t="s">
        <v>39</v>
      </c>
      <c r="I205" s="107" t="s">
        <v>339</v>
      </c>
      <c r="J205" s="107" t="s">
        <v>339</v>
      </c>
    </row>
    <row r="206" spans="1:11" ht="13.5" thickBot="1">
      <c r="A206" s="8">
        <v>1</v>
      </c>
      <c r="B206" s="278">
        <v>0</v>
      </c>
      <c r="C206" s="272" t="s">
        <v>213</v>
      </c>
      <c r="D206" s="272" t="str">
        <f>D170</f>
        <v>FV</v>
      </c>
      <c r="E206" s="273">
        <v>0</v>
      </c>
      <c r="F206" s="274"/>
      <c r="G206" s="274"/>
      <c r="H206" s="274"/>
      <c r="I206" s="276"/>
      <c r="J206" s="275" t="s">
        <v>213</v>
      </c>
    </row>
    <row r="207" spans="1:11" ht="13.5" thickBot="1">
      <c r="A207" s="8">
        <v>1</v>
      </c>
      <c r="B207" s="286">
        <v>1</v>
      </c>
      <c r="C207" s="291"/>
      <c r="D207" s="291"/>
      <c r="E207" s="292"/>
      <c r="F207" s="272"/>
      <c r="G207" s="272" t="s">
        <v>213</v>
      </c>
      <c r="H207" s="272" t="s">
        <v>213</v>
      </c>
      <c r="I207" s="293"/>
      <c r="J207" s="293"/>
    </row>
    <row r="208" spans="1:11" ht="13.5" thickBot="1">
      <c r="A208" s="8">
        <v>1</v>
      </c>
      <c r="B208" s="286">
        <v>2</v>
      </c>
      <c r="C208" s="291"/>
      <c r="D208" s="291"/>
      <c r="E208" s="294"/>
      <c r="F208" s="291"/>
      <c r="G208" s="272" t="s">
        <v>213</v>
      </c>
      <c r="H208" s="272" t="s">
        <v>213</v>
      </c>
      <c r="I208" s="293"/>
      <c r="J208" s="293"/>
    </row>
    <row r="209" spans="1:11">
      <c r="A209" s="8">
        <v>1</v>
      </c>
      <c r="B209" s="286">
        <v>3</v>
      </c>
      <c r="C209" s="291"/>
      <c r="D209" s="291"/>
      <c r="E209" s="292"/>
      <c r="F209" s="291"/>
      <c r="G209" s="291" t="s">
        <v>213</v>
      </c>
      <c r="H209" s="291" t="s">
        <v>213</v>
      </c>
      <c r="I209" s="293"/>
      <c r="J209" s="293"/>
    </row>
    <row r="210" spans="1:11" s="102" customFormat="1">
      <c r="A210" s="8">
        <v>1</v>
      </c>
      <c r="B210" s="286">
        <v>4</v>
      </c>
      <c r="C210" s="291"/>
      <c r="D210" s="291"/>
      <c r="E210" s="307"/>
      <c r="F210" s="291"/>
      <c r="G210" s="291" t="s">
        <v>213</v>
      </c>
      <c r="H210" s="291" t="s">
        <v>213</v>
      </c>
      <c r="I210" s="306"/>
      <c r="J210" s="306"/>
      <c r="K210"/>
    </row>
    <row r="211" spans="1:11" s="102" customFormat="1" ht="13.5" thickBot="1">
      <c r="A211" s="8">
        <v>1</v>
      </c>
      <c r="B211" s="296">
        <v>5</v>
      </c>
      <c r="C211" s="291" t="s">
        <v>213</v>
      </c>
      <c r="D211" s="291" t="s">
        <v>213</v>
      </c>
      <c r="E211" s="291" t="s">
        <v>213</v>
      </c>
      <c r="F211" s="291" t="s">
        <v>213</v>
      </c>
      <c r="G211" s="291" t="s">
        <v>213</v>
      </c>
      <c r="H211" s="291" t="s">
        <v>213</v>
      </c>
      <c r="I211" s="291" t="s">
        <v>213</v>
      </c>
      <c r="J211" s="291" t="s">
        <v>213</v>
      </c>
      <c r="K211"/>
    </row>
    <row r="212" spans="1:11" s="102" customFormat="1">
      <c r="A212" s="8">
        <v>1</v>
      </c>
      <c r="B212" s="280">
        <v>6</v>
      </c>
      <c r="C212" s="281">
        <f>-PV(E212,B212-B$143,,-F212)</f>
        <v>-2789.407889304925</v>
      </c>
      <c r="D212" s="281">
        <f>-F212</f>
        <v>-3068.8021261426379</v>
      </c>
      <c r="E212" s="416">
        <f>B47/4</f>
        <v>1.9275E-2</v>
      </c>
      <c r="F212" s="390">
        <f>PMT(E212,B214-B211,,H46-H41)</f>
        <v>3068.8021261426379</v>
      </c>
      <c r="G212" s="390">
        <f>-(F41*G41-F47*G47)</f>
        <v>3249.9999999999982</v>
      </c>
      <c r="H212" s="281">
        <f>F212-G212</f>
        <v>-181.19787385736026</v>
      </c>
      <c r="I212" s="301">
        <f>(FV(E213,B213,0,-1)/FV(E212,B212,0,-1)) - 1</f>
        <v>1.9274999999999709E-2</v>
      </c>
      <c r="J212" s="301">
        <f>GEOMEAN(I211:I212)</f>
        <v>1.9274999999999709E-2</v>
      </c>
      <c r="K212"/>
    </row>
    <row r="213" spans="1:11" s="102" customFormat="1">
      <c r="A213" s="8">
        <v>1</v>
      </c>
      <c r="B213" s="106">
        <v>7</v>
      </c>
      <c r="C213" s="82">
        <f>-PV(E213,B213-B$143,,-F213)</f>
        <v>-2736.6587911063498</v>
      </c>
      <c r="D213" s="82">
        <f>-F213</f>
        <v>-3068.8021261426379</v>
      </c>
      <c r="E213" s="108">
        <f>E212</f>
        <v>1.9275E-2</v>
      </c>
      <c r="F213" s="82">
        <f>F212</f>
        <v>3068.8021261426379</v>
      </c>
      <c r="G213" s="291" t="s">
        <v>213</v>
      </c>
      <c r="H213" s="291" t="s">
        <v>213</v>
      </c>
      <c r="I213" s="108">
        <f>(FV(E214,B214,0,-1)/FV(E213,B213,0,-1)) - 1</f>
        <v>1.9275000000000153E-2</v>
      </c>
      <c r="J213" s="108">
        <f>GEOMEAN(I211:I213)</f>
        <v>1.9274999999999931E-2</v>
      </c>
      <c r="K213"/>
    </row>
    <row r="214" spans="1:11" s="102" customFormat="1" ht="13.5" thickBot="1">
      <c r="A214" s="8">
        <v>1</v>
      </c>
      <c r="B214" s="107">
        <v>8</v>
      </c>
      <c r="C214" s="83">
        <f>-PV(E214,B214-B$143,,-F214)</f>
        <v>-2684.9072047350815</v>
      </c>
      <c r="D214" s="83">
        <f>-F214</f>
        <v>-3068.8021261426379</v>
      </c>
      <c r="E214" s="109">
        <f>E213</f>
        <v>1.9275E-2</v>
      </c>
      <c r="F214" s="83">
        <f>F213</f>
        <v>3068.8021261426379</v>
      </c>
      <c r="G214" s="291" t="s">
        <v>213</v>
      </c>
      <c r="H214" s="291" t="s">
        <v>213</v>
      </c>
      <c r="I214" s="285" t="s">
        <v>213</v>
      </c>
      <c r="J214" s="285" t="s">
        <v>213</v>
      </c>
      <c r="K214"/>
    </row>
    <row r="215" spans="1:11">
      <c r="A215" s="8">
        <v>1</v>
      </c>
      <c r="B215" s="439" t="s">
        <v>144</v>
      </c>
    </row>
    <row r="216" spans="1:11" ht="13.5" thickBot="1">
      <c r="A216" s="8">
        <v>1</v>
      </c>
      <c r="B216" s="439"/>
    </row>
    <row r="217" spans="1:11" ht="13.5" thickBot="1">
      <c r="A217" s="8">
        <v>1</v>
      </c>
      <c r="B217" s="271" t="s">
        <v>586</v>
      </c>
      <c r="C217" s="165"/>
      <c r="D217" s="165"/>
      <c r="E217" s="165"/>
      <c r="F217" s="165"/>
      <c r="G217" s="166"/>
    </row>
    <row r="218" spans="1:11">
      <c r="A218" s="8">
        <v>1</v>
      </c>
      <c r="B218" s="104"/>
      <c r="C218" s="110" t="s">
        <v>392</v>
      </c>
      <c r="D218" s="110" t="s">
        <v>393</v>
      </c>
      <c r="E218" s="110" t="s">
        <v>398</v>
      </c>
      <c r="F218" s="279" t="s">
        <v>557</v>
      </c>
      <c r="G218" s="398" t="str">
        <f>E48</f>
        <v>03/31/x3</v>
      </c>
      <c r="H218" s="278" t="s">
        <v>213</v>
      </c>
      <c r="I218" s="110" t="s">
        <v>577</v>
      </c>
      <c r="J218" s="110" t="s">
        <v>466</v>
      </c>
    </row>
    <row r="219" spans="1:11">
      <c r="A219" s="8">
        <v>1</v>
      </c>
      <c r="B219" s="105"/>
      <c r="C219" s="106" t="s">
        <v>379</v>
      </c>
      <c r="D219" s="106" t="s">
        <v>577</v>
      </c>
      <c r="E219" s="106" t="s">
        <v>556</v>
      </c>
      <c r="F219" s="279" t="s">
        <v>41</v>
      </c>
      <c r="G219" s="298" t="s">
        <v>45</v>
      </c>
      <c r="H219" s="286" t="s">
        <v>577</v>
      </c>
      <c r="I219" s="106" t="s">
        <v>378</v>
      </c>
      <c r="J219" s="106" t="s">
        <v>386</v>
      </c>
    </row>
    <row r="220" spans="1:11">
      <c r="A220" s="8">
        <v>1</v>
      </c>
      <c r="B220" s="106" t="s">
        <v>577</v>
      </c>
      <c r="C220" s="106" t="s">
        <v>387</v>
      </c>
      <c r="D220" s="106" t="s">
        <v>343</v>
      </c>
      <c r="E220" s="106" t="s">
        <v>57</v>
      </c>
      <c r="F220" s="310">
        <f>H47-H41</f>
        <v>-6848</v>
      </c>
      <c r="G220" s="298" t="s">
        <v>556</v>
      </c>
      <c r="H220" s="286" t="s">
        <v>538</v>
      </c>
      <c r="I220" s="106" t="s">
        <v>340</v>
      </c>
      <c r="J220" s="106" t="s">
        <v>382</v>
      </c>
    </row>
    <row r="221" spans="1:11" ht="13.5" thickBot="1">
      <c r="A221" s="8">
        <v>1</v>
      </c>
      <c r="B221" s="107" t="s">
        <v>336</v>
      </c>
      <c r="C221" s="107" t="s">
        <v>344</v>
      </c>
      <c r="D221" s="107" t="s">
        <v>344</v>
      </c>
      <c r="E221" s="277" t="s">
        <v>344</v>
      </c>
      <c r="F221" s="279" t="s">
        <v>578</v>
      </c>
      <c r="G221" s="399" t="s">
        <v>38</v>
      </c>
      <c r="H221" s="403" t="s">
        <v>39</v>
      </c>
      <c r="I221" s="107" t="s">
        <v>339</v>
      </c>
      <c r="J221" s="107" t="s">
        <v>339</v>
      </c>
    </row>
    <row r="222" spans="1:11" ht="13.5" thickBot="1">
      <c r="A222" s="8">
        <v>1</v>
      </c>
      <c r="B222" s="278">
        <v>0</v>
      </c>
      <c r="C222" s="272" t="s">
        <v>213</v>
      </c>
      <c r="D222" s="272" t="str">
        <f>D186</f>
        <v>FV</v>
      </c>
      <c r="E222" s="273">
        <v>0</v>
      </c>
      <c r="F222" s="274"/>
      <c r="G222" s="274"/>
      <c r="H222" s="274"/>
      <c r="I222" s="276"/>
      <c r="J222" s="275" t="s">
        <v>213</v>
      </c>
    </row>
    <row r="223" spans="1:11" ht="13.5" thickBot="1">
      <c r="A223" s="8">
        <v>1</v>
      </c>
      <c r="B223" s="286">
        <v>1</v>
      </c>
      <c r="C223" s="291"/>
      <c r="D223" s="291"/>
      <c r="E223" s="292"/>
      <c r="F223" s="272"/>
      <c r="G223" s="272" t="s">
        <v>213</v>
      </c>
      <c r="H223" s="272" t="s">
        <v>213</v>
      </c>
      <c r="I223" s="293"/>
      <c r="J223" s="293"/>
    </row>
    <row r="224" spans="1:11" ht="13.5" thickBot="1">
      <c r="A224" s="8">
        <v>1</v>
      </c>
      <c r="B224" s="286">
        <v>2</v>
      </c>
      <c r="C224" s="291"/>
      <c r="D224" s="291"/>
      <c r="E224" s="294"/>
      <c r="F224" s="291"/>
      <c r="G224" s="272" t="s">
        <v>213</v>
      </c>
      <c r="H224" s="272" t="s">
        <v>213</v>
      </c>
      <c r="I224" s="293"/>
      <c r="J224" s="293"/>
    </row>
    <row r="225" spans="1:11">
      <c r="A225" s="8">
        <v>1</v>
      </c>
      <c r="B225" s="286">
        <v>3</v>
      </c>
      <c r="C225" s="291"/>
      <c r="D225" s="291"/>
      <c r="E225" s="292"/>
      <c r="F225" s="291"/>
      <c r="G225" s="291" t="s">
        <v>213</v>
      </c>
      <c r="H225" s="291" t="s">
        <v>213</v>
      </c>
      <c r="I225" s="293"/>
      <c r="J225" s="293"/>
    </row>
    <row r="226" spans="1:11">
      <c r="A226" s="8">
        <v>1</v>
      </c>
      <c r="B226" s="286">
        <v>4</v>
      </c>
      <c r="C226" s="291"/>
      <c r="D226" s="291"/>
      <c r="E226" s="294"/>
      <c r="F226" s="291"/>
      <c r="G226" s="291" t="s">
        <v>213</v>
      </c>
      <c r="H226" s="291" t="s">
        <v>213</v>
      </c>
      <c r="I226" s="293"/>
      <c r="J226" s="293"/>
    </row>
    <row r="227" spans="1:11" s="102" customFormat="1">
      <c r="A227" s="8">
        <v>1</v>
      </c>
      <c r="B227" s="286">
        <v>5</v>
      </c>
      <c r="C227" s="291"/>
      <c r="D227" s="291"/>
      <c r="E227" s="307"/>
      <c r="F227" s="291"/>
      <c r="G227" s="291" t="s">
        <v>213</v>
      </c>
      <c r="H227" s="291" t="s">
        <v>213</v>
      </c>
      <c r="I227" s="306"/>
      <c r="J227" s="306"/>
      <c r="K227"/>
    </row>
    <row r="228" spans="1:11" s="102" customFormat="1" ht="13.5" thickBot="1">
      <c r="A228" s="8">
        <v>1</v>
      </c>
      <c r="B228" s="280">
        <v>6</v>
      </c>
      <c r="C228" s="291" t="s">
        <v>213</v>
      </c>
      <c r="D228" s="291" t="s">
        <v>213</v>
      </c>
      <c r="E228" s="291" t="s">
        <v>213</v>
      </c>
      <c r="F228" s="291" t="s">
        <v>213</v>
      </c>
      <c r="G228" s="291" t="s">
        <v>213</v>
      </c>
      <c r="H228" s="291" t="s">
        <v>213</v>
      </c>
      <c r="I228" s="291" t="s">
        <v>213</v>
      </c>
      <c r="J228" s="291" t="s">
        <v>213</v>
      </c>
      <c r="K228"/>
    </row>
    <row r="229" spans="1:11" s="102" customFormat="1">
      <c r="A229" s="8">
        <v>1</v>
      </c>
      <c r="B229" s="298">
        <v>7</v>
      </c>
      <c r="C229" s="82">
        <f>-PV(E229,B229-B$143,,-F229)</f>
        <v>-3018.9642338911303</v>
      </c>
      <c r="D229" s="82">
        <f>-F229</f>
        <v>-3390.8543982570468</v>
      </c>
      <c r="E229" s="309">
        <f>B48/4</f>
        <v>1.9550000000000001E-2</v>
      </c>
      <c r="F229" s="437">
        <f>PMT(E229,B230-B228,,H47-H41)</f>
        <v>3390.8543982570468</v>
      </c>
      <c r="G229" s="390">
        <f>-(F41*G41-F48*G48)</f>
        <v>3524.9999999999982</v>
      </c>
      <c r="H229" s="299">
        <f>F229-G229</f>
        <v>-134.14560174295138</v>
      </c>
      <c r="I229" s="309">
        <f>(FV(E230,B230,0,-1)/FV(E229,B229,0,-1)) - 1</f>
        <v>1.9549999999999734E-2</v>
      </c>
      <c r="J229" s="309">
        <f>GEOMEAN(I228:I229)</f>
        <v>1.9549999999999731E-2</v>
      </c>
      <c r="K229"/>
    </row>
    <row r="230" spans="1:11" s="102" customFormat="1" ht="13.5" thickBot="1">
      <c r="A230" s="8">
        <v>1</v>
      </c>
      <c r="B230" s="107">
        <v>8</v>
      </c>
      <c r="C230" s="83">
        <f>-PV(E230,B230-B$143,,-F230)</f>
        <v>-2961.0752134678346</v>
      </c>
      <c r="D230" s="83">
        <f>-F230</f>
        <v>-3390.8543982570468</v>
      </c>
      <c r="E230" s="109">
        <f>E229</f>
        <v>1.9550000000000001E-2</v>
      </c>
      <c r="F230" s="83">
        <f>F229</f>
        <v>3390.8543982570468</v>
      </c>
      <c r="G230" s="291" t="s">
        <v>213</v>
      </c>
      <c r="H230" s="291" t="s">
        <v>213</v>
      </c>
      <c r="I230" s="285" t="s">
        <v>213</v>
      </c>
      <c r="J230" s="285" t="s">
        <v>213</v>
      </c>
      <c r="K230"/>
    </row>
    <row r="231" spans="1:11">
      <c r="A231" s="8">
        <v>1</v>
      </c>
      <c r="B231" s="439" t="s">
        <v>144</v>
      </c>
    </row>
    <row r="232" spans="1:11" ht="13.5" thickBot="1">
      <c r="A232" s="8">
        <v>1</v>
      </c>
      <c r="B232" s="439"/>
    </row>
    <row r="233" spans="1:11" ht="13.5" thickBot="1">
      <c r="A233" s="8">
        <v>1</v>
      </c>
      <c r="B233" s="271" t="s">
        <v>587</v>
      </c>
      <c r="C233" s="165"/>
      <c r="D233" s="165"/>
      <c r="E233" s="165"/>
      <c r="F233" s="165"/>
      <c r="G233" s="166"/>
    </row>
    <row r="234" spans="1:11">
      <c r="A234" s="8">
        <v>1</v>
      </c>
      <c r="B234" s="104"/>
      <c r="C234" s="110" t="s">
        <v>392</v>
      </c>
      <c r="D234" s="110" t="s">
        <v>393</v>
      </c>
      <c r="E234" s="110" t="s">
        <v>398</v>
      </c>
      <c r="F234" s="279" t="s">
        <v>557</v>
      </c>
      <c r="G234" s="400" t="str">
        <f>E49</f>
        <v>06/30/x3</v>
      </c>
      <c r="H234" s="278" t="s">
        <v>213</v>
      </c>
      <c r="I234" s="110" t="s">
        <v>577</v>
      </c>
      <c r="J234" s="110" t="s">
        <v>466</v>
      </c>
    </row>
    <row r="235" spans="1:11">
      <c r="A235" s="8">
        <v>1</v>
      </c>
      <c r="B235" s="105"/>
      <c r="C235" s="106" t="s">
        <v>379</v>
      </c>
      <c r="D235" s="106" t="s">
        <v>577</v>
      </c>
      <c r="E235" s="106" t="s">
        <v>556</v>
      </c>
      <c r="F235" s="279" t="s">
        <v>41</v>
      </c>
      <c r="G235" s="401" t="s">
        <v>46</v>
      </c>
      <c r="H235" s="286" t="s">
        <v>577</v>
      </c>
      <c r="I235" s="106" t="s">
        <v>378</v>
      </c>
      <c r="J235" s="106" t="s">
        <v>386</v>
      </c>
    </row>
    <row r="236" spans="1:11">
      <c r="A236" s="8">
        <v>1</v>
      </c>
      <c r="B236" s="106" t="s">
        <v>577</v>
      </c>
      <c r="C236" s="106" t="s">
        <v>387</v>
      </c>
      <c r="D236" s="106" t="s">
        <v>343</v>
      </c>
      <c r="E236" s="106" t="s">
        <v>57</v>
      </c>
      <c r="F236" s="442">
        <f>H48-H41</f>
        <v>-2479</v>
      </c>
      <c r="G236" s="401" t="s">
        <v>556</v>
      </c>
      <c r="H236" s="286" t="s">
        <v>538</v>
      </c>
      <c r="I236" s="106" t="s">
        <v>340</v>
      </c>
      <c r="J236" s="106" t="s">
        <v>382</v>
      </c>
    </row>
    <row r="237" spans="1:11" ht="13.5" thickBot="1">
      <c r="A237" s="8">
        <v>1</v>
      </c>
      <c r="B237" s="107" t="s">
        <v>336</v>
      </c>
      <c r="C237" s="107" t="s">
        <v>344</v>
      </c>
      <c r="D237" s="107" t="s">
        <v>344</v>
      </c>
      <c r="E237" s="277" t="s">
        <v>344</v>
      </c>
      <c r="F237" s="279" t="s">
        <v>578</v>
      </c>
      <c r="G237" s="402" t="s">
        <v>38</v>
      </c>
      <c r="H237" s="403" t="s">
        <v>39</v>
      </c>
      <c r="I237" s="107" t="s">
        <v>339</v>
      </c>
      <c r="J237" s="107" t="s">
        <v>339</v>
      </c>
    </row>
    <row r="238" spans="1:11" ht="13.5" thickBot="1">
      <c r="A238" s="8">
        <v>1</v>
      </c>
      <c r="B238" s="278">
        <v>0</v>
      </c>
      <c r="C238" s="272" t="s">
        <v>213</v>
      </c>
      <c r="D238" s="272" t="str">
        <f>D202</f>
        <v>FV</v>
      </c>
      <c r="E238" s="273">
        <v>0</v>
      </c>
      <c r="F238" s="274"/>
      <c r="G238" s="274"/>
      <c r="H238" s="274"/>
      <c r="I238" s="276"/>
      <c r="J238" s="275" t="s">
        <v>213</v>
      </c>
    </row>
    <row r="239" spans="1:11" ht="13.5" thickBot="1">
      <c r="A239" s="8">
        <v>1</v>
      </c>
      <c r="B239" s="286">
        <v>1</v>
      </c>
      <c r="C239" s="291"/>
      <c r="D239" s="291"/>
      <c r="E239" s="292"/>
      <c r="F239" s="272"/>
      <c r="G239" s="272" t="s">
        <v>213</v>
      </c>
      <c r="H239" s="272" t="s">
        <v>213</v>
      </c>
      <c r="I239" s="293"/>
      <c r="J239" s="293"/>
    </row>
    <row r="240" spans="1:11" ht="13.5" thickBot="1">
      <c r="A240" s="8">
        <v>1</v>
      </c>
      <c r="B240" s="286">
        <v>2</v>
      </c>
      <c r="C240" s="291"/>
      <c r="D240" s="291"/>
      <c r="E240" s="294"/>
      <c r="F240" s="291"/>
      <c r="G240" s="272" t="s">
        <v>213</v>
      </c>
      <c r="H240" s="272" t="s">
        <v>213</v>
      </c>
      <c r="I240" s="293"/>
      <c r="J240" s="293"/>
    </row>
    <row r="241" spans="1:11">
      <c r="A241" s="8">
        <v>1</v>
      </c>
      <c r="B241" s="286">
        <v>3</v>
      </c>
      <c r="C241" s="291"/>
      <c r="D241" s="291"/>
      <c r="E241" s="292"/>
      <c r="F241" s="291"/>
      <c r="G241" s="291" t="s">
        <v>213</v>
      </c>
      <c r="H241" s="291" t="s">
        <v>213</v>
      </c>
      <c r="I241" s="293"/>
      <c r="J241" s="293"/>
    </row>
    <row r="242" spans="1:11">
      <c r="A242" s="8">
        <v>1</v>
      </c>
      <c r="B242" s="286">
        <v>4</v>
      </c>
      <c r="C242" s="291"/>
      <c r="D242" s="291"/>
      <c r="E242" s="294"/>
      <c r="F242" s="291"/>
      <c r="G242" s="291" t="s">
        <v>213</v>
      </c>
      <c r="H242" s="291" t="s">
        <v>213</v>
      </c>
      <c r="I242" s="293"/>
      <c r="J242" s="293"/>
    </row>
    <row r="243" spans="1:11">
      <c r="A243" s="8">
        <v>1</v>
      </c>
      <c r="B243" s="286">
        <v>5</v>
      </c>
      <c r="C243" s="291"/>
      <c r="D243" s="291"/>
      <c r="E243" s="294"/>
      <c r="F243" s="291"/>
      <c r="G243" s="291" t="s">
        <v>213</v>
      </c>
      <c r="H243" s="291" t="s">
        <v>213</v>
      </c>
      <c r="I243" s="293"/>
      <c r="J243" s="293"/>
    </row>
    <row r="244" spans="1:11">
      <c r="A244" s="8">
        <v>1</v>
      </c>
      <c r="B244" s="286">
        <v>6</v>
      </c>
      <c r="C244" s="291"/>
      <c r="D244" s="291"/>
      <c r="E244" s="294"/>
      <c r="F244" s="291"/>
      <c r="G244" s="291" t="s">
        <v>213</v>
      </c>
      <c r="H244" s="291" t="s">
        <v>213</v>
      </c>
      <c r="I244" s="293"/>
      <c r="J244" s="293"/>
    </row>
    <row r="245" spans="1:11" s="102" customFormat="1" ht="13.5" thickBot="1">
      <c r="A245" s="8">
        <v>1</v>
      </c>
      <c r="B245" s="298">
        <v>7</v>
      </c>
      <c r="C245" s="291" t="s">
        <v>213</v>
      </c>
      <c r="D245" s="291" t="s">
        <v>213</v>
      </c>
      <c r="E245" s="291" t="s">
        <v>213</v>
      </c>
      <c r="F245" s="291" t="s">
        <v>213</v>
      </c>
      <c r="G245" s="291" t="s">
        <v>213</v>
      </c>
      <c r="H245" s="291" t="s">
        <v>213</v>
      </c>
      <c r="I245" s="291" t="s">
        <v>213</v>
      </c>
      <c r="J245" s="291" t="s">
        <v>213</v>
      </c>
      <c r="K245"/>
    </row>
    <row r="246" spans="1:11" s="102" customFormat="1" ht="13.5" thickBot="1">
      <c r="A246" s="8">
        <v>1</v>
      </c>
      <c r="B246" s="402">
        <v>8</v>
      </c>
      <c r="C246" s="300">
        <f>-PV(E246,B246-B$143,,-F246)</f>
        <v>-2179.7167171222313</v>
      </c>
      <c r="D246" s="300">
        <f>-F246</f>
        <v>-2478.9999999999914</v>
      </c>
      <c r="E246" s="405">
        <f>B49/4</f>
        <v>1.8550000000000001E-2</v>
      </c>
      <c r="F246" s="438">
        <f>PMT(E246,B246-B245,,H48-H41)</f>
        <v>2478.9999999999914</v>
      </c>
      <c r="G246" s="300">
        <f>-(F41*G41-F49*G49)</f>
        <v>2524.9999999999982</v>
      </c>
      <c r="H246" s="300">
        <f>F246-G246</f>
        <v>-46.000000000006821</v>
      </c>
      <c r="I246" s="285" t="s">
        <v>213</v>
      </c>
      <c r="J246" s="285" t="s">
        <v>213</v>
      </c>
      <c r="K246"/>
    </row>
    <row r="247" spans="1:11">
      <c r="A247" s="8">
        <v>1</v>
      </c>
      <c r="B247" s="439" t="s">
        <v>144</v>
      </c>
    </row>
    <row r="248" spans="1:11">
      <c r="A248" s="8">
        <v>2</v>
      </c>
    </row>
    <row r="249" spans="1:11">
      <c r="A249" s="6">
        <v>2</v>
      </c>
      <c r="B249" s="7" t="s">
        <v>180</v>
      </c>
      <c r="C249" s="55"/>
    </row>
    <row r="250" spans="1:11">
      <c r="A250" s="8">
        <v>2</v>
      </c>
      <c r="B250" s="9" t="s">
        <v>64</v>
      </c>
    </row>
    <row r="251" spans="1:11">
      <c r="A251" s="8">
        <v>2</v>
      </c>
      <c r="B251" s="9" t="s">
        <v>65</v>
      </c>
    </row>
    <row r="252" spans="1:11">
      <c r="A252" s="8">
        <v>2</v>
      </c>
      <c r="B252" s="9"/>
    </row>
    <row r="253" spans="1:11">
      <c r="A253" s="8">
        <v>2</v>
      </c>
      <c r="B253" s="10" t="s">
        <v>457</v>
      </c>
    </row>
    <row r="254" spans="1:11">
      <c r="A254" s="8">
        <v>2</v>
      </c>
    </row>
    <row r="255" spans="1:11">
      <c r="A255" s="8">
        <v>2</v>
      </c>
      <c r="E255" s="317" t="s">
        <v>588</v>
      </c>
    </row>
    <row r="256" spans="1:11">
      <c r="A256" s="8">
        <v>2</v>
      </c>
      <c r="B256" s="316" t="s">
        <v>578</v>
      </c>
      <c r="C256" s="315">
        <f>F140</f>
        <v>-1149</v>
      </c>
      <c r="D256" s="315">
        <f>F156</f>
        <v>0</v>
      </c>
      <c r="E256" s="315">
        <f>F172</f>
        <v>1074</v>
      </c>
      <c r="F256" s="315">
        <f>F188</f>
        <v>-11355</v>
      </c>
      <c r="G256" s="315">
        <f>F204</f>
        <v>-9385</v>
      </c>
      <c r="H256" s="315">
        <f>F220</f>
        <v>-6848</v>
      </c>
      <c r="I256" s="315">
        <f>F236</f>
        <v>-2479</v>
      </c>
    </row>
    <row r="257" spans="1:9" ht="13.5" thickBot="1">
      <c r="A257" s="8">
        <v>2</v>
      </c>
      <c r="B257" s="8" t="s">
        <v>544</v>
      </c>
      <c r="C257" s="8">
        <v>2</v>
      </c>
      <c r="D257" s="8">
        <v>3</v>
      </c>
      <c r="E257" s="8">
        <v>4</v>
      </c>
      <c r="F257" s="8">
        <v>5</v>
      </c>
      <c r="G257" s="8">
        <v>6</v>
      </c>
      <c r="H257" s="8">
        <v>7</v>
      </c>
      <c r="I257" s="8">
        <v>8</v>
      </c>
    </row>
    <row r="258" spans="1:9">
      <c r="A258" s="8">
        <v>2</v>
      </c>
      <c r="B258" s="8">
        <v>2</v>
      </c>
      <c r="C258" s="406">
        <f>E144</f>
        <v>1.6199999999999999E-2</v>
      </c>
      <c r="D258" s="407"/>
      <c r="E258" s="408"/>
      <c r="F258" s="407"/>
      <c r="G258" s="407"/>
      <c r="H258" s="407"/>
      <c r="I258" s="409"/>
    </row>
    <row r="259" spans="1:9">
      <c r="A259" s="8">
        <v>2</v>
      </c>
      <c r="B259" s="314">
        <v>3</v>
      </c>
      <c r="C259" s="410">
        <f t="shared" ref="C259:C264" si="13">E145</f>
        <v>1.6199999999999999E-2</v>
      </c>
      <c r="D259" s="411">
        <f t="shared" ref="D259:D264" si="14">E161</f>
        <v>1.6025000000000001E-2</v>
      </c>
      <c r="E259" s="411"/>
      <c r="F259" s="412"/>
      <c r="G259" s="411"/>
      <c r="H259" s="411"/>
      <c r="I259" s="413"/>
    </row>
    <row r="260" spans="1:9">
      <c r="A260" s="8">
        <v>2</v>
      </c>
      <c r="B260" s="8">
        <v>4</v>
      </c>
      <c r="C260" s="410">
        <f t="shared" si="13"/>
        <v>1.6199999999999999E-2</v>
      </c>
      <c r="D260" s="411">
        <f t="shared" si="14"/>
        <v>1.6025000000000001E-2</v>
      </c>
      <c r="E260" s="411">
        <f>E178</f>
        <v>1.5800000000000002E-2</v>
      </c>
      <c r="F260" s="411"/>
      <c r="G260" s="411"/>
      <c r="H260" s="411"/>
      <c r="I260" s="413"/>
    </row>
    <row r="261" spans="1:9">
      <c r="A261" s="8">
        <v>2</v>
      </c>
      <c r="B261" s="8">
        <v>5</v>
      </c>
      <c r="C261" s="410">
        <f t="shared" si="13"/>
        <v>1.6199999999999999E-2</v>
      </c>
      <c r="D261" s="411">
        <f t="shared" si="14"/>
        <v>1.6025000000000001E-2</v>
      </c>
      <c r="E261" s="411">
        <f>E179</f>
        <v>1.5800000000000002E-2</v>
      </c>
      <c r="F261" s="411">
        <f>E195</f>
        <v>1.9E-2</v>
      </c>
      <c r="G261" s="411"/>
      <c r="H261" s="411"/>
      <c r="I261" s="413"/>
    </row>
    <row r="262" spans="1:9">
      <c r="A262" s="8">
        <v>2</v>
      </c>
      <c r="B262" s="8">
        <v>6</v>
      </c>
      <c r="C262" s="410">
        <f t="shared" si="13"/>
        <v>1.6199999999999999E-2</v>
      </c>
      <c r="D262" s="411">
        <f t="shared" si="14"/>
        <v>1.6025000000000001E-2</v>
      </c>
      <c r="E262" s="411">
        <f>E180</f>
        <v>1.5800000000000002E-2</v>
      </c>
      <c r="F262" s="411">
        <f>E196</f>
        <v>1.9E-2</v>
      </c>
      <c r="G262" s="411">
        <f>E212</f>
        <v>1.9275E-2</v>
      </c>
      <c r="H262" s="411"/>
      <c r="I262" s="413"/>
    </row>
    <row r="263" spans="1:9">
      <c r="A263" s="8">
        <v>2</v>
      </c>
      <c r="B263" s="8">
        <v>7</v>
      </c>
      <c r="C263" s="410">
        <f t="shared" si="13"/>
        <v>1.6199999999999999E-2</v>
      </c>
      <c r="D263" s="411">
        <f t="shared" si="14"/>
        <v>1.6025000000000001E-2</v>
      </c>
      <c r="E263" s="411">
        <f>E181</f>
        <v>1.5800000000000002E-2</v>
      </c>
      <c r="F263" s="411">
        <f>E197</f>
        <v>1.9E-2</v>
      </c>
      <c r="G263" s="411">
        <f>E213</f>
        <v>1.9275E-2</v>
      </c>
      <c r="H263" s="411">
        <f>E229</f>
        <v>1.9550000000000001E-2</v>
      </c>
      <c r="I263" s="413"/>
    </row>
    <row r="264" spans="1:9" ht="13.5" thickBot="1">
      <c r="A264" s="8">
        <v>2</v>
      </c>
      <c r="B264" s="8">
        <v>8</v>
      </c>
      <c r="C264" s="414">
        <f t="shared" si="13"/>
        <v>1.6199999999999999E-2</v>
      </c>
      <c r="D264" s="415">
        <f t="shared" si="14"/>
        <v>1.6025000000000001E-2</v>
      </c>
      <c r="E264" s="415">
        <f>E182</f>
        <v>1.5800000000000002E-2</v>
      </c>
      <c r="F264" s="415">
        <f>E198</f>
        <v>1.9E-2</v>
      </c>
      <c r="G264" s="415">
        <f>E214</f>
        <v>1.9275E-2</v>
      </c>
      <c r="H264" s="415">
        <f>E230</f>
        <v>1.9550000000000001E-2</v>
      </c>
      <c r="I264" s="417">
        <f>E246</f>
        <v>1.8550000000000001E-2</v>
      </c>
    </row>
    <row r="265" spans="1:9">
      <c r="A265" s="8">
        <v>2</v>
      </c>
    </row>
    <row r="266" spans="1:9">
      <c r="A266" s="8">
        <v>2</v>
      </c>
    </row>
    <row r="267" spans="1:9">
      <c r="A267" s="8">
        <v>2</v>
      </c>
    </row>
    <row r="268" spans="1:9">
      <c r="A268" s="8">
        <v>2</v>
      </c>
    </row>
    <row r="269" spans="1:9">
      <c r="A269" s="8">
        <v>2</v>
      </c>
    </row>
    <row r="270" spans="1:9">
      <c r="A270" s="8">
        <v>2</v>
      </c>
    </row>
    <row r="271" spans="1:9">
      <c r="A271" s="8">
        <v>2</v>
      </c>
    </row>
    <row r="272" spans="1:9">
      <c r="A272" s="8">
        <v>2</v>
      </c>
    </row>
    <row r="273" spans="1:10">
      <c r="A273" s="8">
        <v>2</v>
      </c>
    </row>
    <row r="274" spans="1:10">
      <c r="A274" s="8">
        <v>2</v>
      </c>
    </row>
    <row r="275" spans="1:10">
      <c r="A275" s="8">
        <v>2</v>
      </c>
    </row>
    <row r="276" spans="1:10">
      <c r="A276" s="8">
        <v>2</v>
      </c>
    </row>
    <row r="277" spans="1:10">
      <c r="A277" s="8">
        <v>2</v>
      </c>
    </row>
    <row r="278" spans="1:10">
      <c r="A278" s="8">
        <v>2</v>
      </c>
    </row>
    <row r="279" spans="1:10">
      <c r="A279" s="8">
        <v>2</v>
      </c>
    </row>
    <row r="280" spans="1:10">
      <c r="A280" s="8">
        <v>2</v>
      </c>
    </row>
    <row r="281" spans="1:10">
      <c r="A281" s="8">
        <v>2</v>
      </c>
      <c r="B281" s="10" t="s">
        <v>589</v>
      </c>
    </row>
    <row r="282" spans="1:10">
      <c r="A282" s="8">
        <v>2</v>
      </c>
      <c r="B282" s="10" t="s">
        <v>66</v>
      </c>
    </row>
    <row r="283" spans="1:10">
      <c r="A283" s="8">
        <v>2</v>
      </c>
      <c r="B283" s="10" t="s">
        <v>67</v>
      </c>
    </row>
    <row r="284" spans="1:10">
      <c r="A284" s="8">
        <v>2</v>
      </c>
      <c r="B284" s="10" t="s">
        <v>213</v>
      </c>
    </row>
    <row r="285" spans="1:10">
      <c r="A285" s="8">
        <v>2</v>
      </c>
      <c r="B285" s="439" t="s">
        <v>144</v>
      </c>
    </row>
    <row r="286" spans="1:10">
      <c r="A286" s="8">
        <v>2</v>
      </c>
    </row>
    <row r="288" spans="1:10">
      <c r="A288" s="2"/>
      <c r="B288" s="3"/>
      <c r="C288" s="4"/>
      <c r="D288" s="5"/>
      <c r="E288" s="5"/>
      <c r="F288" s="60"/>
      <c r="G288" s="59"/>
      <c r="I288" s="59"/>
      <c r="J288" s="59"/>
    </row>
    <row r="289" spans="1:10">
      <c r="A289" s="2"/>
      <c r="B289" s="3"/>
      <c r="C289" s="4"/>
      <c r="D289" s="5"/>
      <c r="E289" s="5"/>
      <c r="F289" s="60"/>
      <c r="G289" s="59"/>
      <c r="I289" s="59"/>
      <c r="J289" s="59"/>
    </row>
    <row r="290" spans="1:10">
      <c r="A290" s="2"/>
      <c r="B290" s="3"/>
      <c r="C290" s="4"/>
      <c r="D290" s="5"/>
      <c r="E290" s="5"/>
      <c r="F290" s="60"/>
      <c r="G290" s="59"/>
      <c r="I290" s="59"/>
      <c r="J290" s="59"/>
    </row>
    <row r="291" spans="1:10">
      <c r="A291" s="2"/>
      <c r="B291" s="3"/>
      <c r="C291" s="4"/>
      <c r="D291" s="5"/>
      <c r="E291" s="5"/>
      <c r="F291" s="60"/>
      <c r="G291" s="59"/>
      <c r="I291" s="59"/>
      <c r="J291" s="59"/>
    </row>
    <row r="292" spans="1:10">
      <c r="A292" s="2"/>
      <c r="B292" s="3"/>
      <c r="C292" s="4"/>
      <c r="D292" s="5"/>
      <c r="E292" s="5"/>
      <c r="F292" s="60"/>
      <c r="G292" s="59"/>
      <c r="I292" s="59"/>
      <c r="J292" s="59"/>
    </row>
    <row r="293" spans="1:10">
      <c r="A293" s="2"/>
      <c r="B293" s="3"/>
      <c r="C293" s="4"/>
      <c r="D293" s="5"/>
      <c r="E293" s="5"/>
      <c r="F293" s="60"/>
      <c r="G293" s="59"/>
      <c r="I293" s="59"/>
      <c r="J293" s="59"/>
    </row>
    <row r="294" spans="1:10">
      <c r="A294" s="2"/>
      <c r="B294" s="3"/>
      <c r="C294" s="4"/>
      <c r="D294" s="5"/>
      <c r="E294" s="5"/>
      <c r="F294" s="60"/>
      <c r="G294" s="59"/>
      <c r="I294" s="59"/>
      <c r="J294" s="59"/>
    </row>
    <row r="295" spans="1:10">
      <c r="A295" s="2"/>
      <c r="B295" s="3"/>
      <c r="C295" s="4"/>
      <c r="D295" s="5"/>
      <c r="E295" s="5"/>
      <c r="F295" s="60"/>
      <c r="G295" s="59"/>
      <c r="I295" s="59"/>
      <c r="J295" s="59"/>
    </row>
    <row r="296" spans="1:10">
      <c r="A296" s="2"/>
      <c r="B296" s="3"/>
      <c r="C296" s="4"/>
      <c r="D296" s="5"/>
      <c r="E296" s="5"/>
      <c r="F296" s="60"/>
      <c r="G296" s="59"/>
      <c r="I296" s="59"/>
      <c r="J296" s="59"/>
    </row>
    <row r="297" spans="1:10">
      <c r="A297" s="2"/>
      <c r="B297" s="3"/>
      <c r="C297" s="4"/>
      <c r="D297" s="5"/>
      <c r="E297" s="5"/>
      <c r="F297" s="60"/>
      <c r="G297" s="59"/>
      <c r="I297" s="59"/>
      <c r="J297" s="59"/>
    </row>
    <row r="298" spans="1:10">
      <c r="A298" s="2"/>
      <c r="B298" s="3"/>
      <c r="C298" s="4"/>
      <c r="D298" s="5"/>
      <c r="E298" s="5"/>
      <c r="F298" s="60"/>
      <c r="G298" s="59"/>
      <c r="I298" s="59"/>
      <c r="J298" s="59"/>
    </row>
    <row r="299" spans="1:10">
      <c r="A299" s="2"/>
      <c r="B299" s="3"/>
      <c r="C299" s="4"/>
      <c r="D299" s="5"/>
      <c r="E299" s="5"/>
      <c r="F299" s="60"/>
      <c r="G299" s="59"/>
      <c r="I299" s="59"/>
      <c r="J299" s="59"/>
    </row>
  </sheetData>
  <pageMargins left="0.75" right="0.75" top="1" bottom="1" header="0.5" footer="0.5"/>
  <pageSetup orientation="portrait" horizontalDpi="4294967292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1"/>
  <sheetViews>
    <sheetView workbookViewId="0"/>
  </sheetViews>
  <sheetFormatPr defaultRowHeight="12.75"/>
  <cols>
    <col min="3" max="3" width="14.28515625" bestFit="1" customWidth="1"/>
    <col min="4" max="6" width="11.28515625" bestFit="1" customWidth="1"/>
    <col min="8" max="8" width="9.5703125" bestFit="1" customWidth="1"/>
    <col min="9" max="9" width="9" bestFit="1" customWidth="1"/>
    <col min="10" max="10" width="9.7109375" bestFit="1" customWidth="1"/>
    <col min="11" max="11" width="9" bestFit="1" customWidth="1"/>
    <col min="12" max="12" width="9.85546875" bestFit="1" customWidth="1"/>
  </cols>
  <sheetData>
    <row r="1" spans="1:14">
      <c r="A1" s="1" t="s">
        <v>178</v>
      </c>
    </row>
    <row r="2" spans="1:14">
      <c r="A2" t="s">
        <v>23</v>
      </c>
    </row>
    <row r="3" spans="1:14">
      <c r="A3" s="451" t="s">
        <v>73</v>
      </c>
      <c r="B3" s="3"/>
      <c r="C3" s="4"/>
      <c r="D3" s="5"/>
      <c r="E3" s="5"/>
      <c r="F3" s="4"/>
    </row>
    <row r="4" spans="1:14">
      <c r="A4" s="5"/>
      <c r="B4" s="320" t="s">
        <v>18</v>
      </c>
      <c r="C4" s="4"/>
      <c r="D4" s="5"/>
      <c r="E4" s="5"/>
      <c r="F4" s="4"/>
    </row>
    <row r="6" spans="1:14">
      <c r="A6" t="s">
        <v>559</v>
      </c>
      <c r="B6" s="44"/>
      <c r="H6" s="9"/>
      <c r="I6" s="9"/>
      <c r="J6" s="266"/>
      <c r="L6" s="9"/>
      <c r="M6" s="9"/>
      <c r="N6" s="266"/>
    </row>
    <row r="7" spans="1:14">
      <c r="A7" t="s">
        <v>560</v>
      </c>
      <c r="B7" s="44"/>
      <c r="H7" s="9"/>
      <c r="I7" s="9"/>
      <c r="J7" s="266"/>
      <c r="L7" s="9"/>
      <c r="M7" s="9"/>
      <c r="N7" s="266"/>
    </row>
    <row r="8" spans="1:14">
      <c r="A8" t="s">
        <v>561</v>
      </c>
      <c r="B8" s="44"/>
      <c r="H8" s="9"/>
      <c r="I8" s="9"/>
      <c r="J8" s="266"/>
      <c r="L8" s="9"/>
      <c r="M8" s="9"/>
      <c r="N8" s="266"/>
    </row>
    <row r="9" spans="1:14">
      <c r="A9" t="s">
        <v>562</v>
      </c>
      <c r="B9" s="44"/>
      <c r="H9" s="9"/>
      <c r="I9" s="9"/>
      <c r="J9" s="266"/>
      <c r="L9" s="9"/>
      <c r="M9" s="9"/>
      <c r="N9" s="266"/>
    </row>
    <row r="10" spans="1:14">
      <c r="B10" s="44" t="s">
        <v>19</v>
      </c>
      <c r="H10" s="9"/>
      <c r="I10" s="9"/>
      <c r="J10" s="266"/>
      <c r="L10" s="9"/>
      <c r="M10" s="9"/>
      <c r="N10" s="266"/>
    </row>
    <row r="11" spans="1:14">
      <c r="B11" s="44"/>
      <c r="H11" s="9"/>
      <c r="I11" s="9"/>
      <c r="J11" s="266"/>
      <c r="L11" s="9"/>
      <c r="M11" s="9"/>
      <c r="N11" s="266"/>
    </row>
    <row r="12" spans="1:14">
      <c r="A12" s="2"/>
      <c r="B12" s="3"/>
      <c r="C12" s="4"/>
      <c r="D12" s="5"/>
      <c r="E12" s="5"/>
      <c r="F12" s="60"/>
      <c r="G12" s="59"/>
      <c r="I12" s="59"/>
      <c r="J12" s="59"/>
    </row>
    <row r="13" spans="1:14">
      <c r="A13" s="2"/>
      <c r="B13" s="3"/>
      <c r="C13" s="4"/>
      <c r="D13" s="5"/>
      <c r="E13" s="5"/>
      <c r="F13" s="60"/>
      <c r="G13" s="59"/>
      <c r="I13" s="59"/>
      <c r="J13" s="59"/>
    </row>
    <row r="14" spans="1:14">
      <c r="A14" s="2"/>
      <c r="B14" s="3"/>
      <c r="C14" s="4"/>
      <c r="D14" s="5"/>
      <c r="E14" s="5"/>
      <c r="F14" s="60"/>
      <c r="G14" s="59"/>
      <c r="I14" s="59"/>
      <c r="J14" s="59"/>
    </row>
    <row r="15" spans="1:14">
      <c r="A15" s="2"/>
      <c r="B15" s="3"/>
      <c r="C15" s="4"/>
      <c r="D15" s="5"/>
      <c r="E15" s="5"/>
      <c r="F15" s="60"/>
      <c r="G15" s="59"/>
      <c r="I15" s="59"/>
      <c r="J15" s="59"/>
    </row>
    <row r="16" spans="1:14">
      <c r="A16" s="2"/>
      <c r="B16" s="3"/>
      <c r="C16" s="4"/>
      <c r="D16" s="5"/>
      <c r="E16" s="5"/>
      <c r="F16" s="60"/>
      <c r="G16" s="59"/>
      <c r="I16" s="59"/>
      <c r="J16" s="59"/>
    </row>
    <row r="17" spans="1:10">
      <c r="A17" s="2"/>
      <c r="B17" s="3"/>
      <c r="C17" s="4"/>
      <c r="D17" s="5"/>
      <c r="E17" s="5"/>
      <c r="F17" s="60"/>
      <c r="G17" s="59"/>
      <c r="I17" s="59"/>
      <c r="J17" s="59"/>
    </row>
    <row r="18" spans="1:10">
      <c r="A18" s="2"/>
      <c r="B18" s="3"/>
      <c r="C18" s="4"/>
      <c r="D18" s="5"/>
      <c r="E18" s="5"/>
      <c r="F18" s="60"/>
      <c r="G18" s="59"/>
      <c r="I18" s="59"/>
      <c r="J18" s="59"/>
    </row>
    <row r="19" spans="1:10">
      <c r="A19" s="2"/>
      <c r="B19" s="3"/>
      <c r="C19" s="4"/>
      <c r="D19" s="5"/>
      <c r="E19" s="5"/>
      <c r="F19" s="60"/>
      <c r="G19" s="59"/>
      <c r="I19" s="59"/>
      <c r="J19" s="59"/>
    </row>
    <row r="20" spans="1:10">
      <c r="A20" s="2"/>
      <c r="B20" s="3"/>
      <c r="C20" s="4"/>
      <c r="D20" s="5"/>
      <c r="E20" s="5"/>
      <c r="F20" s="60"/>
      <c r="G20" s="59"/>
      <c r="I20" s="59"/>
      <c r="J20" s="59"/>
    </row>
    <row r="21" spans="1:10">
      <c r="A21" s="2"/>
      <c r="B21" s="3"/>
      <c r="C21" s="4"/>
      <c r="D21" s="5"/>
      <c r="E21" s="5"/>
      <c r="F21" s="60"/>
      <c r="G21" s="59"/>
      <c r="I21" s="59"/>
      <c r="J21" s="59"/>
    </row>
    <row r="22" spans="1:10">
      <c r="A22" s="2"/>
      <c r="B22" s="3"/>
      <c r="C22" s="4"/>
      <c r="D22" s="5"/>
      <c r="E22" s="5"/>
      <c r="F22" s="60"/>
      <c r="G22" s="59"/>
      <c r="I22" s="59"/>
      <c r="J22" s="59"/>
    </row>
    <row r="23" spans="1:10">
      <c r="A23" s="2"/>
      <c r="B23" s="3"/>
      <c r="C23" s="4"/>
      <c r="D23" s="5"/>
      <c r="E23" s="5"/>
      <c r="F23" s="60"/>
      <c r="G23" s="59"/>
      <c r="I23" s="59"/>
      <c r="J23" s="59"/>
    </row>
    <row r="25" spans="1:10">
      <c r="A25" s="375" t="s">
        <v>564</v>
      </c>
      <c r="B25" s="10" t="s">
        <v>565</v>
      </c>
      <c r="D25" s="5"/>
      <c r="E25" s="5"/>
      <c r="F25" s="4"/>
    </row>
    <row r="26" spans="1:10">
      <c r="A26" s="375"/>
      <c r="B26" s="10"/>
      <c r="D26" s="5"/>
      <c r="E26" s="5"/>
      <c r="F26" s="4"/>
    </row>
    <row r="27" spans="1:10">
      <c r="A27" s="374" t="s">
        <v>20</v>
      </c>
      <c r="B27" s="10"/>
      <c r="D27" s="5"/>
      <c r="E27" s="5"/>
      <c r="F27" s="4"/>
    </row>
    <row r="28" spans="1:10">
      <c r="A28" s="375"/>
      <c r="B28" s="10"/>
      <c r="D28" s="5"/>
      <c r="E28" s="5"/>
      <c r="F28" s="4"/>
    </row>
    <row r="29" spans="1:10">
      <c r="A29" t="s">
        <v>21</v>
      </c>
      <c r="B29" s="10"/>
      <c r="D29" s="5"/>
      <c r="E29" s="5"/>
      <c r="F29" s="4"/>
    </row>
    <row r="30" spans="1:10">
      <c r="A30" s="269" t="s">
        <v>22</v>
      </c>
      <c r="B30" s="10"/>
      <c r="D30" s="5"/>
      <c r="E30" s="5"/>
      <c r="F30" s="4"/>
    </row>
    <row r="31" spans="1:10">
      <c r="A31" s="269" t="s">
        <v>25</v>
      </c>
      <c r="B31" s="10"/>
      <c r="D31" s="5"/>
      <c r="E31" s="5"/>
      <c r="F31" s="4"/>
    </row>
    <row r="32" spans="1:10">
      <c r="A32" s="269" t="s">
        <v>26</v>
      </c>
      <c r="B32" s="10"/>
      <c r="D32" s="5"/>
      <c r="E32" s="5"/>
      <c r="F32" s="4"/>
    </row>
    <row r="33" spans="1:12">
      <c r="A33" s="269" t="s">
        <v>27</v>
      </c>
      <c r="B33" s="10"/>
      <c r="D33" s="5"/>
      <c r="E33" s="5"/>
      <c r="F33" s="4"/>
    </row>
    <row r="34" spans="1:12">
      <c r="A34" s="269" t="s">
        <v>35</v>
      </c>
      <c r="B34" s="10"/>
      <c r="D34" s="5"/>
      <c r="E34" s="5"/>
      <c r="F34" s="4"/>
    </row>
    <row r="35" spans="1:12">
      <c r="A35" s="269" t="s">
        <v>28</v>
      </c>
    </row>
    <row r="36" spans="1:12">
      <c r="A36" s="269" t="s">
        <v>29</v>
      </c>
    </row>
    <row r="37" spans="1:12">
      <c r="A37" s="10"/>
    </row>
    <row r="38" spans="1:12">
      <c r="A38" s="102" t="s">
        <v>30</v>
      </c>
    </row>
    <row r="39" spans="1:12">
      <c r="A39" s="269" t="s">
        <v>31</v>
      </c>
    </row>
    <row r="40" spans="1:12">
      <c r="A40" s="269" t="s">
        <v>32</v>
      </c>
    </row>
    <row r="41" spans="1:12">
      <c r="A41" s="269" t="s">
        <v>33</v>
      </c>
    </row>
    <row r="43" spans="1:12">
      <c r="A43" s="376" t="s">
        <v>34</v>
      </c>
      <c r="B43" s="10"/>
    </row>
    <row r="44" spans="1:12">
      <c r="A44" s="376"/>
      <c r="B44" s="10"/>
    </row>
    <row r="45" spans="1:12">
      <c r="A45" s="9" t="s">
        <v>36</v>
      </c>
    </row>
    <row r="47" spans="1:12" ht="13.5" thickBot="1">
      <c r="A47" s="321" t="s">
        <v>6</v>
      </c>
      <c r="B47" s="4"/>
      <c r="C47" s="4"/>
      <c r="D47" s="5"/>
      <c r="E47" s="5"/>
      <c r="F47" s="4"/>
      <c r="G47" s="5"/>
      <c r="H47" s="319"/>
      <c r="I47" s="9"/>
      <c r="J47" s="201"/>
    </row>
    <row r="48" spans="1:12">
      <c r="A48" s="377"/>
      <c r="B48" s="383" t="s">
        <v>354</v>
      </c>
      <c r="C48" s="380" t="s">
        <v>7</v>
      </c>
      <c r="D48" s="324" t="s">
        <v>354</v>
      </c>
      <c r="E48" s="322"/>
      <c r="F48" s="323" t="s">
        <v>576</v>
      </c>
      <c r="G48" s="323" t="s">
        <v>8</v>
      </c>
      <c r="H48" s="324" t="s">
        <v>9</v>
      </c>
      <c r="I48" s="324" t="s">
        <v>10</v>
      </c>
      <c r="J48" s="325" t="s">
        <v>11</v>
      </c>
      <c r="K48" s="324" t="s">
        <v>538</v>
      </c>
      <c r="L48" s="324" t="s">
        <v>12</v>
      </c>
    </row>
    <row r="49" spans="1:12">
      <c r="A49" s="378"/>
      <c r="B49" s="384" t="s">
        <v>7</v>
      </c>
      <c r="C49" s="381" t="s">
        <v>13</v>
      </c>
      <c r="D49" s="328" t="s">
        <v>556</v>
      </c>
      <c r="E49" s="326"/>
      <c r="F49" s="327" t="s">
        <v>7</v>
      </c>
      <c r="G49" s="327" t="s">
        <v>10</v>
      </c>
      <c r="H49" s="328" t="s">
        <v>556</v>
      </c>
      <c r="I49" s="328" t="s">
        <v>538</v>
      </c>
      <c r="J49" s="329" t="s">
        <v>556</v>
      </c>
      <c r="K49" s="328" t="s">
        <v>556</v>
      </c>
      <c r="L49" s="328" t="s">
        <v>536</v>
      </c>
    </row>
    <row r="50" spans="1:12" ht="13.5" thickBot="1">
      <c r="A50" s="379" t="s">
        <v>544</v>
      </c>
      <c r="B50" s="385" t="s">
        <v>339</v>
      </c>
      <c r="C50" s="382">
        <v>2.2499999999999999E-2</v>
      </c>
      <c r="D50" s="330" t="s">
        <v>339</v>
      </c>
      <c r="E50" s="330" t="s">
        <v>544</v>
      </c>
      <c r="F50" s="331" t="s">
        <v>339</v>
      </c>
      <c r="G50" s="331" t="s">
        <v>14</v>
      </c>
      <c r="H50" s="330" t="s">
        <v>546</v>
      </c>
      <c r="I50" s="330" t="s">
        <v>15</v>
      </c>
      <c r="J50" s="332" t="s">
        <v>339</v>
      </c>
      <c r="K50" s="330" t="s">
        <v>15</v>
      </c>
      <c r="L50" s="330" t="s">
        <v>344</v>
      </c>
    </row>
    <row r="51" spans="1:12">
      <c r="A51" s="333">
        <v>0</v>
      </c>
      <c r="B51" s="334">
        <v>5.5599999999999997E-2</v>
      </c>
      <c r="C51" s="334">
        <f>B51+C50</f>
        <v>7.8100000000000003E-2</v>
      </c>
      <c r="D51" s="335">
        <f>0.0665</f>
        <v>6.6500000000000004E-2</v>
      </c>
      <c r="E51" s="333" t="s">
        <v>548</v>
      </c>
      <c r="F51" s="336">
        <f>B51/4</f>
        <v>1.3899999999999999E-2</v>
      </c>
      <c r="G51" s="336">
        <f>C51/4</f>
        <v>1.9525000000000001E-2</v>
      </c>
      <c r="H51" s="333">
        <v>10000000</v>
      </c>
      <c r="I51" s="337">
        <v>0</v>
      </c>
      <c r="J51" s="338">
        <v>0</v>
      </c>
      <c r="K51" s="337">
        <v>0</v>
      </c>
      <c r="L51" s="337">
        <v>0</v>
      </c>
    </row>
    <row r="52" spans="1:12">
      <c r="A52" s="339">
        <v>1</v>
      </c>
      <c r="B52" s="340">
        <v>5.5599999999999997E-2</v>
      </c>
      <c r="C52" s="340">
        <f>B52+C50</f>
        <v>7.8100000000000003E-2</v>
      </c>
      <c r="D52" s="340">
        <f>D51</f>
        <v>6.6500000000000004E-2</v>
      </c>
      <c r="E52" s="339" t="s">
        <v>549</v>
      </c>
      <c r="F52" s="341">
        <f t="shared" ref="F52:G59" si="0">B52/4</f>
        <v>1.3899999999999999E-2</v>
      </c>
      <c r="G52" s="341">
        <f t="shared" si="0"/>
        <v>1.9525000000000001E-2</v>
      </c>
      <c r="H52" s="342">
        <f>H51</f>
        <v>10000000</v>
      </c>
      <c r="I52" s="342">
        <f t="shared" ref="I52:I59" si="1">G52*H52</f>
        <v>195250</v>
      </c>
      <c r="J52" s="343">
        <f>D52/4-F52</f>
        <v>2.7250000000000017E-3</v>
      </c>
      <c r="K52" s="342">
        <f t="shared" ref="K52:K59" si="2">H52*J52</f>
        <v>27250.000000000018</v>
      </c>
      <c r="L52" s="342">
        <v>24850</v>
      </c>
    </row>
    <row r="53" spans="1:12">
      <c r="A53" s="344">
        <v>2</v>
      </c>
      <c r="B53" s="345">
        <v>5.6300000000000003E-2</v>
      </c>
      <c r="C53" s="345">
        <f>B53+C50</f>
        <v>7.8800000000000009E-2</v>
      </c>
      <c r="D53" s="345">
        <f>D51</f>
        <v>6.6500000000000004E-2</v>
      </c>
      <c r="E53" s="344" t="s">
        <v>550</v>
      </c>
      <c r="F53" s="346">
        <f t="shared" si="0"/>
        <v>1.4075000000000001E-2</v>
      </c>
      <c r="G53" s="346">
        <f t="shared" si="0"/>
        <v>1.9700000000000002E-2</v>
      </c>
      <c r="H53" s="347">
        <f>H51</f>
        <v>10000000</v>
      </c>
      <c r="I53" s="347">
        <f t="shared" si="1"/>
        <v>197000.00000000003</v>
      </c>
      <c r="J53" s="348">
        <f t="shared" ref="J53:J59" si="3">D53/4-F53</f>
        <v>2.5500000000000002E-3</v>
      </c>
      <c r="K53" s="347">
        <f t="shared" si="2"/>
        <v>25500.000000000004</v>
      </c>
      <c r="L53" s="347">
        <v>73800</v>
      </c>
    </row>
    <row r="54" spans="1:12">
      <c r="A54" s="349">
        <v>3</v>
      </c>
      <c r="B54" s="350">
        <v>5.5599999999999997E-2</v>
      </c>
      <c r="C54" s="350">
        <f>B54+C50</f>
        <v>7.8100000000000003E-2</v>
      </c>
      <c r="D54" s="350">
        <f>D51</f>
        <v>6.6500000000000004E-2</v>
      </c>
      <c r="E54" s="349" t="s">
        <v>16</v>
      </c>
      <c r="F54" s="351">
        <f t="shared" si="0"/>
        <v>1.3899999999999999E-2</v>
      </c>
      <c r="G54" s="351">
        <f t="shared" si="0"/>
        <v>1.9525000000000001E-2</v>
      </c>
      <c r="H54" s="347">
        <f>H52</f>
        <v>10000000</v>
      </c>
      <c r="I54" s="352">
        <f t="shared" si="1"/>
        <v>195250</v>
      </c>
      <c r="J54" s="353">
        <f t="shared" si="3"/>
        <v>2.7250000000000017E-3</v>
      </c>
      <c r="K54" s="352">
        <f t="shared" si="2"/>
        <v>27250.000000000018</v>
      </c>
      <c r="L54" s="352">
        <v>85910</v>
      </c>
    </row>
    <row r="55" spans="1:12">
      <c r="A55" s="354">
        <v>4</v>
      </c>
      <c r="B55" s="355">
        <v>5.4699999999999999E-2</v>
      </c>
      <c r="C55" s="355">
        <f>B55+C50</f>
        <v>7.7199999999999991E-2</v>
      </c>
      <c r="D55" s="355">
        <f>D51</f>
        <v>6.6500000000000004E-2</v>
      </c>
      <c r="E55" s="354" t="s">
        <v>551</v>
      </c>
      <c r="F55" s="356">
        <f t="shared" si="0"/>
        <v>1.3675E-2</v>
      </c>
      <c r="G55" s="356">
        <f t="shared" si="0"/>
        <v>1.9299999999999998E-2</v>
      </c>
      <c r="H55" s="357">
        <f>H51</f>
        <v>10000000</v>
      </c>
      <c r="I55" s="357">
        <f t="shared" si="1"/>
        <v>192999.99999999997</v>
      </c>
      <c r="J55" s="358">
        <f t="shared" si="3"/>
        <v>2.9500000000000012E-3</v>
      </c>
      <c r="K55" s="357">
        <f t="shared" si="2"/>
        <v>29500.000000000011</v>
      </c>
      <c r="L55" s="357">
        <v>42820</v>
      </c>
    </row>
    <row r="56" spans="1:12">
      <c r="A56" s="359">
        <v>5</v>
      </c>
      <c r="B56" s="360">
        <v>6.7500000000000004E-2</v>
      </c>
      <c r="C56" s="360">
        <f>B56+C50</f>
        <v>0.09</v>
      </c>
      <c r="D56" s="360">
        <f>D51</f>
        <v>6.6500000000000004E-2</v>
      </c>
      <c r="E56" s="359" t="s">
        <v>17</v>
      </c>
      <c r="F56" s="361">
        <f t="shared" si="0"/>
        <v>1.6875000000000001E-2</v>
      </c>
      <c r="G56" s="361">
        <f t="shared" si="0"/>
        <v>2.2499999999999999E-2</v>
      </c>
      <c r="H56" s="362">
        <f>H51</f>
        <v>10000000</v>
      </c>
      <c r="I56" s="362">
        <f t="shared" si="1"/>
        <v>225000</v>
      </c>
      <c r="J56" s="363">
        <f t="shared" si="3"/>
        <v>-2.5000000000000022E-4</v>
      </c>
      <c r="K56" s="362">
        <f t="shared" si="2"/>
        <v>-2500.0000000000023</v>
      </c>
      <c r="L56" s="362">
        <v>33160</v>
      </c>
    </row>
    <row r="57" spans="1:12">
      <c r="A57" s="364">
        <v>6</v>
      </c>
      <c r="B57" s="365">
        <v>6.8599999999999994E-2</v>
      </c>
      <c r="C57" s="365">
        <f>B57+C50</f>
        <v>9.1099999999999987E-2</v>
      </c>
      <c r="D57" s="365">
        <f>D51</f>
        <v>6.6500000000000004E-2</v>
      </c>
      <c r="E57" s="364" t="s">
        <v>553</v>
      </c>
      <c r="F57" s="366">
        <f t="shared" si="0"/>
        <v>1.7149999999999999E-2</v>
      </c>
      <c r="G57" s="366">
        <f t="shared" si="0"/>
        <v>2.2774999999999997E-2</v>
      </c>
      <c r="H57" s="367">
        <f>H51</f>
        <v>10000000</v>
      </c>
      <c r="I57" s="367">
        <f t="shared" si="1"/>
        <v>227749.99999999997</v>
      </c>
      <c r="J57" s="368">
        <f t="shared" si="3"/>
        <v>-5.2499999999999769E-4</v>
      </c>
      <c r="K57" s="367">
        <f t="shared" si="2"/>
        <v>-5249.9999999999773</v>
      </c>
      <c r="L57" s="367">
        <v>21850</v>
      </c>
    </row>
    <row r="58" spans="1:12">
      <c r="A58" s="339">
        <v>7</v>
      </c>
      <c r="B58" s="340">
        <v>6.9699999999999998E-2</v>
      </c>
      <c r="C58" s="340">
        <f>B58+C50</f>
        <v>9.2200000000000004E-2</v>
      </c>
      <c r="D58" s="340">
        <f>D51</f>
        <v>6.6500000000000004E-2</v>
      </c>
      <c r="E58" s="339" t="s">
        <v>554</v>
      </c>
      <c r="F58" s="341">
        <f t="shared" si="0"/>
        <v>1.7425E-2</v>
      </c>
      <c r="G58" s="341">
        <f t="shared" si="0"/>
        <v>2.3050000000000001E-2</v>
      </c>
      <c r="H58" s="342">
        <f>H51</f>
        <v>10000000</v>
      </c>
      <c r="I58" s="342">
        <f t="shared" si="1"/>
        <v>230500</v>
      </c>
      <c r="J58" s="343">
        <f t="shared" si="3"/>
        <v>-7.9999999999999863E-4</v>
      </c>
      <c r="K58" s="342">
        <f t="shared" si="2"/>
        <v>-7999.9999999999864</v>
      </c>
      <c r="L58" s="342">
        <v>1960</v>
      </c>
    </row>
    <row r="59" spans="1:12">
      <c r="A59" s="369">
        <v>8</v>
      </c>
      <c r="B59" s="370">
        <v>6.5699999999999995E-2</v>
      </c>
      <c r="C59" s="370">
        <f>B59+C50</f>
        <v>8.8200000000000001E-2</v>
      </c>
      <c r="D59" s="370">
        <f>D51</f>
        <v>6.6500000000000004E-2</v>
      </c>
      <c r="E59" s="369" t="s">
        <v>555</v>
      </c>
      <c r="F59" s="371">
        <f t="shared" si="0"/>
        <v>1.6424999999999999E-2</v>
      </c>
      <c r="G59" s="371">
        <f t="shared" si="0"/>
        <v>2.205E-2</v>
      </c>
      <c r="H59" s="372">
        <f>H51</f>
        <v>10000000</v>
      </c>
      <c r="I59" s="372">
        <f t="shared" si="1"/>
        <v>220500</v>
      </c>
      <c r="J59" s="373">
        <f t="shared" si="3"/>
        <v>2.0000000000000226E-4</v>
      </c>
      <c r="K59" s="372">
        <f t="shared" si="2"/>
        <v>2000.0000000000225</v>
      </c>
      <c r="L59" s="372">
        <v>0</v>
      </c>
    </row>
    <row r="62" spans="1:12">
      <c r="A62" s="6">
        <v>1</v>
      </c>
      <c r="B62" s="7" t="s">
        <v>180</v>
      </c>
      <c r="C62" s="55"/>
    </row>
    <row r="63" spans="1:12">
      <c r="A63" s="8">
        <v>1</v>
      </c>
      <c r="B63" s="3" t="s">
        <v>572</v>
      </c>
    </row>
    <row r="64" spans="1:12">
      <c r="A64" s="8">
        <v>1</v>
      </c>
      <c r="B64" s="9" t="s">
        <v>145</v>
      </c>
    </row>
    <row r="65" spans="1:4">
      <c r="A65" s="8">
        <v>1</v>
      </c>
      <c r="B65" s="9" t="s">
        <v>574</v>
      </c>
    </row>
    <row r="66" spans="1:4">
      <c r="A66" s="8">
        <v>1</v>
      </c>
      <c r="B66" s="9" t="s">
        <v>571</v>
      </c>
    </row>
    <row r="67" spans="1:4">
      <c r="A67" s="8">
        <v>1</v>
      </c>
      <c r="B67" s="9" t="s">
        <v>592</v>
      </c>
    </row>
    <row r="68" spans="1:4">
      <c r="A68" s="8">
        <v>1</v>
      </c>
      <c r="B68" s="9" t="s">
        <v>74</v>
      </c>
    </row>
    <row r="69" spans="1:4">
      <c r="A69" s="8">
        <v>1</v>
      </c>
      <c r="B69" s="9" t="s">
        <v>146</v>
      </c>
    </row>
    <row r="70" spans="1:4">
      <c r="A70" s="8">
        <v>1</v>
      </c>
      <c r="B70" s="9"/>
    </row>
    <row r="71" spans="1:4">
      <c r="A71" s="8">
        <v>1</v>
      </c>
      <c r="B71" s="9" t="s">
        <v>104</v>
      </c>
    </row>
    <row r="72" spans="1:4">
      <c r="A72" s="8">
        <v>1</v>
      </c>
      <c r="B72" s="9" t="s">
        <v>171</v>
      </c>
    </row>
    <row r="73" spans="1:4">
      <c r="A73" s="8">
        <v>1</v>
      </c>
      <c r="B73" s="9" t="s">
        <v>105</v>
      </c>
    </row>
    <row r="74" spans="1:4">
      <c r="A74" s="8">
        <v>1</v>
      </c>
      <c r="B74" s="9" t="s">
        <v>172</v>
      </c>
    </row>
    <row r="75" spans="1:4">
      <c r="A75" s="8">
        <v>1</v>
      </c>
      <c r="B75" s="9"/>
    </row>
    <row r="76" spans="1:4">
      <c r="A76" s="8">
        <v>1</v>
      </c>
      <c r="B76" s="9"/>
      <c r="C76" s="418">
        <f>PMT(J52,7,,-24850)</f>
        <v>3521.0840498182342</v>
      </c>
      <c r="D76" s="23" t="s">
        <v>177</v>
      </c>
    </row>
    <row r="77" spans="1:4">
      <c r="A77" s="8">
        <v>1</v>
      </c>
      <c r="B77" s="9"/>
      <c r="C77" s="420">
        <f>RATE(7,C76,,-24850)</f>
        <v>2.7250000000150396E-3</v>
      </c>
      <c r="D77" s="419" t="s">
        <v>173</v>
      </c>
    </row>
    <row r="78" spans="1:4">
      <c r="A78" s="8">
        <v>1</v>
      </c>
      <c r="B78" s="9"/>
      <c r="C78" s="418">
        <f>PV(C77,7,-C76)</f>
        <v>24381.111047723309</v>
      </c>
      <c r="D78" s="419" t="s">
        <v>174</v>
      </c>
    </row>
    <row r="79" spans="1:4">
      <c r="A79" s="8">
        <v>1</v>
      </c>
      <c r="B79" s="9"/>
      <c r="C79" s="418">
        <f>FV(C77,7,-C76)</f>
        <v>24849.999999999149</v>
      </c>
      <c r="D79" s="419" t="s">
        <v>175</v>
      </c>
    </row>
    <row r="80" spans="1:4">
      <c r="A80" s="8">
        <v>1</v>
      </c>
      <c r="B80" s="9"/>
      <c r="C80" s="270"/>
      <c r="D80" s="23"/>
    </row>
    <row r="81" spans="1:9">
      <c r="A81" s="8">
        <v>1</v>
      </c>
      <c r="B81" s="9" t="s">
        <v>1</v>
      </c>
      <c r="C81" s="270"/>
      <c r="D81" s="23"/>
    </row>
    <row r="82" spans="1:9">
      <c r="A82" s="8">
        <v>1</v>
      </c>
      <c r="B82" s="9" t="s">
        <v>106</v>
      </c>
    </row>
    <row r="83" spans="1:9">
      <c r="A83" s="8">
        <v>1</v>
      </c>
      <c r="B83" s="9" t="s">
        <v>107</v>
      </c>
    </row>
    <row r="84" spans="1:9" ht="13.5" thickBot="1">
      <c r="A84" s="8">
        <v>1</v>
      </c>
      <c r="B84" s="9"/>
    </row>
    <row r="85" spans="1:9" ht="13.5" thickBot="1">
      <c r="A85" s="8">
        <v>1</v>
      </c>
      <c r="B85" s="9"/>
      <c r="C85" s="164" t="s">
        <v>108</v>
      </c>
      <c r="D85" s="165"/>
      <c r="E85" s="166"/>
      <c r="G85" s="164" t="s">
        <v>109</v>
      </c>
      <c r="H85" s="165"/>
      <c r="I85" s="166"/>
    </row>
    <row r="86" spans="1:9">
      <c r="A86" s="8">
        <v>1</v>
      </c>
      <c r="C86" s="110" t="s">
        <v>556</v>
      </c>
      <c r="D86" s="424" t="s">
        <v>213</v>
      </c>
      <c r="E86" s="113" t="s">
        <v>213</v>
      </c>
      <c r="G86" s="110" t="s">
        <v>556</v>
      </c>
      <c r="H86" s="424" t="s">
        <v>213</v>
      </c>
      <c r="I86" s="425" t="s">
        <v>213</v>
      </c>
    </row>
    <row r="87" spans="1:9">
      <c r="A87" s="8">
        <v>1</v>
      </c>
      <c r="C87" s="106" t="s">
        <v>57</v>
      </c>
      <c r="D87" s="115" t="s">
        <v>577</v>
      </c>
      <c r="E87" s="115" t="s">
        <v>577</v>
      </c>
      <c r="G87" s="106" t="s">
        <v>57</v>
      </c>
      <c r="H87" s="115" t="s">
        <v>577</v>
      </c>
      <c r="I87" s="115" t="s">
        <v>577</v>
      </c>
    </row>
    <row r="88" spans="1:9" ht="13.5" thickBot="1">
      <c r="A88" s="8">
        <v>1</v>
      </c>
      <c r="B88" s="8" t="s">
        <v>544</v>
      </c>
      <c r="C88" s="107" t="s">
        <v>344</v>
      </c>
      <c r="D88" s="107" t="s">
        <v>392</v>
      </c>
      <c r="E88" s="107" t="s">
        <v>393</v>
      </c>
      <c r="G88" s="107" t="s">
        <v>344</v>
      </c>
      <c r="H88" s="107" t="s">
        <v>392</v>
      </c>
      <c r="I88" s="107" t="s">
        <v>393</v>
      </c>
    </row>
    <row r="89" spans="1:9">
      <c r="A89" s="8">
        <v>1</v>
      </c>
      <c r="B89" s="8">
        <v>2</v>
      </c>
      <c r="C89" s="440">
        <f>J52</f>
        <v>2.7250000000000017E-3</v>
      </c>
      <c r="D89" s="113">
        <f>-PV(C89,B89-B$89+1,,E89)</f>
        <v>3511.5151709773208</v>
      </c>
      <c r="E89" s="113">
        <f>PMT(C89,B95-B$89+1,,-24850)</f>
        <v>3521.0840498182342</v>
      </c>
      <c r="G89" s="304">
        <f>J52</f>
        <v>2.7250000000000017E-3</v>
      </c>
      <c r="H89" s="113">
        <f>-PV(G89,F89-F89+1,,I89)</f>
        <v>8252.5119050587145</v>
      </c>
      <c r="I89" s="113">
        <v>8275</v>
      </c>
    </row>
    <row r="90" spans="1:9">
      <c r="A90" s="8">
        <v>1</v>
      </c>
      <c r="B90" s="8">
        <v>3</v>
      </c>
      <c r="C90" s="304">
        <f t="shared" ref="C90:C95" si="4">C89</f>
        <v>2.7250000000000017E-3</v>
      </c>
      <c r="D90" s="115">
        <f t="shared" ref="D90:D95" si="5">-PV(C90,B90-B$89+1,,E90)</f>
        <v>3501.9722964694411</v>
      </c>
      <c r="E90" s="115">
        <f t="shared" ref="E90:E95" si="6">E89</f>
        <v>3521.0840498182342</v>
      </c>
      <c r="G90" s="304">
        <v>2.7499999999999998E-3</v>
      </c>
      <c r="H90" s="115">
        <f>-PV(G90,F90-F89+1,,I90)</f>
        <v>6866.1181750186988</v>
      </c>
      <c r="I90" s="115">
        <v>6885</v>
      </c>
    </row>
    <row r="91" spans="1:9">
      <c r="A91" s="8">
        <v>1</v>
      </c>
      <c r="B91" s="8">
        <v>4</v>
      </c>
      <c r="C91" s="304">
        <f t="shared" si="4"/>
        <v>2.7250000000000017E-3</v>
      </c>
      <c r="D91" s="115">
        <f t="shared" si="5"/>
        <v>3492.4553556253622</v>
      </c>
      <c r="E91" s="115">
        <f t="shared" si="6"/>
        <v>3521.0840498182342</v>
      </c>
      <c r="G91" s="304">
        <v>2.8300000000000001E-3</v>
      </c>
      <c r="H91" s="115">
        <f>-PV(G91,F91-F89+1,,I91)</f>
        <v>3824.1775774557996</v>
      </c>
      <c r="I91" s="115">
        <v>3835</v>
      </c>
    </row>
    <row r="92" spans="1:9">
      <c r="A92" s="8">
        <v>1</v>
      </c>
      <c r="B92" s="8">
        <v>5</v>
      </c>
      <c r="C92" s="304">
        <f t="shared" si="4"/>
        <v>2.7250000000000017E-3</v>
      </c>
      <c r="D92" s="115">
        <f t="shared" si="5"/>
        <v>3482.9642779678989</v>
      </c>
      <c r="E92" s="115">
        <f t="shared" si="6"/>
        <v>3521.0840498182342</v>
      </c>
      <c r="G92" s="304">
        <v>2.8800000000000002E-3</v>
      </c>
      <c r="H92" s="115">
        <f>-PV(G92,F92-F89+1,,I92)</f>
        <v>2322.3117421825145</v>
      </c>
      <c r="I92" s="115">
        <v>2329</v>
      </c>
    </row>
    <row r="93" spans="1:9">
      <c r="A93" s="8">
        <v>1</v>
      </c>
      <c r="B93" s="8">
        <v>6</v>
      </c>
      <c r="C93" s="304">
        <f t="shared" si="4"/>
        <v>2.7250000000000017E-3</v>
      </c>
      <c r="D93" s="115">
        <f t="shared" si="5"/>
        <v>3473.4989932113976</v>
      </c>
      <c r="E93" s="115">
        <f t="shared" si="6"/>
        <v>3521.0840498182342</v>
      </c>
      <c r="G93" s="304">
        <v>2.9099999999999998E-3</v>
      </c>
      <c r="H93" s="115">
        <f>-PV(G93,F93-F89+1,,I93)</f>
        <v>1283.2656968222473</v>
      </c>
      <c r="I93" s="115">
        <v>1287</v>
      </c>
    </row>
    <row r="94" spans="1:9">
      <c r="A94" s="8">
        <v>1</v>
      </c>
      <c r="B94" s="8">
        <v>7</v>
      </c>
      <c r="C94" s="304">
        <f t="shared" si="4"/>
        <v>2.7250000000000017E-3</v>
      </c>
      <c r="D94" s="115">
        <f t="shared" si="5"/>
        <v>3464.0594312612106</v>
      </c>
      <c r="E94" s="115">
        <f t="shared" si="6"/>
        <v>3521.0840498182342</v>
      </c>
      <c r="G94" s="304">
        <v>2.9399999999999999E-3</v>
      </c>
      <c r="H94" s="115">
        <f>-PV(G94,F94-F89+1,,I94)</f>
        <v>1188.5057929686723</v>
      </c>
      <c r="I94" s="115">
        <v>1192</v>
      </c>
    </row>
    <row r="95" spans="1:9" ht="13.5" thickBot="1">
      <c r="A95" s="8">
        <v>1</v>
      </c>
      <c r="B95" s="8">
        <v>8</v>
      </c>
      <c r="C95" s="423">
        <f t="shared" si="4"/>
        <v>2.7250000000000017E-3</v>
      </c>
      <c r="D95" s="116">
        <f t="shared" si="5"/>
        <v>3454.645522213179</v>
      </c>
      <c r="E95" s="116">
        <f t="shared" si="6"/>
        <v>3521.0840498182342</v>
      </c>
      <c r="G95" s="423">
        <v>2.9499999999999999E-3</v>
      </c>
      <c r="H95" s="116">
        <f>-PV(G95,F95-F89+1,,I95)</f>
        <v>644.09990527942568</v>
      </c>
      <c r="I95" s="116">
        <v>646</v>
      </c>
    </row>
    <row r="96" spans="1:9">
      <c r="A96" s="8">
        <v>1</v>
      </c>
      <c r="B96" s="9" t="s">
        <v>58</v>
      </c>
      <c r="D96" s="422">
        <f>SUM(D89:D95)</f>
        <v>24381.111047725812</v>
      </c>
      <c r="E96" s="422" t="s">
        <v>213</v>
      </c>
      <c r="G96" t="s">
        <v>213</v>
      </c>
      <c r="H96" s="422">
        <f>SUM(H89:H95)</f>
        <v>24380.990794786074</v>
      </c>
    </row>
    <row r="97" spans="1:7">
      <c r="A97" s="8">
        <v>1</v>
      </c>
      <c r="B97" s="9"/>
      <c r="D97" s="422"/>
      <c r="E97" s="422"/>
      <c r="G97" s="422"/>
    </row>
    <row r="98" spans="1:7">
      <c r="A98" s="8">
        <v>1</v>
      </c>
      <c r="B98" s="9" t="s">
        <v>170</v>
      </c>
      <c r="D98" s="422"/>
      <c r="E98" s="422"/>
      <c r="G98" s="422"/>
    </row>
    <row r="99" spans="1:7">
      <c r="A99" s="8">
        <v>1</v>
      </c>
      <c r="B99" s="9" t="s">
        <v>62</v>
      </c>
      <c r="D99" s="422"/>
      <c r="E99" s="422"/>
      <c r="G99" s="422"/>
    </row>
    <row r="100" spans="1:7">
      <c r="A100" s="8">
        <v>1</v>
      </c>
      <c r="B100" s="9"/>
      <c r="D100" s="422"/>
      <c r="E100" s="422"/>
      <c r="G100" s="422"/>
    </row>
    <row r="101" spans="1:7">
      <c r="A101" s="8">
        <v>1</v>
      </c>
      <c r="B101" s="10" t="s">
        <v>118</v>
      </c>
      <c r="D101" s="422"/>
      <c r="E101" s="422"/>
      <c r="G101" s="422"/>
    </row>
    <row r="102" spans="1:7">
      <c r="A102" s="8">
        <v>1</v>
      </c>
      <c r="B102" s="10" t="s">
        <v>110</v>
      </c>
      <c r="D102" s="422"/>
      <c r="E102" s="422"/>
      <c r="G102" s="422"/>
    </row>
    <row r="103" spans="1:7">
      <c r="A103" s="8">
        <v>1</v>
      </c>
      <c r="B103" s="10" t="s">
        <v>111</v>
      </c>
      <c r="D103" s="422"/>
      <c r="E103" s="422"/>
      <c r="G103" s="422"/>
    </row>
    <row r="104" spans="1:7">
      <c r="A104" s="8">
        <v>1</v>
      </c>
      <c r="B104" s="10" t="s">
        <v>112</v>
      </c>
      <c r="D104" s="422"/>
      <c r="E104" s="422"/>
      <c r="G104" s="422"/>
    </row>
    <row r="105" spans="1:7">
      <c r="A105" s="8">
        <v>1</v>
      </c>
      <c r="B105" s="10" t="s">
        <v>113</v>
      </c>
      <c r="D105" s="422"/>
      <c r="E105" s="422"/>
      <c r="G105" s="422"/>
    </row>
    <row r="106" spans="1:7">
      <c r="A106" s="8">
        <v>1</v>
      </c>
      <c r="B106" s="10" t="s">
        <v>114</v>
      </c>
      <c r="D106" s="422"/>
      <c r="E106" s="422"/>
      <c r="G106" s="422"/>
    </row>
    <row r="107" spans="1:7">
      <c r="A107" s="8">
        <v>1</v>
      </c>
      <c r="B107" s="10" t="s">
        <v>115</v>
      </c>
      <c r="D107" s="422"/>
      <c r="E107" s="422"/>
      <c r="G107" s="422"/>
    </row>
    <row r="108" spans="1:7">
      <c r="A108" s="8">
        <v>1</v>
      </c>
      <c r="B108" s="10" t="s">
        <v>116</v>
      </c>
      <c r="D108" s="422"/>
      <c r="E108" s="422"/>
      <c r="G108" s="422"/>
    </row>
    <row r="109" spans="1:7">
      <c r="A109" s="8">
        <v>1</v>
      </c>
      <c r="B109" s="10" t="s">
        <v>117</v>
      </c>
      <c r="D109" s="422"/>
      <c r="E109" s="422"/>
      <c r="G109" s="422"/>
    </row>
    <row r="110" spans="1:7">
      <c r="A110" s="8">
        <v>1</v>
      </c>
      <c r="B110" s="9"/>
    </row>
    <row r="111" spans="1:7">
      <c r="A111" s="8">
        <v>1</v>
      </c>
      <c r="B111" s="9" t="s">
        <v>154</v>
      </c>
    </row>
    <row r="112" spans="1:7">
      <c r="A112" s="8">
        <v>1</v>
      </c>
      <c r="B112" s="9" t="s">
        <v>155</v>
      </c>
    </row>
    <row r="113" spans="1:10" ht="13.5" thickBot="1">
      <c r="A113" s="8">
        <v>1</v>
      </c>
    </row>
    <row r="114" spans="1:10" ht="13.5" thickBot="1">
      <c r="A114" s="8">
        <v>1</v>
      </c>
      <c r="B114" s="271" t="s">
        <v>153</v>
      </c>
      <c r="C114" s="165"/>
      <c r="D114" s="165"/>
      <c r="E114" s="165"/>
      <c r="F114" s="165"/>
      <c r="G114" s="166"/>
    </row>
    <row r="115" spans="1:10">
      <c r="A115" s="8">
        <v>1</v>
      </c>
      <c r="B115" s="104"/>
      <c r="C115" s="110" t="s">
        <v>392</v>
      </c>
      <c r="D115" s="110" t="s">
        <v>393</v>
      </c>
      <c r="E115" s="110" t="s">
        <v>398</v>
      </c>
      <c r="F115" s="279" t="s">
        <v>557</v>
      </c>
      <c r="G115" s="386" t="s">
        <v>16</v>
      </c>
      <c r="H115" s="278" t="s">
        <v>213</v>
      </c>
      <c r="I115" s="110" t="s">
        <v>577</v>
      </c>
      <c r="J115" s="110" t="s">
        <v>466</v>
      </c>
    </row>
    <row r="116" spans="1:10">
      <c r="A116" s="8">
        <v>1</v>
      </c>
      <c r="B116" s="105"/>
      <c r="C116" s="106" t="s">
        <v>379</v>
      </c>
      <c r="D116" s="106" t="s">
        <v>577</v>
      </c>
      <c r="E116" s="106" t="s">
        <v>556</v>
      </c>
      <c r="F116" s="279" t="s">
        <v>41</v>
      </c>
      <c r="G116" s="282" t="s">
        <v>37</v>
      </c>
      <c r="H116" s="286" t="s">
        <v>577</v>
      </c>
      <c r="I116" s="106" t="s">
        <v>378</v>
      </c>
      <c r="J116" s="106" t="s">
        <v>386</v>
      </c>
    </row>
    <row r="117" spans="1:10">
      <c r="A117" s="8">
        <v>1</v>
      </c>
      <c r="B117" s="106" t="s">
        <v>577</v>
      </c>
      <c r="C117" s="106" t="s">
        <v>387</v>
      </c>
      <c r="D117" s="106" t="s">
        <v>343</v>
      </c>
      <c r="E117" s="106" t="s">
        <v>57</v>
      </c>
      <c r="F117" s="310">
        <v>24850</v>
      </c>
      <c r="G117" s="282" t="s">
        <v>556</v>
      </c>
      <c r="H117" s="286" t="s">
        <v>538</v>
      </c>
      <c r="I117" s="106" t="s">
        <v>340</v>
      </c>
      <c r="J117" s="106" t="s">
        <v>382</v>
      </c>
    </row>
    <row r="118" spans="1:10" ht="13.5" thickBot="1">
      <c r="A118" s="8">
        <v>1</v>
      </c>
      <c r="B118" s="107" t="s">
        <v>336</v>
      </c>
      <c r="C118" s="107" t="s">
        <v>344</v>
      </c>
      <c r="D118" s="107" t="s">
        <v>344</v>
      </c>
      <c r="E118" s="277" t="s">
        <v>344</v>
      </c>
      <c r="F118" s="279" t="s">
        <v>578</v>
      </c>
      <c r="G118" s="387" t="s">
        <v>38</v>
      </c>
      <c r="H118" s="403" t="s">
        <v>39</v>
      </c>
      <c r="I118" s="107" t="s">
        <v>339</v>
      </c>
      <c r="J118" s="107" t="s">
        <v>339</v>
      </c>
    </row>
    <row r="119" spans="1:10" ht="13.5" thickBot="1">
      <c r="A119" s="8">
        <v>1</v>
      </c>
      <c r="B119" s="278">
        <v>0</v>
      </c>
      <c r="C119" s="272">
        <v>0</v>
      </c>
      <c r="D119" s="272">
        <v>0</v>
      </c>
      <c r="E119" s="273">
        <v>0</v>
      </c>
      <c r="F119" s="274"/>
      <c r="G119" s="274"/>
      <c r="H119" s="274"/>
      <c r="I119" s="276" t="s">
        <v>213</v>
      </c>
      <c r="J119" s="275" t="s">
        <v>213</v>
      </c>
    </row>
    <row r="120" spans="1:10" ht="13.5" thickBot="1">
      <c r="A120" s="8">
        <v>1</v>
      </c>
      <c r="B120" s="280">
        <v>1</v>
      </c>
      <c r="C120" s="272" t="s">
        <v>213</v>
      </c>
      <c r="D120" s="272" t="s">
        <v>213</v>
      </c>
      <c r="E120" s="272" t="s">
        <v>213</v>
      </c>
      <c r="F120" s="272" t="s">
        <v>213</v>
      </c>
      <c r="G120" s="272" t="s">
        <v>213</v>
      </c>
      <c r="H120" s="272" t="s">
        <v>213</v>
      </c>
      <c r="I120" s="272" t="s">
        <v>213</v>
      </c>
      <c r="J120" s="272" t="s">
        <v>213</v>
      </c>
    </row>
    <row r="121" spans="1:10" ht="13.5" thickBot="1">
      <c r="A121" s="8">
        <v>1</v>
      </c>
      <c r="B121" s="282">
        <v>2</v>
      </c>
      <c r="C121" s="318">
        <v>25759.80453264853</v>
      </c>
      <c r="D121" s="318">
        <v>25830</v>
      </c>
      <c r="E121" s="302">
        <v>2.7250000000000017E-3</v>
      </c>
      <c r="F121" s="318">
        <v>25830</v>
      </c>
      <c r="G121" s="283" t="s">
        <v>205</v>
      </c>
      <c r="H121" s="283" t="s">
        <v>205</v>
      </c>
      <c r="I121" s="284">
        <v>2.8000018699199103E-3</v>
      </c>
      <c r="J121" s="284">
        <v>2.8000018699199107E-3</v>
      </c>
    </row>
    <row r="122" spans="1:10" ht="13.5" thickBot="1">
      <c r="A122" s="8">
        <v>1</v>
      </c>
      <c r="B122" s="106">
        <v>3</v>
      </c>
      <c r="C122" s="115">
        <v>0</v>
      </c>
      <c r="D122" s="115">
        <v>0</v>
      </c>
      <c r="E122" s="304">
        <v>2.7500000000000003E-3</v>
      </c>
      <c r="F122" s="82">
        <v>7508</v>
      </c>
      <c r="G122" s="272" t="s">
        <v>213</v>
      </c>
      <c r="H122" s="272" t="s">
        <v>213</v>
      </c>
      <c r="I122" s="158">
        <v>3.070038296727029E-3</v>
      </c>
      <c r="J122" s="158">
        <v>2.9319128519724826E-3</v>
      </c>
    </row>
    <row r="123" spans="1:10" ht="13.5" thickBot="1">
      <c r="A123" s="8">
        <v>1</v>
      </c>
      <c r="B123" s="106">
        <v>4</v>
      </c>
      <c r="C123" s="115">
        <v>0</v>
      </c>
      <c r="D123" s="115">
        <v>0</v>
      </c>
      <c r="E123" s="304">
        <v>2.8300000000000001E-3</v>
      </c>
      <c r="F123" s="82">
        <v>6014</v>
      </c>
      <c r="G123" s="272" t="s">
        <v>213</v>
      </c>
      <c r="H123" s="272" t="s">
        <v>213</v>
      </c>
      <c r="I123" s="158">
        <v>3.0800249306917049E-3</v>
      </c>
      <c r="J123" s="158">
        <v>2.9804747625584837E-3</v>
      </c>
    </row>
    <row r="124" spans="1:10" ht="13.5" thickBot="1">
      <c r="A124" s="8">
        <v>1</v>
      </c>
      <c r="B124" s="106">
        <v>5</v>
      </c>
      <c r="C124" s="115">
        <v>0</v>
      </c>
      <c r="D124" s="115">
        <v>0</v>
      </c>
      <c r="E124" s="304">
        <v>2.8800000000000002E-3</v>
      </c>
      <c r="F124" s="82">
        <v>5056</v>
      </c>
      <c r="G124" s="272" t="s">
        <v>213</v>
      </c>
      <c r="H124" s="272" t="s">
        <v>213</v>
      </c>
      <c r="I124" s="158">
        <v>3.0600134617688735E-3</v>
      </c>
      <c r="J124" s="158">
        <v>3.0001634841450154E-3</v>
      </c>
    </row>
    <row r="125" spans="1:10" ht="13.5" thickBot="1">
      <c r="A125" s="8">
        <v>1</v>
      </c>
      <c r="B125" s="106">
        <v>6</v>
      </c>
      <c r="C125" s="115">
        <v>0</v>
      </c>
      <c r="D125" s="115">
        <v>0</v>
      </c>
      <c r="E125" s="304">
        <v>2.9099999999999998E-3</v>
      </c>
      <c r="F125" s="82">
        <v>3040</v>
      </c>
      <c r="G125" s="272" t="s">
        <v>213</v>
      </c>
      <c r="H125" s="272" t="s">
        <v>213</v>
      </c>
      <c r="I125" s="158">
        <v>3.1200188460995815E-3</v>
      </c>
      <c r="J125" s="158">
        <v>3.0237604350412438E-3</v>
      </c>
    </row>
    <row r="126" spans="1:10" ht="13.5" thickBot="1">
      <c r="A126" s="8">
        <v>1</v>
      </c>
      <c r="B126" s="106">
        <v>7</v>
      </c>
      <c r="C126" s="115">
        <v>0</v>
      </c>
      <c r="D126" s="115">
        <v>0</v>
      </c>
      <c r="E126" s="304">
        <v>2.9399999999999999E-3</v>
      </c>
      <c r="F126" s="82">
        <v>2321</v>
      </c>
      <c r="G126" s="272" t="s">
        <v>213</v>
      </c>
      <c r="H126" s="272" t="s">
        <v>213</v>
      </c>
      <c r="I126" s="158">
        <v>3.0200027918481087E-3</v>
      </c>
      <c r="J126" s="158">
        <v>3.0231338366484605E-3</v>
      </c>
    </row>
    <row r="127" spans="1:10" ht="13.5" thickBot="1">
      <c r="A127" s="8">
        <v>1</v>
      </c>
      <c r="B127" s="107">
        <v>8</v>
      </c>
      <c r="C127" s="116">
        <v>0</v>
      </c>
      <c r="D127" s="116">
        <v>0</v>
      </c>
      <c r="E127" s="423">
        <v>2.9499999999999999E-3</v>
      </c>
      <c r="F127" s="83">
        <v>1490</v>
      </c>
      <c r="G127" s="272" t="s">
        <v>213</v>
      </c>
      <c r="H127" s="272" t="s">
        <v>213</v>
      </c>
      <c r="I127" s="285" t="s">
        <v>213</v>
      </c>
      <c r="J127" s="285" t="s">
        <v>213</v>
      </c>
    </row>
    <row r="128" spans="1:10">
      <c r="A128" s="8">
        <v>1</v>
      </c>
      <c r="F128" s="27" t="s">
        <v>213</v>
      </c>
    </row>
    <row r="129" spans="1:2">
      <c r="A129" s="8">
        <v>1</v>
      </c>
      <c r="B129" s="9" t="s">
        <v>156</v>
      </c>
    </row>
    <row r="130" spans="1:2">
      <c r="A130" s="8">
        <v>1</v>
      </c>
      <c r="B130" s="9" t="s">
        <v>119</v>
      </c>
    </row>
    <row r="131" spans="1:2">
      <c r="A131" s="8">
        <v>1</v>
      </c>
      <c r="B131" s="443" t="s">
        <v>120</v>
      </c>
    </row>
    <row r="132" spans="1:2">
      <c r="A132" s="8">
        <v>1</v>
      </c>
      <c r="B132" s="443" t="s">
        <v>121</v>
      </c>
    </row>
    <row r="133" spans="1:2">
      <c r="A133" s="8">
        <v>1</v>
      </c>
      <c r="B133" s="443" t="s">
        <v>122</v>
      </c>
    </row>
    <row r="134" spans="1:2">
      <c r="A134" s="8">
        <v>1</v>
      </c>
      <c r="B134" s="443"/>
    </row>
    <row r="135" spans="1:2">
      <c r="A135" s="8">
        <v>1</v>
      </c>
      <c r="B135" s="443"/>
    </row>
    <row r="136" spans="1:2">
      <c r="A136" s="8">
        <v>1</v>
      </c>
      <c r="B136" s="10" t="s">
        <v>457</v>
      </c>
    </row>
    <row r="137" spans="1:2">
      <c r="A137" s="8">
        <v>1</v>
      </c>
      <c r="B137" s="10" t="s">
        <v>158</v>
      </c>
    </row>
    <row r="138" spans="1:2">
      <c r="A138" s="8">
        <v>1</v>
      </c>
      <c r="B138" s="10" t="s">
        <v>159</v>
      </c>
    </row>
    <row r="139" spans="1:2">
      <c r="A139" s="8">
        <v>1</v>
      </c>
      <c r="B139" s="10" t="s">
        <v>160</v>
      </c>
    </row>
    <row r="140" spans="1:2">
      <c r="A140" s="8">
        <v>1</v>
      </c>
      <c r="B140" s="10"/>
    </row>
    <row r="141" spans="1:2">
      <c r="A141" s="8">
        <v>1</v>
      </c>
      <c r="B141" s="10" t="s">
        <v>128</v>
      </c>
    </row>
    <row r="142" spans="1:2">
      <c r="A142" s="8">
        <v>1</v>
      </c>
      <c r="B142" s="10" t="s">
        <v>161</v>
      </c>
    </row>
    <row r="143" spans="1:2">
      <c r="A143" s="8">
        <v>1</v>
      </c>
      <c r="B143" s="10" t="s">
        <v>162</v>
      </c>
    </row>
    <row r="144" spans="1:2">
      <c r="A144" s="8">
        <v>1</v>
      </c>
      <c r="B144" s="10" t="s">
        <v>163</v>
      </c>
    </row>
    <row r="145" spans="1:10">
      <c r="A145" s="8">
        <v>1</v>
      </c>
      <c r="B145" s="10" t="s">
        <v>164</v>
      </c>
    </row>
    <row r="146" spans="1:10">
      <c r="A146" s="8">
        <v>1</v>
      </c>
      <c r="B146" s="10" t="s">
        <v>165</v>
      </c>
    </row>
    <row r="147" spans="1:10">
      <c r="A147" s="8">
        <v>1</v>
      </c>
      <c r="B147" s="10" t="s">
        <v>166</v>
      </c>
    </row>
    <row r="148" spans="1:10">
      <c r="A148" s="8">
        <v>1</v>
      </c>
      <c r="B148" s="10" t="s">
        <v>167</v>
      </c>
    </row>
    <row r="149" spans="1:10">
      <c r="A149" s="8">
        <v>1</v>
      </c>
      <c r="B149" s="10"/>
    </row>
    <row r="150" spans="1:10">
      <c r="A150" s="8">
        <v>1</v>
      </c>
      <c r="B150" s="10" t="s">
        <v>75</v>
      </c>
    </row>
    <row r="151" spans="1:10" ht="13.5" thickBot="1">
      <c r="A151" s="8">
        <v>1</v>
      </c>
      <c r="B151" s="10" t="s">
        <v>213</v>
      </c>
    </row>
    <row r="152" spans="1:10" ht="13.5" thickBot="1">
      <c r="A152" s="8">
        <v>1</v>
      </c>
      <c r="B152" s="271" t="s">
        <v>153</v>
      </c>
      <c r="C152" s="165"/>
      <c r="D152" s="165"/>
      <c r="E152" s="165"/>
      <c r="F152" s="165"/>
      <c r="G152" s="166"/>
      <c r="H152" s="166"/>
    </row>
    <row r="153" spans="1:10">
      <c r="A153" s="8">
        <v>1</v>
      </c>
      <c r="B153" s="104"/>
      <c r="C153" s="110" t="s">
        <v>392</v>
      </c>
      <c r="D153" s="110" t="s">
        <v>393</v>
      </c>
      <c r="E153" s="110" t="s">
        <v>398</v>
      </c>
      <c r="F153" s="279" t="s">
        <v>37</v>
      </c>
      <c r="G153" s="386" t="str">
        <f>E54</f>
        <v>03/31/x2</v>
      </c>
      <c r="H153" s="278" t="s">
        <v>213</v>
      </c>
      <c r="I153" s="110" t="s">
        <v>577</v>
      </c>
      <c r="J153" s="110" t="s">
        <v>466</v>
      </c>
    </row>
    <row r="154" spans="1:10">
      <c r="A154" s="8">
        <v>1</v>
      </c>
      <c r="B154" s="105"/>
      <c r="C154" s="106" t="s">
        <v>379</v>
      </c>
      <c r="D154" s="106" t="s">
        <v>577</v>
      </c>
      <c r="E154" s="106" t="s">
        <v>556</v>
      </c>
      <c r="F154" s="279" t="s">
        <v>41</v>
      </c>
      <c r="G154" s="282" t="s">
        <v>37</v>
      </c>
      <c r="H154" s="286" t="s">
        <v>577</v>
      </c>
      <c r="I154" s="106" t="s">
        <v>378</v>
      </c>
      <c r="J154" s="106" t="s">
        <v>386</v>
      </c>
    </row>
    <row r="155" spans="1:10">
      <c r="A155" s="8">
        <v>1</v>
      </c>
      <c r="B155" s="106" t="s">
        <v>577</v>
      </c>
      <c r="C155" s="106" t="s">
        <v>387</v>
      </c>
      <c r="D155" s="106" t="s">
        <v>343</v>
      </c>
      <c r="E155" s="106" t="s">
        <v>57</v>
      </c>
      <c r="F155" s="310">
        <f>24850</f>
        <v>24850</v>
      </c>
      <c r="G155" s="282" t="s">
        <v>556</v>
      </c>
      <c r="H155" s="286" t="s">
        <v>538</v>
      </c>
      <c r="I155" s="106" t="s">
        <v>340</v>
      </c>
      <c r="J155" s="106" t="s">
        <v>382</v>
      </c>
    </row>
    <row r="156" spans="1:10" ht="13.5" thickBot="1">
      <c r="A156" s="8">
        <v>1</v>
      </c>
      <c r="B156" s="107" t="s">
        <v>336</v>
      </c>
      <c r="C156" s="107" t="s">
        <v>344</v>
      </c>
      <c r="D156" s="107" t="s">
        <v>344</v>
      </c>
      <c r="E156" s="277" t="s">
        <v>344</v>
      </c>
      <c r="F156" s="279" t="s">
        <v>578</v>
      </c>
      <c r="G156" s="387" t="s">
        <v>38</v>
      </c>
      <c r="H156" s="403" t="s">
        <v>39</v>
      </c>
      <c r="I156" s="107" t="s">
        <v>339</v>
      </c>
      <c r="J156" s="107" t="s">
        <v>339</v>
      </c>
    </row>
    <row r="157" spans="1:10" ht="13.5" thickBot="1">
      <c r="A157" s="8">
        <v>1</v>
      </c>
      <c r="B157" s="278">
        <v>0</v>
      </c>
      <c r="C157" s="272" t="e">
        <f>#REF!</f>
        <v>#REF!</v>
      </c>
      <c r="D157" s="272" t="e">
        <f>#REF!</f>
        <v>#REF!</v>
      </c>
      <c r="E157" s="273">
        <v>0</v>
      </c>
      <c r="F157" s="274"/>
      <c r="G157" s="274"/>
      <c r="H157" s="274"/>
      <c r="I157" s="276" t="s">
        <v>213</v>
      </c>
      <c r="J157" s="275" t="s">
        <v>213</v>
      </c>
    </row>
    <row r="158" spans="1:10" ht="13.5" thickBot="1">
      <c r="A158" s="8">
        <v>1</v>
      </c>
      <c r="B158" s="280">
        <v>1</v>
      </c>
      <c r="C158" s="272" t="s">
        <v>213</v>
      </c>
      <c r="D158" s="272" t="s">
        <v>213</v>
      </c>
      <c r="E158" s="272" t="s">
        <v>213</v>
      </c>
      <c r="F158" s="272" t="s">
        <v>213</v>
      </c>
      <c r="G158" s="272" t="s">
        <v>213</v>
      </c>
      <c r="H158" s="272" t="s">
        <v>213</v>
      </c>
      <c r="I158" s="272" t="s">
        <v>213</v>
      </c>
      <c r="J158" s="272" t="s">
        <v>213</v>
      </c>
    </row>
    <row r="159" spans="1:10">
      <c r="A159" s="8">
        <v>1</v>
      </c>
      <c r="B159" s="282">
        <v>2</v>
      </c>
      <c r="C159" s="318">
        <f>-PV(E159,B159-B$159+1,,D159)</f>
        <v>25759.80453264853</v>
      </c>
      <c r="D159" s="318">
        <v>25830</v>
      </c>
      <c r="E159" s="302">
        <f>J52</f>
        <v>2.7250000000000017E-3</v>
      </c>
      <c r="F159" s="318">
        <f>D121</f>
        <v>25830</v>
      </c>
      <c r="G159" s="318">
        <f>K53</f>
        <v>25500.000000000004</v>
      </c>
      <c r="H159" s="283">
        <f>F159-G159</f>
        <v>329.99999999999636</v>
      </c>
      <c r="I159" s="302">
        <f t="shared" ref="I159:I164" si="7">(FV(E160,B160,0,-1)/FV(E159,B159,0,-1)) - 1</f>
        <v>2.8000018699199103E-3</v>
      </c>
      <c r="J159" s="302">
        <f>GEOMEAN(I158:I159)</f>
        <v>2.8000018699199107E-3</v>
      </c>
    </row>
    <row r="160" spans="1:10">
      <c r="A160" s="8">
        <v>1</v>
      </c>
      <c r="B160" s="106">
        <v>3</v>
      </c>
      <c r="C160" s="115">
        <f t="shared" ref="C160:C165" si="8">-PV(E160,B160-B$159+1,,D160)</f>
        <v>0</v>
      </c>
      <c r="D160" s="115">
        <v>0</v>
      </c>
      <c r="E160" s="304">
        <f>0.275%</f>
        <v>2.7500000000000003E-3</v>
      </c>
      <c r="F160" s="82">
        <f t="shared" ref="F160:F165" si="9">D122</f>
        <v>0</v>
      </c>
      <c r="G160" s="291" t="s">
        <v>213</v>
      </c>
      <c r="H160" s="291" t="s">
        <v>213</v>
      </c>
      <c r="I160" s="108">
        <f t="shared" si="7"/>
        <v>3.070038296727029E-3</v>
      </c>
      <c r="J160" s="108">
        <f>GEOMEAN(I158:I160)</f>
        <v>2.9319128519724826E-3</v>
      </c>
    </row>
    <row r="161" spans="1:11">
      <c r="A161" s="8">
        <v>1</v>
      </c>
      <c r="B161" s="106">
        <v>4</v>
      </c>
      <c r="C161" s="115">
        <f t="shared" si="8"/>
        <v>0</v>
      </c>
      <c r="D161" s="115">
        <v>0</v>
      </c>
      <c r="E161" s="304">
        <v>2.8300000000000001E-3</v>
      </c>
      <c r="F161" s="82">
        <f t="shared" si="9"/>
        <v>0</v>
      </c>
      <c r="G161" s="291" t="s">
        <v>213</v>
      </c>
      <c r="H161" s="291" t="s">
        <v>213</v>
      </c>
      <c r="I161" s="108">
        <f t="shared" si="7"/>
        <v>3.0800249306917049E-3</v>
      </c>
      <c r="J161" s="108">
        <f>GEOMEAN(I158:I161)</f>
        <v>2.9804747625584837E-3</v>
      </c>
    </row>
    <row r="162" spans="1:11">
      <c r="A162" s="8">
        <v>1</v>
      </c>
      <c r="B162" s="106">
        <v>5</v>
      </c>
      <c r="C162" s="115">
        <f t="shared" si="8"/>
        <v>0</v>
      </c>
      <c r="D162" s="115">
        <v>0</v>
      </c>
      <c r="E162" s="304">
        <v>2.8800000000000002E-3</v>
      </c>
      <c r="F162" s="82">
        <f t="shared" si="9"/>
        <v>0</v>
      </c>
      <c r="G162" s="291" t="s">
        <v>213</v>
      </c>
      <c r="H162" s="291" t="s">
        <v>213</v>
      </c>
      <c r="I162" s="108">
        <f t="shared" si="7"/>
        <v>3.0600134617688735E-3</v>
      </c>
      <c r="J162" s="108">
        <f>GEOMEAN(I158:I162)</f>
        <v>3.0001634841450154E-3</v>
      </c>
    </row>
    <row r="163" spans="1:11">
      <c r="A163" s="8">
        <v>1</v>
      </c>
      <c r="B163" s="106">
        <v>6</v>
      </c>
      <c r="C163" s="115">
        <f t="shared" si="8"/>
        <v>0</v>
      </c>
      <c r="D163" s="115">
        <v>0</v>
      </c>
      <c r="E163" s="304">
        <v>2.9099999999999998E-3</v>
      </c>
      <c r="F163" s="82">
        <f t="shared" si="9"/>
        <v>0</v>
      </c>
      <c r="G163" s="291" t="s">
        <v>213</v>
      </c>
      <c r="H163" s="291" t="s">
        <v>213</v>
      </c>
      <c r="I163" s="108">
        <f t="shared" si="7"/>
        <v>3.1200188460995815E-3</v>
      </c>
      <c r="J163" s="108">
        <f>GEOMEAN(I158:I163)</f>
        <v>3.0237604350412438E-3</v>
      </c>
    </row>
    <row r="164" spans="1:11">
      <c r="A164" s="8">
        <v>1</v>
      </c>
      <c r="B164" s="106">
        <v>7</v>
      </c>
      <c r="C164" s="115">
        <f t="shared" si="8"/>
        <v>0</v>
      </c>
      <c r="D164" s="115">
        <v>0</v>
      </c>
      <c r="E164" s="304">
        <v>2.9399999999999999E-3</v>
      </c>
      <c r="F164" s="82">
        <f t="shared" si="9"/>
        <v>0</v>
      </c>
      <c r="G164" s="291" t="s">
        <v>213</v>
      </c>
      <c r="H164" s="291" t="s">
        <v>213</v>
      </c>
      <c r="I164" s="108">
        <f t="shared" si="7"/>
        <v>3.0200027918481087E-3</v>
      </c>
      <c r="J164" s="108">
        <f>GEOMEAN(I158:I164)</f>
        <v>3.0231338366484605E-3</v>
      </c>
    </row>
    <row r="165" spans="1:11" ht="13.5" thickBot="1">
      <c r="A165" s="8">
        <v>1</v>
      </c>
      <c r="B165" s="107">
        <v>8</v>
      </c>
      <c r="C165" s="116">
        <f t="shared" si="8"/>
        <v>0</v>
      </c>
      <c r="D165" s="116">
        <v>0</v>
      </c>
      <c r="E165" s="423">
        <v>2.9499999999999999E-3</v>
      </c>
      <c r="F165" s="83">
        <f t="shared" si="9"/>
        <v>0</v>
      </c>
      <c r="G165" s="291" t="s">
        <v>213</v>
      </c>
      <c r="H165" s="291" t="s">
        <v>213</v>
      </c>
      <c r="I165" s="285" t="s">
        <v>213</v>
      </c>
      <c r="J165" s="285" t="s">
        <v>213</v>
      </c>
    </row>
    <row r="166" spans="1:11">
      <c r="A166" s="8">
        <v>1</v>
      </c>
      <c r="B166" s="439" t="s">
        <v>176</v>
      </c>
    </row>
    <row r="167" spans="1:11" ht="13.5" thickBot="1">
      <c r="A167" s="8">
        <v>1</v>
      </c>
      <c r="B167" s="439"/>
    </row>
    <row r="168" spans="1:11" ht="13.5" thickBot="1">
      <c r="A168" s="8">
        <v>1</v>
      </c>
      <c r="B168" s="271" t="s">
        <v>147</v>
      </c>
      <c r="C168" s="165"/>
      <c r="D168" s="165"/>
      <c r="E168" s="165"/>
      <c r="F168" s="165"/>
      <c r="G168" s="166"/>
    </row>
    <row r="169" spans="1:11">
      <c r="A169" s="8">
        <v>1</v>
      </c>
      <c r="B169" s="104"/>
      <c r="C169" s="110" t="s">
        <v>392</v>
      </c>
      <c r="D169" s="110" t="s">
        <v>393</v>
      </c>
      <c r="E169" s="110" t="s">
        <v>398</v>
      </c>
      <c r="F169" s="279" t="s">
        <v>40</v>
      </c>
      <c r="G169" s="388" t="str">
        <f>E55</f>
        <v>06/30/x2</v>
      </c>
      <c r="H169" s="278" t="s">
        <v>213</v>
      </c>
      <c r="I169" s="110" t="s">
        <v>577</v>
      </c>
      <c r="J169" s="110" t="s">
        <v>466</v>
      </c>
    </row>
    <row r="170" spans="1:11">
      <c r="A170" s="8">
        <v>1</v>
      </c>
      <c r="B170" s="105"/>
      <c r="C170" s="106" t="s">
        <v>379</v>
      </c>
      <c r="D170" s="106" t="s">
        <v>577</v>
      </c>
      <c r="E170" s="106" t="s">
        <v>556</v>
      </c>
      <c r="F170" s="279" t="s">
        <v>41</v>
      </c>
      <c r="G170" s="287" t="s">
        <v>40</v>
      </c>
      <c r="H170" s="286" t="s">
        <v>577</v>
      </c>
      <c r="I170" s="106" t="s">
        <v>378</v>
      </c>
      <c r="J170" s="106" t="s">
        <v>386</v>
      </c>
    </row>
    <row r="171" spans="1:11">
      <c r="A171" s="8">
        <v>1</v>
      </c>
      <c r="B171" s="106" t="s">
        <v>577</v>
      </c>
      <c r="C171" s="106" t="s">
        <v>387</v>
      </c>
      <c r="D171" s="106" t="s">
        <v>343</v>
      </c>
      <c r="E171" s="106" t="s">
        <v>57</v>
      </c>
      <c r="F171" s="313">
        <v>73800</v>
      </c>
      <c r="G171" s="287" t="s">
        <v>556</v>
      </c>
      <c r="H171" s="286" t="s">
        <v>538</v>
      </c>
      <c r="I171" s="106" t="s">
        <v>340</v>
      </c>
      <c r="J171" s="106" t="s">
        <v>382</v>
      </c>
    </row>
    <row r="172" spans="1:11" ht="13.5" thickBot="1">
      <c r="A172" s="8">
        <v>1</v>
      </c>
      <c r="B172" s="107" t="s">
        <v>336</v>
      </c>
      <c r="C172" s="107" t="s">
        <v>344</v>
      </c>
      <c r="D172" s="107" t="s">
        <v>344</v>
      </c>
      <c r="E172" s="277" t="s">
        <v>344</v>
      </c>
      <c r="F172" s="279" t="s">
        <v>578</v>
      </c>
      <c r="G172" s="389" t="s">
        <v>38</v>
      </c>
      <c r="H172" s="403" t="s">
        <v>39</v>
      </c>
      <c r="I172" s="107" t="s">
        <v>339</v>
      </c>
      <c r="J172" s="107" t="s">
        <v>339</v>
      </c>
    </row>
    <row r="173" spans="1:11" ht="13.5" thickBot="1">
      <c r="A173" s="8">
        <v>1</v>
      </c>
      <c r="B173" s="278">
        <v>0</v>
      </c>
      <c r="C173" s="272" t="s">
        <v>213</v>
      </c>
      <c r="D173" s="272" t="s">
        <v>213</v>
      </c>
      <c r="E173" s="273">
        <v>0</v>
      </c>
      <c r="F173" s="274"/>
      <c r="G173" s="274"/>
      <c r="H173" s="274"/>
      <c r="I173" s="276" t="s">
        <v>213</v>
      </c>
      <c r="J173" s="275" t="s">
        <v>213</v>
      </c>
    </row>
    <row r="174" spans="1:11" ht="13.5" thickBot="1">
      <c r="A174" s="8">
        <v>1</v>
      </c>
      <c r="B174" s="286">
        <v>1</v>
      </c>
      <c r="C174" s="291"/>
      <c r="D174" s="291"/>
      <c r="E174" s="292"/>
      <c r="F174" s="272"/>
      <c r="G174" s="272" t="s">
        <v>213</v>
      </c>
      <c r="H174" s="272" t="s">
        <v>213</v>
      </c>
      <c r="I174" s="293" t="s">
        <v>213</v>
      </c>
      <c r="J174" s="293"/>
    </row>
    <row r="175" spans="1:11" s="102" customFormat="1" ht="13.5" thickBot="1">
      <c r="A175" s="8">
        <v>1</v>
      </c>
      <c r="B175" s="282">
        <v>2</v>
      </c>
      <c r="C175" s="291" t="s">
        <v>213</v>
      </c>
      <c r="D175" s="291" t="s">
        <v>213</v>
      </c>
      <c r="E175" s="291" t="s">
        <v>213</v>
      </c>
      <c r="F175" s="291" t="s">
        <v>213</v>
      </c>
      <c r="G175" s="272" t="s">
        <v>213</v>
      </c>
      <c r="H175" s="272" t="s">
        <v>213</v>
      </c>
      <c r="I175" s="272" t="s">
        <v>213</v>
      </c>
      <c r="J175" s="272" t="s">
        <v>213</v>
      </c>
      <c r="K175"/>
    </row>
    <row r="176" spans="1:11" s="102" customFormat="1">
      <c r="A176" s="8">
        <v>1</v>
      </c>
      <c r="B176" s="287">
        <v>3</v>
      </c>
      <c r="C176" s="288">
        <f t="shared" ref="C176:C181" si="10">-PV(E176,B176-B$159+1,,D176)</f>
        <v>28315.407301824711</v>
      </c>
      <c r="D176" s="288">
        <v>28460</v>
      </c>
      <c r="E176" s="303">
        <f>J53</f>
        <v>2.5500000000000002E-3</v>
      </c>
      <c r="F176" s="432">
        <f t="shared" ref="F176:F181" si="11">D176</f>
        <v>28460</v>
      </c>
      <c r="G176" s="432">
        <f>K54</f>
        <v>27250.000000000018</v>
      </c>
      <c r="H176" s="288">
        <f>F176-G176</f>
        <v>1209.9999999999818</v>
      </c>
      <c r="I176" s="303">
        <f>(FV(E177,B177,0,-1)/FV(E176,B176,0,-1)) - 1</f>
        <v>2.9100484792861092E-3</v>
      </c>
      <c r="J176" s="303">
        <f>GEOMEAN(I175:I176)</f>
        <v>2.9100484792861083E-3</v>
      </c>
      <c r="K176"/>
    </row>
    <row r="177" spans="1:11" s="102" customFormat="1">
      <c r="A177" s="8">
        <v>1</v>
      </c>
      <c r="B177" s="286">
        <v>4</v>
      </c>
      <c r="C177" s="115">
        <f t="shared" si="10"/>
        <v>20848.444023779233</v>
      </c>
      <c r="D177" s="115">
        <v>21014</v>
      </c>
      <c r="E177" s="304">
        <v>2.64E-3</v>
      </c>
      <c r="F177" s="82">
        <f t="shared" si="11"/>
        <v>21014</v>
      </c>
      <c r="G177" s="291" t="s">
        <v>213</v>
      </c>
      <c r="H177" s="291" t="s">
        <v>213</v>
      </c>
      <c r="I177" s="304">
        <f>(FV(E178,B178,0,-1)/FV(E177,B177,0,-1)) - 1</f>
        <v>3.0400638365786214E-3</v>
      </c>
      <c r="J177" s="304">
        <f>GEOMEAN(I175:I177)</f>
        <v>2.9743458347287577E-3</v>
      </c>
      <c r="K177"/>
    </row>
    <row r="178" spans="1:11" s="102" customFormat="1">
      <c r="A178" s="8">
        <v>1</v>
      </c>
      <c r="B178" s="106">
        <v>5</v>
      </c>
      <c r="C178" s="115">
        <f t="shared" si="10"/>
        <v>10943.448613535957</v>
      </c>
      <c r="D178" s="115">
        <v>11063</v>
      </c>
      <c r="E178" s="304">
        <v>2.7200000000000002E-3</v>
      </c>
      <c r="F178" s="82">
        <f t="shared" si="11"/>
        <v>11063</v>
      </c>
      <c r="G178" s="291" t="s">
        <v>213</v>
      </c>
      <c r="H178" s="291" t="s">
        <v>213</v>
      </c>
      <c r="I178" s="108">
        <f>(FV(E179,B179,0,-1)/FV(E178,B178,0,-1)) - 1</f>
        <v>3.0200374007627317E-3</v>
      </c>
      <c r="J178" s="108">
        <f>GEOMEAN(I175:I178)</f>
        <v>2.989499025739523E-3</v>
      </c>
      <c r="K178"/>
    </row>
    <row r="179" spans="1:11" s="102" customFormat="1">
      <c r="A179" s="8">
        <v>1</v>
      </c>
      <c r="B179" s="106">
        <v>6</v>
      </c>
      <c r="C179" s="115">
        <f t="shared" si="10"/>
        <v>9032.2089513039209</v>
      </c>
      <c r="D179" s="115">
        <v>9158</v>
      </c>
      <c r="E179" s="304">
        <v>2.7699999999999999E-3</v>
      </c>
      <c r="F179" s="82">
        <f t="shared" si="11"/>
        <v>9158</v>
      </c>
      <c r="G179" s="291" t="s">
        <v>213</v>
      </c>
      <c r="H179" s="291" t="s">
        <v>213</v>
      </c>
      <c r="I179" s="108">
        <f>(FV(E180,B180,0,-1)/FV(E179,B179,0,-1)) - 1</f>
        <v>3.0500335094132414E-3</v>
      </c>
      <c r="J179" s="108">
        <f>GEOMEAN(I175:I179)</f>
        <v>3.0045190699362844E-3</v>
      </c>
      <c r="K179"/>
    </row>
    <row r="180" spans="1:11" s="102" customFormat="1">
      <c r="A180" s="8">
        <v>1</v>
      </c>
      <c r="B180" s="106">
        <v>7</v>
      </c>
      <c r="C180" s="115">
        <f t="shared" si="10"/>
        <v>2134.7542505216225</v>
      </c>
      <c r="D180" s="115">
        <v>2171</v>
      </c>
      <c r="E180" s="304">
        <v>2.81E-3</v>
      </c>
      <c r="F180" s="82">
        <f t="shared" si="11"/>
        <v>2171</v>
      </c>
      <c r="G180" s="291" t="s">
        <v>213</v>
      </c>
      <c r="H180" s="291" t="s">
        <v>213</v>
      </c>
      <c r="I180" s="108">
        <f>(FV(E181,B181,0,-1)/FV(E180,B180,0,-1)) - 1</f>
        <v>2.9700111690629249E-3</v>
      </c>
      <c r="J180" s="108">
        <f>GEOMEAN(I177:I180)</f>
        <v>3.0198782170901841E-3</v>
      </c>
      <c r="K180"/>
    </row>
    <row r="181" spans="1:11" ht="13.5" thickBot="1">
      <c r="A181" s="8">
        <v>1</v>
      </c>
      <c r="B181" s="107">
        <v>8</v>
      </c>
      <c r="C181" s="116">
        <f t="shared" si="10"/>
        <v>1852.97935796345</v>
      </c>
      <c r="D181" s="116">
        <v>1890</v>
      </c>
      <c r="E181" s="423">
        <v>2.8300000000000001E-3</v>
      </c>
      <c r="F181" s="83">
        <f t="shared" si="11"/>
        <v>1890</v>
      </c>
      <c r="G181" s="291" t="s">
        <v>213</v>
      </c>
      <c r="H181" s="291" t="s">
        <v>213</v>
      </c>
      <c r="I181" s="285" t="s">
        <v>213</v>
      </c>
      <c r="J181" s="285" t="s">
        <v>213</v>
      </c>
    </row>
    <row r="182" spans="1:11">
      <c r="A182" s="8">
        <v>1</v>
      </c>
      <c r="B182" s="439" t="s">
        <v>176</v>
      </c>
    </row>
    <row r="183" spans="1:11" ht="13.5" thickBot="1">
      <c r="A183" s="8">
        <v>1</v>
      </c>
      <c r="C183" s="27" t="s">
        <v>213</v>
      </c>
      <c r="F183" s="447" t="s">
        <v>213</v>
      </c>
    </row>
    <row r="184" spans="1:11" ht="13.5" thickBot="1">
      <c r="A184" s="8">
        <v>1</v>
      </c>
      <c r="B184" s="271" t="s">
        <v>148</v>
      </c>
      <c r="C184" s="165"/>
      <c r="D184" s="165"/>
      <c r="E184" s="165"/>
      <c r="F184" s="165"/>
      <c r="G184" s="166"/>
    </row>
    <row r="185" spans="1:11">
      <c r="A185" s="8">
        <v>1</v>
      </c>
      <c r="B185" s="104"/>
      <c r="C185" s="110" t="s">
        <v>392</v>
      </c>
      <c r="D185" s="110" t="s">
        <v>393</v>
      </c>
      <c r="E185" s="110" t="s">
        <v>398</v>
      </c>
      <c r="F185" s="279" t="s">
        <v>42</v>
      </c>
      <c r="G185" s="391" t="str">
        <f>E56</f>
        <v>09/30x2</v>
      </c>
      <c r="H185" s="278" t="s">
        <v>213</v>
      </c>
      <c r="I185" s="110" t="s">
        <v>577</v>
      </c>
      <c r="J185" s="110" t="s">
        <v>466</v>
      </c>
    </row>
    <row r="186" spans="1:11">
      <c r="A186" s="8">
        <v>1</v>
      </c>
      <c r="B186" s="105"/>
      <c r="C186" s="106" t="s">
        <v>379</v>
      </c>
      <c r="D186" s="106" t="s">
        <v>577</v>
      </c>
      <c r="E186" s="106" t="s">
        <v>556</v>
      </c>
      <c r="F186" s="279" t="s">
        <v>41</v>
      </c>
      <c r="G186" s="289" t="s">
        <v>42</v>
      </c>
      <c r="H186" s="286" t="s">
        <v>577</v>
      </c>
      <c r="I186" s="106" t="s">
        <v>378</v>
      </c>
      <c r="J186" s="106" t="s">
        <v>386</v>
      </c>
    </row>
    <row r="187" spans="1:11">
      <c r="A187" s="8">
        <v>1</v>
      </c>
      <c r="B187" s="106" t="s">
        <v>577</v>
      </c>
      <c r="C187" s="106" t="s">
        <v>387</v>
      </c>
      <c r="D187" s="106" t="s">
        <v>343</v>
      </c>
      <c r="E187" s="106" t="s">
        <v>57</v>
      </c>
      <c r="F187" s="393">
        <v>85910</v>
      </c>
      <c r="G187" s="289" t="s">
        <v>556</v>
      </c>
      <c r="H187" s="286" t="s">
        <v>538</v>
      </c>
      <c r="I187" s="106" t="s">
        <v>340</v>
      </c>
      <c r="J187" s="106" t="s">
        <v>382</v>
      </c>
    </row>
    <row r="188" spans="1:11" ht="13.5" thickBot="1">
      <c r="A188" s="8">
        <v>1</v>
      </c>
      <c r="B188" s="107" t="s">
        <v>336</v>
      </c>
      <c r="C188" s="107" t="s">
        <v>344</v>
      </c>
      <c r="D188" s="107" t="s">
        <v>344</v>
      </c>
      <c r="E188" s="277" t="s">
        <v>344</v>
      </c>
      <c r="F188" s="279" t="s">
        <v>578</v>
      </c>
      <c r="G188" s="392" t="s">
        <v>38</v>
      </c>
      <c r="H188" s="403" t="s">
        <v>39</v>
      </c>
      <c r="I188" s="107" t="s">
        <v>339</v>
      </c>
      <c r="J188" s="107" t="s">
        <v>339</v>
      </c>
    </row>
    <row r="189" spans="1:11" ht="13.5" thickBot="1">
      <c r="A189" s="8">
        <v>1</v>
      </c>
      <c r="B189" s="278">
        <v>0</v>
      </c>
      <c r="C189" s="272" t="s">
        <v>213</v>
      </c>
      <c r="D189" s="272" t="str">
        <f>D154</f>
        <v>Quarter t</v>
      </c>
      <c r="E189" s="273">
        <v>0</v>
      </c>
      <c r="F189" s="274"/>
      <c r="G189" s="274"/>
      <c r="H189" s="274"/>
      <c r="I189" s="276" t="s">
        <v>213</v>
      </c>
      <c r="J189" s="275" t="s">
        <v>213</v>
      </c>
    </row>
    <row r="190" spans="1:11" s="102" customFormat="1" ht="13.5" thickBot="1">
      <c r="A190" s="8">
        <v>1</v>
      </c>
      <c r="B190" s="286">
        <v>1</v>
      </c>
      <c r="C190" s="291"/>
      <c r="D190" s="291"/>
      <c r="E190" s="273"/>
      <c r="F190" s="272"/>
      <c r="G190" s="272" t="s">
        <v>213</v>
      </c>
      <c r="H190" s="272" t="s">
        <v>213</v>
      </c>
      <c r="I190" s="306" t="s">
        <v>213</v>
      </c>
      <c r="J190" s="306"/>
      <c r="K190"/>
    </row>
    <row r="191" spans="1:11" s="102" customFormat="1">
      <c r="A191" s="8">
        <v>1</v>
      </c>
      <c r="B191" s="286">
        <v>2</v>
      </c>
      <c r="C191" s="291"/>
      <c r="D191" s="291"/>
      <c r="E191" s="307"/>
      <c r="F191" s="291"/>
      <c r="G191" s="272" t="s">
        <v>213</v>
      </c>
      <c r="H191" s="272" t="s">
        <v>213</v>
      </c>
      <c r="I191" s="306" t="s">
        <v>213</v>
      </c>
      <c r="J191" s="306"/>
      <c r="K191"/>
    </row>
    <row r="192" spans="1:11" s="102" customFormat="1" ht="13.5" thickBot="1">
      <c r="A192" s="8">
        <v>1</v>
      </c>
      <c r="B192" s="287">
        <v>3</v>
      </c>
      <c r="C192" s="291" t="s">
        <v>213</v>
      </c>
      <c r="D192" s="291" t="s">
        <v>213</v>
      </c>
      <c r="E192" s="291" t="s">
        <v>213</v>
      </c>
      <c r="F192" s="291" t="s">
        <v>213</v>
      </c>
      <c r="G192" s="291" t="s">
        <v>213</v>
      </c>
      <c r="H192" s="291" t="s">
        <v>213</v>
      </c>
      <c r="I192" s="291" t="s">
        <v>213</v>
      </c>
      <c r="J192" s="291" t="s">
        <v>213</v>
      </c>
      <c r="K192"/>
    </row>
    <row r="193" spans="1:11" s="102" customFormat="1">
      <c r="A193" s="8">
        <v>1</v>
      </c>
      <c r="B193" s="289">
        <v>4</v>
      </c>
      <c r="C193" s="290">
        <f>-PV(E193,B193-B$159+1,,D193)</f>
        <v>30628.92559672879</v>
      </c>
      <c r="D193" s="290">
        <v>30880</v>
      </c>
      <c r="E193" s="305">
        <f>J54</f>
        <v>2.7250000000000017E-3</v>
      </c>
      <c r="F193" s="434">
        <f>D193</f>
        <v>30880</v>
      </c>
      <c r="G193" s="434">
        <f>K55</f>
        <v>29500.000000000011</v>
      </c>
      <c r="H193" s="290">
        <f>F193-G193</f>
        <v>1379.9999999999891</v>
      </c>
      <c r="I193" s="305">
        <f>(FV(E194,B194,0,-1)/FV(E193,B193,0,-1)) - 1</f>
        <v>3.250109961899561E-3</v>
      </c>
      <c r="J193" s="305">
        <f>GEOMEAN(I192:I193)</f>
        <v>3.2501099618995623E-3</v>
      </c>
      <c r="K193"/>
    </row>
    <row r="194" spans="1:11" s="102" customFormat="1">
      <c r="A194" s="8">
        <v>1</v>
      </c>
      <c r="B194" s="106">
        <v>5</v>
      </c>
      <c r="C194" s="115">
        <f>-PV(E194,B194-B$159+1,,D194)</f>
        <v>20843.053167588088</v>
      </c>
      <c r="D194" s="115">
        <v>21080</v>
      </c>
      <c r="E194" s="304">
        <v>2.8300000000000001E-3</v>
      </c>
      <c r="F194" s="82">
        <f>D194</f>
        <v>21080</v>
      </c>
      <c r="G194" s="291" t="s">
        <v>213</v>
      </c>
      <c r="H194" s="291" t="s">
        <v>213</v>
      </c>
      <c r="I194" s="108">
        <f>(FV(E195,B195,0,-1)/FV(E194,B194,0,-1)) - 1</f>
        <v>3.2500732994020787E-3</v>
      </c>
      <c r="J194" s="108">
        <f>GEOMEAN(I191:I194)</f>
        <v>3.2500916305991234E-3</v>
      </c>
      <c r="K194"/>
    </row>
    <row r="195" spans="1:11" s="102" customFormat="1">
      <c r="A195" s="8">
        <v>1</v>
      </c>
      <c r="B195" s="106">
        <v>6</v>
      </c>
      <c r="C195" s="115">
        <f>-PV(E195,B195-B$159+1,,D195)</f>
        <v>15902.078611339537</v>
      </c>
      <c r="D195" s="115">
        <v>16134</v>
      </c>
      <c r="E195" s="304">
        <v>2.8999999999999998E-3</v>
      </c>
      <c r="F195" s="82">
        <f>D195</f>
        <v>16134</v>
      </c>
      <c r="G195" s="291" t="s">
        <v>213</v>
      </c>
      <c r="H195" s="291" t="s">
        <v>213</v>
      </c>
      <c r="I195" s="108">
        <f>(FV(E196,B196,0,-1)/FV(E195,B195,0,-1)) - 1</f>
        <v>3.3200753889117696E-3</v>
      </c>
      <c r="J195" s="108">
        <f>GEOMEAN(I191:I195)</f>
        <v>3.2732540858328879E-3</v>
      </c>
      <c r="K195"/>
    </row>
    <row r="196" spans="1:11" s="102" customFormat="1">
      <c r="A196" s="8">
        <v>1</v>
      </c>
      <c r="B196" s="106">
        <v>7</v>
      </c>
      <c r="C196" s="115">
        <f>-PV(E196,B196-B$159+1,,D196)</f>
        <v>10396.977856097463</v>
      </c>
      <c r="D196" s="115">
        <v>10583</v>
      </c>
      <c r="E196" s="304">
        <v>2.96E-3</v>
      </c>
      <c r="F196" s="82">
        <f>D196</f>
        <v>10583</v>
      </c>
      <c r="G196" s="291" t="s">
        <v>213</v>
      </c>
      <c r="H196" s="291" t="s">
        <v>213</v>
      </c>
      <c r="I196" s="108">
        <f>(FV(E197,B197,0,-1)/FV(E196,B196,0,-1)) - 1</f>
        <v>3.2000251271318003E-3</v>
      </c>
      <c r="J196" s="108">
        <f>GEOMEAN(I193:I196)</f>
        <v>3.2547912224392163E-3</v>
      </c>
      <c r="K196"/>
    </row>
    <row r="197" spans="1:11" ht="13.5" thickBot="1">
      <c r="A197" s="8">
        <v>1</v>
      </c>
      <c r="B197" s="107">
        <v>8</v>
      </c>
      <c r="C197" s="116">
        <f>-PV(E197,B197-B$159+1,,D197)</f>
        <v>6406.6989714652382</v>
      </c>
      <c r="D197" s="116">
        <v>6542</v>
      </c>
      <c r="E197" s="423">
        <v>2.99E-3</v>
      </c>
      <c r="F197" s="83">
        <f>D197</f>
        <v>6542</v>
      </c>
      <c r="G197" s="291" t="s">
        <v>213</v>
      </c>
      <c r="H197" s="291" t="s">
        <v>213</v>
      </c>
      <c r="I197" s="285" t="s">
        <v>213</v>
      </c>
      <c r="J197" s="285" t="s">
        <v>213</v>
      </c>
    </row>
    <row r="198" spans="1:11">
      <c r="A198" s="8">
        <v>1</v>
      </c>
      <c r="B198" s="439" t="s">
        <v>176</v>
      </c>
    </row>
    <row r="199" spans="1:11" ht="13.5" thickBot="1">
      <c r="A199" s="8">
        <v>1</v>
      </c>
      <c r="B199" s="439"/>
      <c r="C199" s="27" t="s">
        <v>213</v>
      </c>
      <c r="F199" s="447" t="s">
        <v>213</v>
      </c>
    </row>
    <row r="200" spans="1:11" ht="13.5" thickBot="1">
      <c r="A200" s="8">
        <v>1</v>
      </c>
      <c r="B200" s="271" t="s">
        <v>149</v>
      </c>
      <c r="C200" s="165"/>
      <c r="D200" s="165"/>
      <c r="E200" s="165"/>
      <c r="F200" s="165"/>
      <c r="G200" s="166"/>
    </row>
    <row r="201" spans="1:11">
      <c r="A201" s="8">
        <v>1</v>
      </c>
      <c r="B201" s="441" t="s">
        <v>213</v>
      </c>
      <c r="C201" s="110" t="s">
        <v>392</v>
      </c>
      <c r="D201" s="110" t="s">
        <v>393</v>
      </c>
      <c r="E201" s="110" t="s">
        <v>398</v>
      </c>
      <c r="F201" s="279" t="s">
        <v>43</v>
      </c>
      <c r="G201" s="394" t="str">
        <f>E57</f>
        <v>12/31/x2</v>
      </c>
      <c r="H201" s="278" t="s">
        <v>213</v>
      </c>
      <c r="I201" s="110" t="s">
        <v>577</v>
      </c>
      <c r="J201" s="110" t="s">
        <v>466</v>
      </c>
    </row>
    <row r="202" spans="1:11">
      <c r="A202" s="8">
        <v>1</v>
      </c>
      <c r="B202" s="105"/>
      <c r="C202" s="106" t="s">
        <v>379</v>
      </c>
      <c r="D202" s="106" t="s">
        <v>577</v>
      </c>
      <c r="E202" s="106" t="s">
        <v>556</v>
      </c>
      <c r="F202" s="279" t="s">
        <v>41</v>
      </c>
      <c r="G202" s="296" t="s">
        <v>43</v>
      </c>
      <c r="H202" s="286" t="s">
        <v>577</v>
      </c>
      <c r="I202" s="106" t="s">
        <v>378</v>
      </c>
      <c r="J202" s="106" t="s">
        <v>386</v>
      </c>
    </row>
    <row r="203" spans="1:11">
      <c r="A203" s="8">
        <v>1</v>
      </c>
      <c r="B203" s="106" t="s">
        <v>577</v>
      </c>
      <c r="C203" s="106" t="s">
        <v>387</v>
      </c>
      <c r="D203" s="106" t="s">
        <v>343</v>
      </c>
      <c r="E203" s="106" t="s">
        <v>57</v>
      </c>
      <c r="F203" s="312">
        <v>-42820</v>
      </c>
      <c r="G203" s="296" t="s">
        <v>556</v>
      </c>
      <c r="H203" s="286" t="s">
        <v>538</v>
      </c>
      <c r="I203" s="106" t="s">
        <v>340</v>
      </c>
      <c r="J203" s="106" t="s">
        <v>382</v>
      </c>
    </row>
    <row r="204" spans="1:11" ht="13.5" thickBot="1">
      <c r="A204" s="8">
        <v>1</v>
      </c>
      <c r="B204" s="107" t="s">
        <v>336</v>
      </c>
      <c r="C204" s="107" t="s">
        <v>344</v>
      </c>
      <c r="D204" s="107" t="s">
        <v>344</v>
      </c>
      <c r="E204" s="277" t="s">
        <v>344</v>
      </c>
      <c r="F204" s="279" t="s">
        <v>578</v>
      </c>
      <c r="G204" s="395" t="s">
        <v>38</v>
      </c>
      <c r="H204" s="403" t="s">
        <v>39</v>
      </c>
      <c r="I204" s="107" t="s">
        <v>339</v>
      </c>
      <c r="J204" s="107" t="s">
        <v>339</v>
      </c>
    </row>
    <row r="205" spans="1:11" ht="13.5" thickBot="1">
      <c r="A205" s="8">
        <v>1</v>
      </c>
      <c r="B205" s="278">
        <v>0</v>
      </c>
      <c r="C205" s="272" t="s">
        <v>213</v>
      </c>
      <c r="D205" s="272" t="str">
        <f>D170</f>
        <v>Quarter t</v>
      </c>
      <c r="E205" s="273">
        <v>0</v>
      </c>
      <c r="F205" s="274"/>
      <c r="G205" s="274"/>
      <c r="H205" s="274"/>
      <c r="I205" s="276"/>
      <c r="J205" s="275" t="s">
        <v>213</v>
      </c>
    </row>
    <row r="206" spans="1:11" ht="13.5" thickBot="1">
      <c r="A206" s="8">
        <v>1</v>
      </c>
      <c r="B206" s="286">
        <v>1</v>
      </c>
      <c r="C206" s="291"/>
      <c r="D206" s="291"/>
      <c r="E206" s="292"/>
      <c r="F206" s="272"/>
      <c r="G206" s="272" t="s">
        <v>213</v>
      </c>
      <c r="H206" s="272" t="s">
        <v>213</v>
      </c>
      <c r="I206" s="293"/>
      <c r="J206" s="293"/>
    </row>
    <row r="207" spans="1:11" ht="13.5" thickBot="1">
      <c r="A207" s="8">
        <v>1</v>
      </c>
      <c r="B207" s="286">
        <v>2</v>
      </c>
      <c r="C207" s="291"/>
      <c r="D207" s="291"/>
      <c r="E207" s="294"/>
      <c r="F207" s="291"/>
      <c r="G207" s="272" t="s">
        <v>213</v>
      </c>
      <c r="H207" s="272" t="s">
        <v>213</v>
      </c>
      <c r="I207" s="293"/>
      <c r="J207" s="293"/>
    </row>
    <row r="208" spans="1:11">
      <c r="A208" s="8">
        <v>1</v>
      </c>
      <c r="B208" s="286">
        <v>3</v>
      </c>
      <c r="C208" s="291"/>
      <c r="D208" s="291"/>
      <c r="E208" s="292"/>
      <c r="F208" s="291"/>
      <c r="G208" s="291" t="s">
        <v>213</v>
      </c>
      <c r="H208" s="291" t="s">
        <v>213</v>
      </c>
      <c r="I208" s="293"/>
      <c r="J208" s="293"/>
    </row>
    <row r="209" spans="1:11" s="102" customFormat="1" ht="13.5" thickBot="1">
      <c r="A209" s="8">
        <v>1</v>
      </c>
      <c r="B209" s="289">
        <v>4</v>
      </c>
      <c r="C209" s="291" t="s">
        <v>213</v>
      </c>
      <c r="D209" s="291" t="s">
        <v>213</v>
      </c>
      <c r="E209" s="291" t="s">
        <v>213</v>
      </c>
      <c r="F209" s="291" t="s">
        <v>213</v>
      </c>
      <c r="G209" s="291" t="s">
        <v>213</v>
      </c>
      <c r="H209" s="291" t="s">
        <v>213</v>
      </c>
      <c r="I209" s="291" t="s">
        <v>213</v>
      </c>
      <c r="J209" s="291" t="s">
        <v>213</v>
      </c>
      <c r="K209"/>
    </row>
    <row r="210" spans="1:11" s="102" customFormat="1">
      <c r="A210" s="8">
        <v>1</v>
      </c>
      <c r="B210" s="296">
        <v>5</v>
      </c>
      <c r="C210" s="436">
        <f>-PV(E210,B210-B$159+1,,D210)</f>
        <v>-3330.5255528227153</v>
      </c>
      <c r="D210" s="436">
        <v>-3370</v>
      </c>
      <c r="E210" s="435">
        <f>J55</f>
        <v>2.9500000000000012E-3</v>
      </c>
      <c r="F210" s="436">
        <f>D210</f>
        <v>-3370</v>
      </c>
      <c r="G210" s="436">
        <f>K56</f>
        <v>-2500.0000000000023</v>
      </c>
      <c r="H210" s="295">
        <f>F210-G210</f>
        <v>-869.99999999999773</v>
      </c>
      <c r="I210" s="308">
        <f>(FV(E211,B211,0,-1)/FV(E210,B210,0,-1)) - 1</f>
        <v>3.4901211571238822E-3</v>
      </c>
      <c r="J210" s="308">
        <f>GEOMEAN(I209:I210)</f>
        <v>3.4901211571238813E-3</v>
      </c>
      <c r="K210"/>
    </row>
    <row r="211" spans="1:11" s="102" customFormat="1">
      <c r="A211" s="8">
        <v>1</v>
      </c>
      <c r="B211" s="106">
        <v>6</v>
      </c>
      <c r="C211" s="115">
        <f>-PV(E211,B211-B$159+1,,D211)</f>
        <v>-6553.7751007406505</v>
      </c>
      <c r="D211" s="115">
        <v>-6654</v>
      </c>
      <c r="E211" s="304">
        <v>3.0400000000000002E-3</v>
      </c>
      <c r="F211" s="82">
        <f>D211</f>
        <v>-6654</v>
      </c>
      <c r="G211" s="291" t="s">
        <v>213</v>
      </c>
      <c r="H211" s="291" t="s">
        <v>213</v>
      </c>
      <c r="I211" s="108">
        <f>(FV(E212,B212,0,-1)/FV(E211,B211,0,-1)) - 1</f>
        <v>3.4600753783888827E-3</v>
      </c>
      <c r="J211" s="108">
        <f>GEOMEAN(I209:I211)</f>
        <v>3.4750657955437982E-3</v>
      </c>
      <c r="K211"/>
    </row>
    <row r="212" spans="1:11" s="102" customFormat="1">
      <c r="A212" s="8">
        <v>1</v>
      </c>
      <c r="B212" s="106">
        <v>7</v>
      </c>
      <c r="C212" s="115">
        <f>-PV(E212,B212-B$159+1,,D212)</f>
        <v>-12419.205139154661</v>
      </c>
      <c r="D212" s="115">
        <v>-12652</v>
      </c>
      <c r="E212" s="304">
        <v>3.0999999999999999E-3</v>
      </c>
      <c r="F212" s="82">
        <f>D212</f>
        <v>-12652</v>
      </c>
      <c r="G212" s="291" t="s">
        <v>213</v>
      </c>
      <c r="H212" s="291" t="s">
        <v>213</v>
      </c>
      <c r="I212" s="108">
        <f>(FV(E213,B213,0,-1)/FV(E212,B212,0,-1)) - 1</f>
        <v>3.2600111658320774E-3</v>
      </c>
      <c r="J212" s="108">
        <f>GEOMEAN(I209:I212)</f>
        <v>3.4018491407109205E-3</v>
      </c>
      <c r="K212"/>
    </row>
    <row r="213" spans="1:11" s="102" customFormat="1" ht="13.5" thickBot="1">
      <c r="A213" s="8">
        <v>1</v>
      </c>
      <c r="B213" s="107">
        <v>8</v>
      </c>
      <c r="C213" s="116">
        <f>-PV(E213,B213-B$159+1,,D213)</f>
        <v>-20023.570600213992</v>
      </c>
      <c r="D213" s="116">
        <v>-20465</v>
      </c>
      <c r="E213" s="423">
        <v>3.1199999999999999E-3</v>
      </c>
      <c r="F213" s="83">
        <f>D213</f>
        <v>-20465</v>
      </c>
      <c r="G213" s="291" t="s">
        <v>213</v>
      </c>
      <c r="H213" s="291" t="s">
        <v>213</v>
      </c>
      <c r="I213" s="285" t="s">
        <v>213</v>
      </c>
      <c r="J213" s="285" t="s">
        <v>213</v>
      </c>
      <c r="K213"/>
    </row>
    <row r="214" spans="1:11">
      <c r="A214" s="8">
        <v>1</v>
      </c>
      <c r="B214" s="439" t="s">
        <v>176</v>
      </c>
    </row>
    <row r="215" spans="1:11" ht="13.5" thickBot="1">
      <c r="A215" s="8">
        <v>1</v>
      </c>
      <c r="B215" s="439"/>
      <c r="C215" s="27" t="s">
        <v>213</v>
      </c>
      <c r="F215" s="447" t="s">
        <v>213</v>
      </c>
    </row>
    <row r="216" spans="1:11" ht="13.5" thickBot="1">
      <c r="A216" s="8">
        <v>1</v>
      </c>
      <c r="B216" s="271" t="s">
        <v>150</v>
      </c>
      <c r="C216" s="165"/>
      <c r="D216" s="165"/>
      <c r="E216" s="165"/>
      <c r="F216" s="165"/>
      <c r="G216" s="166"/>
    </row>
    <row r="217" spans="1:11">
      <c r="A217" s="8">
        <v>1</v>
      </c>
      <c r="B217" s="104"/>
      <c r="C217" s="110" t="s">
        <v>392</v>
      </c>
      <c r="D217" s="110" t="s">
        <v>393</v>
      </c>
      <c r="E217" s="110" t="s">
        <v>398</v>
      </c>
      <c r="F217" s="279" t="s">
        <v>44</v>
      </c>
      <c r="G217" s="396" t="str">
        <f>E58</f>
        <v>03/31/x3</v>
      </c>
      <c r="H217" s="278" t="s">
        <v>213</v>
      </c>
      <c r="I217" s="110" t="s">
        <v>577</v>
      </c>
      <c r="J217" s="110" t="s">
        <v>466</v>
      </c>
    </row>
    <row r="218" spans="1:11">
      <c r="A218" s="8">
        <v>1</v>
      </c>
      <c r="B218" s="105"/>
      <c r="C218" s="106" t="s">
        <v>379</v>
      </c>
      <c r="D218" s="106" t="s">
        <v>577</v>
      </c>
      <c r="E218" s="106" t="s">
        <v>556</v>
      </c>
      <c r="F218" s="279" t="s">
        <v>41</v>
      </c>
      <c r="G218" s="280" t="s">
        <v>44</v>
      </c>
      <c r="H218" s="286" t="s">
        <v>577</v>
      </c>
      <c r="I218" s="106" t="s">
        <v>378</v>
      </c>
      <c r="J218" s="106" t="s">
        <v>386</v>
      </c>
    </row>
    <row r="219" spans="1:11">
      <c r="A219" s="8">
        <v>1</v>
      </c>
      <c r="B219" s="106" t="s">
        <v>577</v>
      </c>
      <c r="C219" s="106" t="s">
        <v>387</v>
      </c>
      <c r="D219" s="106" t="s">
        <v>343</v>
      </c>
      <c r="E219" s="106" t="s">
        <v>57</v>
      </c>
      <c r="F219" s="311">
        <v>-33160</v>
      </c>
      <c r="G219" s="280" t="s">
        <v>556</v>
      </c>
      <c r="H219" s="286" t="s">
        <v>538</v>
      </c>
      <c r="I219" s="106" t="s">
        <v>340</v>
      </c>
      <c r="J219" s="106" t="s">
        <v>382</v>
      </c>
    </row>
    <row r="220" spans="1:11" ht="13.5" thickBot="1">
      <c r="A220" s="8">
        <v>1</v>
      </c>
      <c r="B220" s="107" t="s">
        <v>336</v>
      </c>
      <c r="C220" s="107" t="s">
        <v>344</v>
      </c>
      <c r="D220" s="107" t="s">
        <v>344</v>
      </c>
      <c r="E220" s="277" t="s">
        <v>344</v>
      </c>
      <c r="F220" s="279" t="s">
        <v>578</v>
      </c>
      <c r="G220" s="397" t="s">
        <v>38</v>
      </c>
      <c r="H220" s="403" t="s">
        <v>39</v>
      </c>
      <c r="I220" s="107" t="s">
        <v>339</v>
      </c>
      <c r="J220" s="107" t="s">
        <v>339</v>
      </c>
    </row>
    <row r="221" spans="1:11" ht="13.5" thickBot="1">
      <c r="A221" s="8">
        <v>1</v>
      </c>
      <c r="B221" s="278">
        <v>0</v>
      </c>
      <c r="C221" s="272" t="s">
        <v>213</v>
      </c>
      <c r="D221" s="272" t="str">
        <f>D185</f>
        <v>FV</v>
      </c>
      <c r="E221" s="273">
        <v>0</v>
      </c>
      <c r="F221" s="274"/>
      <c r="G221" s="274"/>
      <c r="H221" s="274"/>
      <c r="I221" s="276"/>
      <c r="J221" s="275" t="s">
        <v>213</v>
      </c>
    </row>
    <row r="222" spans="1:11" ht="13.5" thickBot="1">
      <c r="A222" s="8">
        <v>1</v>
      </c>
      <c r="B222" s="286">
        <v>1</v>
      </c>
      <c r="C222" s="291"/>
      <c r="D222" s="291"/>
      <c r="E222" s="292"/>
      <c r="F222" s="272"/>
      <c r="G222" s="272" t="s">
        <v>213</v>
      </c>
      <c r="H222" s="272" t="s">
        <v>213</v>
      </c>
      <c r="I222" s="293"/>
      <c r="J222" s="293"/>
    </row>
    <row r="223" spans="1:11" ht="13.5" thickBot="1">
      <c r="A223" s="8">
        <v>1</v>
      </c>
      <c r="B223" s="286">
        <v>2</v>
      </c>
      <c r="C223" s="291"/>
      <c r="D223" s="291"/>
      <c r="E223" s="294"/>
      <c r="F223" s="291"/>
      <c r="G223" s="272" t="s">
        <v>213</v>
      </c>
      <c r="H223" s="272" t="s">
        <v>213</v>
      </c>
      <c r="I223" s="293"/>
      <c r="J223" s="293"/>
    </row>
    <row r="224" spans="1:11">
      <c r="A224" s="8">
        <v>1</v>
      </c>
      <c r="B224" s="286">
        <v>3</v>
      </c>
      <c r="C224" s="291"/>
      <c r="D224" s="291"/>
      <c r="E224" s="292"/>
      <c r="F224" s="291"/>
      <c r="G224" s="291" t="s">
        <v>213</v>
      </c>
      <c r="H224" s="291" t="s">
        <v>213</v>
      </c>
      <c r="I224" s="293"/>
      <c r="J224" s="293"/>
    </row>
    <row r="225" spans="1:11" s="102" customFormat="1">
      <c r="A225" s="8">
        <v>1</v>
      </c>
      <c r="B225" s="286">
        <v>4</v>
      </c>
      <c r="C225" s="291"/>
      <c r="D225" s="291"/>
      <c r="E225" s="307"/>
      <c r="F225" s="291"/>
      <c r="G225" s="291" t="s">
        <v>213</v>
      </c>
      <c r="H225" s="291" t="s">
        <v>213</v>
      </c>
      <c r="I225" s="306"/>
      <c r="J225" s="306"/>
      <c r="K225"/>
    </row>
    <row r="226" spans="1:11" s="102" customFormat="1" ht="13.5" thickBot="1">
      <c r="A226" s="8">
        <v>1</v>
      </c>
      <c r="B226" s="296">
        <v>5</v>
      </c>
      <c r="C226" s="291" t="s">
        <v>213</v>
      </c>
      <c r="D226" s="291" t="s">
        <v>213</v>
      </c>
      <c r="E226" s="291" t="s">
        <v>213</v>
      </c>
      <c r="F226" s="291" t="s">
        <v>213</v>
      </c>
      <c r="G226" s="291" t="s">
        <v>213</v>
      </c>
      <c r="H226" s="291" t="s">
        <v>213</v>
      </c>
      <c r="I226" s="291" t="s">
        <v>213</v>
      </c>
      <c r="J226" s="291" t="s">
        <v>213</v>
      </c>
      <c r="K226"/>
    </row>
    <row r="227" spans="1:11" s="102" customFormat="1">
      <c r="A227" s="8">
        <v>1</v>
      </c>
      <c r="B227" s="280">
        <v>6</v>
      </c>
      <c r="C227" s="390">
        <f>-PV(E227,B227-B$159+1,,D227)</f>
        <v>-5927.4055532391194</v>
      </c>
      <c r="D227" s="390">
        <v>-5920</v>
      </c>
      <c r="E227" s="416">
        <f>J56</f>
        <v>-2.5000000000000022E-4</v>
      </c>
      <c r="F227" s="390">
        <f>D227</f>
        <v>-5920</v>
      </c>
      <c r="G227" s="390">
        <f>K57</f>
        <v>-5249.9999999999773</v>
      </c>
      <c r="H227" s="281">
        <f>F227-G227</f>
        <v>-670.00000000002274</v>
      </c>
      <c r="I227" s="301">
        <f>(FV(E228,B228,0,-1)/FV(E227,B227,0,-1)) - 1</f>
        <v>-1.7999789944000977E-4</v>
      </c>
      <c r="J227" s="301" t="e">
        <f>GEOMEAN(I226:I227)</f>
        <v>#NUM!</v>
      </c>
      <c r="K227"/>
    </row>
    <row r="228" spans="1:11" s="102" customFormat="1">
      <c r="A228" s="8">
        <v>1</v>
      </c>
      <c r="B228" s="106">
        <v>7</v>
      </c>
      <c r="C228" s="115">
        <f>-PV(E228,B228-B$159+1,,D228)</f>
        <v>-12909.578642938483</v>
      </c>
      <c r="D228" s="115">
        <v>-12891</v>
      </c>
      <c r="E228" s="304">
        <v>-2.4000000000000001E-4</v>
      </c>
      <c r="F228" s="82">
        <f>D228</f>
        <v>-12891</v>
      </c>
      <c r="G228" s="291" t="s">
        <v>213</v>
      </c>
      <c r="H228" s="291" t="s">
        <v>213</v>
      </c>
      <c r="I228" s="108">
        <f>(FV(E229,B229,0,-1)/FV(E228,B228,0,-1)) - 1</f>
        <v>2.4010083630110479E-4</v>
      </c>
      <c r="J228" s="108" t="e">
        <f>GEOMEAN(I226:I228)</f>
        <v>#NUM!</v>
      </c>
      <c r="K228"/>
    </row>
    <row r="229" spans="1:11" s="102" customFormat="1" ht="13.5" thickBot="1">
      <c r="A229" s="8">
        <v>1</v>
      </c>
      <c r="B229" s="107">
        <v>8</v>
      </c>
      <c r="C229" s="116">
        <f>-PV(E229,B229-B$159+1,,D229)</f>
        <v>-14656.457166767803</v>
      </c>
      <c r="D229" s="116">
        <v>-14638</v>
      </c>
      <c r="E229" s="423">
        <v>-1.8000000000000001E-4</v>
      </c>
      <c r="F229" s="83">
        <f>D229</f>
        <v>-14638</v>
      </c>
      <c r="G229" s="291" t="s">
        <v>213</v>
      </c>
      <c r="H229" s="291" t="s">
        <v>213</v>
      </c>
      <c r="I229" s="285" t="s">
        <v>213</v>
      </c>
      <c r="J229" s="285" t="s">
        <v>213</v>
      </c>
      <c r="K229"/>
    </row>
    <row r="230" spans="1:11" s="102" customFormat="1">
      <c r="A230" s="8">
        <v>1</v>
      </c>
      <c r="B230" s="439" t="s">
        <v>176</v>
      </c>
      <c r="C230" s="444"/>
      <c r="D230" s="444"/>
      <c r="E230" s="156"/>
      <c r="F230" s="444"/>
      <c r="G230" s="445"/>
      <c r="H230" s="445"/>
      <c r="I230" s="446"/>
      <c r="J230" s="446"/>
      <c r="K230"/>
    </row>
    <row r="231" spans="1:11" ht="13.5" thickBot="1">
      <c r="A231" s="8">
        <v>1</v>
      </c>
    </row>
    <row r="232" spans="1:11" ht="13.5" thickBot="1">
      <c r="A232" s="8">
        <v>1</v>
      </c>
      <c r="B232" s="271" t="s">
        <v>151</v>
      </c>
      <c r="C232" s="165"/>
      <c r="D232" s="165"/>
      <c r="E232" s="165"/>
      <c r="F232" s="165"/>
      <c r="G232" s="166"/>
    </row>
    <row r="233" spans="1:11">
      <c r="A233" s="8">
        <v>1</v>
      </c>
      <c r="B233" s="104"/>
      <c r="C233" s="110" t="s">
        <v>392</v>
      </c>
      <c r="D233" s="110" t="s">
        <v>393</v>
      </c>
      <c r="E233" s="110" t="s">
        <v>398</v>
      </c>
      <c r="F233" s="279" t="s">
        <v>45</v>
      </c>
      <c r="G233" s="398" t="str">
        <f>E59</f>
        <v>06/30/x3</v>
      </c>
      <c r="H233" s="278" t="s">
        <v>213</v>
      </c>
      <c r="I233" s="110" t="s">
        <v>577</v>
      </c>
      <c r="J233" s="110" t="s">
        <v>466</v>
      </c>
    </row>
    <row r="234" spans="1:11">
      <c r="A234" s="8">
        <v>1</v>
      </c>
      <c r="B234" s="105"/>
      <c r="C234" s="106" t="s">
        <v>379</v>
      </c>
      <c r="D234" s="106" t="s">
        <v>577</v>
      </c>
      <c r="E234" s="106" t="s">
        <v>556</v>
      </c>
      <c r="F234" s="279" t="s">
        <v>41</v>
      </c>
      <c r="G234" s="298" t="s">
        <v>45</v>
      </c>
      <c r="H234" s="286" t="s">
        <v>577</v>
      </c>
      <c r="I234" s="106" t="s">
        <v>378</v>
      </c>
      <c r="J234" s="106" t="s">
        <v>386</v>
      </c>
    </row>
    <row r="235" spans="1:11">
      <c r="A235" s="8">
        <v>1</v>
      </c>
      <c r="B235" s="106" t="s">
        <v>577</v>
      </c>
      <c r="C235" s="106" t="s">
        <v>387</v>
      </c>
      <c r="D235" s="106" t="s">
        <v>343</v>
      </c>
      <c r="E235" s="106" t="s">
        <v>57</v>
      </c>
      <c r="F235" s="310">
        <v>-21850</v>
      </c>
      <c r="G235" s="298" t="s">
        <v>556</v>
      </c>
      <c r="H235" s="286" t="s">
        <v>538</v>
      </c>
      <c r="I235" s="106" t="s">
        <v>340</v>
      </c>
      <c r="J235" s="106" t="s">
        <v>382</v>
      </c>
    </row>
    <row r="236" spans="1:11" ht="13.5" thickBot="1">
      <c r="A236" s="8">
        <v>1</v>
      </c>
      <c r="B236" s="107" t="s">
        <v>336</v>
      </c>
      <c r="C236" s="107" t="s">
        <v>344</v>
      </c>
      <c r="D236" s="107" t="s">
        <v>344</v>
      </c>
      <c r="E236" s="277" t="s">
        <v>344</v>
      </c>
      <c r="F236" s="279" t="s">
        <v>578</v>
      </c>
      <c r="G236" s="399" t="s">
        <v>38</v>
      </c>
      <c r="H236" s="403" t="s">
        <v>39</v>
      </c>
      <c r="I236" s="107" t="s">
        <v>339</v>
      </c>
      <c r="J236" s="107" t="s">
        <v>339</v>
      </c>
    </row>
    <row r="237" spans="1:11" ht="13.5" thickBot="1">
      <c r="A237" s="8">
        <v>1</v>
      </c>
      <c r="B237" s="278">
        <v>0</v>
      </c>
      <c r="C237" s="272" t="s">
        <v>213</v>
      </c>
      <c r="D237" s="272" t="str">
        <f>D201</f>
        <v>FV</v>
      </c>
      <c r="E237" s="273">
        <v>0</v>
      </c>
      <c r="F237" s="274"/>
      <c r="G237" s="274"/>
      <c r="H237" s="274"/>
      <c r="I237" s="276"/>
      <c r="J237" s="275" t="s">
        <v>213</v>
      </c>
    </row>
    <row r="238" spans="1:11" ht="13.5" thickBot="1">
      <c r="A238" s="8">
        <v>1</v>
      </c>
      <c r="B238" s="286">
        <v>1</v>
      </c>
      <c r="C238" s="291"/>
      <c r="D238" s="291"/>
      <c r="E238" s="292"/>
      <c r="F238" s="272"/>
      <c r="G238" s="272" t="s">
        <v>213</v>
      </c>
      <c r="H238" s="272" t="s">
        <v>213</v>
      </c>
      <c r="I238" s="293"/>
      <c r="J238" s="293"/>
    </row>
    <row r="239" spans="1:11" ht="13.5" thickBot="1">
      <c r="A239" s="8">
        <v>1</v>
      </c>
      <c r="B239" s="286">
        <v>2</v>
      </c>
      <c r="C239" s="291"/>
      <c r="D239" s="291"/>
      <c r="E239" s="294"/>
      <c r="F239" s="291"/>
      <c r="G239" s="272" t="s">
        <v>213</v>
      </c>
      <c r="H239" s="272" t="s">
        <v>213</v>
      </c>
      <c r="I239" s="293"/>
      <c r="J239" s="293"/>
    </row>
    <row r="240" spans="1:11">
      <c r="A240" s="8">
        <v>1</v>
      </c>
      <c r="B240" s="286">
        <v>3</v>
      </c>
      <c r="C240" s="291"/>
      <c r="D240" s="291"/>
      <c r="E240" s="292"/>
      <c r="F240" s="291"/>
      <c r="G240" s="291" t="s">
        <v>213</v>
      </c>
      <c r="H240" s="291" t="s">
        <v>213</v>
      </c>
      <c r="I240" s="293"/>
      <c r="J240" s="293"/>
    </row>
    <row r="241" spans="1:11">
      <c r="A241" s="8">
        <v>1</v>
      </c>
      <c r="B241" s="286">
        <v>4</v>
      </c>
      <c r="C241" s="291"/>
      <c r="D241" s="291"/>
      <c r="E241" s="294"/>
      <c r="F241" s="291"/>
      <c r="G241" s="291" t="s">
        <v>213</v>
      </c>
      <c r="H241" s="291" t="s">
        <v>213</v>
      </c>
      <c r="I241" s="293"/>
      <c r="J241" s="293"/>
    </row>
    <row r="242" spans="1:11" s="102" customFormat="1">
      <c r="A242" s="8">
        <v>1</v>
      </c>
      <c r="B242" s="286">
        <v>5</v>
      </c>
      <c r="C242" s="291"/>
      <c r="D242" s="291"/>
      <c r="E242" s="307"/>
      <c r="F242" s="291"/>
      <c r="G242" s="291" t="s">
        <v>213</v>
      </c>
      <c r="H242" s="291" t="s">
        <v>213</v>
      </c>
      <c r="I242" s="306"/>
      <c r="J242" s="306"/>
      <c r="K242"/>
    </row>
    <row r="243" spans="1:11" s="102" customFormat="1" ht="13.5" thickBot="1">
      <c r="A243" s="8">
        <v>1</v>
      </c>
      <c r="B243" s="280">
        <v>6</v>
      </c>
      <c r="C243" s="291" t="s">
        <v>213</v>
      </c>
      <c r="D243" s="291" t="s">
        <v>213</v>
      </c>
      <c r="E243" s="291" t="s">
        <v>213</v>
      </c>
      <c r="F243" s="291" t="s">
        <v>213</v>
      </c>
      <c r="G243" s="291" t="s">
        <v>213</v>
      </c>
      <c r="H243" s="291" t="s">
        <v>213</v>
      </c>
      <c r="I243" s="291" t="s">
        <v>213</v>
      </c>
      <c r="J243" s="291" t="s">
        <v>213</v>
      </c>
      <c r="K243"/>
    </row>
    <row r="244" spans="1:11" s="102" customFormat="1">
      <c r="A244" s="8">
        <v>1</v>
      </c>
      <c r="B244" s="298">
        <v>7</v>
      </c>
      <c r="C244" s="437">
        <f>-PV(E244,B244-B$159+1,,D244)</f>
        <v>-8466.634920248358</v>
      </c>
      <c r="D244" s="437">
        <v>-8440</v>
      </c>
      <c r="E244" s="448">
        <f>J57</f>
        <v>-5.2499999999999769E-4</v>
      </c>
      <c r="F244" s="437">
        <f>D244</f>
        <v>-8440</v>
      </c>
      <c r="G244" s="437">
        <f>K58</f>
        <v>-7999.9999999999864</v>
      </c>
      <c r="H244" s="299">
        <f>F244-G244</f>
        <v>-440.00000000001364</v>
      </c>
      <c r="I244" s="309">
        <f>(FV(E245,B245,0,-1)/FV(E244,B244,0,-1)) - 1</f>
        <v>2.3525288080583628E-4</v>
      </c>
      <c r="J244" s="309">
        <f>GEOMEAN(I243:I244)</f>
        <v>2.3525288080583615E-4</v>
      </c>
      <c r="K244"/>
    </row>
    <row r="245" spans="1:11" s="102" customFormat="1" ht="13.5" thickBot="1">
      <c r="A245" s="8">
        <v>1</v>
      </c>
      <c r="B245" s="107">
        <v>8</v>
      </c>
      <c r="C245" s="116">
        <f>-PV(E245,B245-B$159+1,,D245)</f>
        <v>-12881.724006645003</v>
      </c>
      <c r="D245" s="116">
        <v>-12843</v>
      </c>
      <c r="E245" s="423">
        <v>-4.2999999999999999E-4</v>
      </c>
      <c r="F245" s="83">
        <f>D245</f>
        <v>-12843</v>
      </c>
      <c r="G245" s="291" t="s">
        <v>213</v>
      </c>
      <c r="H245" s="291" t="s">
        <v>213</v>
      </c>
      <c r="I245" s="285" t="s">
        <v>213</v>
      </c>
      <c r="J245" s="285" t="s">
        <v>213</v>
      </c>
      <c r="K245"/>
    </row>
    <row r="246" spans="1:11">
      <c r="A246" s="8">
        <v>1</v>
      </c>
      <c r="B246" s="439" t="s">
        <v>176</v>
      </c>
    </row>
    <row r="247" spans="1:11" ht="13.5" thickBot="1">
      <c r="A247" s="8">
        <v>1</v>
      </c>
      <c r="B247" s="439"/>
      <c r="C247" s="27">
        <f>SUM(C244:C245)</f>
        <v>-21348.358926893361</v>
      </c>
      <c r="F247" s="447">
        <f>PV(E244,2,,21850)</f>
        <v>-21872.960579874107</v>
      </c>
    </row>
    <row r="248" spans="1:11" ht="13.5" thickBot="1">
      <c r="A248" s="8">
        <v>1</v>
      </c>
      <c r="B248" s="271" t="s">
        <v>152</v>
      </c>
      <c r="C248" s="165"/>
      <c r="D248" s="165"/>
      <c r="E248" s="165"/>
      <c r="F248" s="165"/>
      <c r="G248" s="166"/>
    </row>
    <row r="249" spans="1:11">
      <c r="A249" s="8">
        <v>1</v>
      </c>
      <c r="B249" s="104"/>
      <c r="C249" s="110" t="s">
        <v>392</v>
      </c>
      <c r="D249" s="110" t="s">
        <v>393</v>
      </c>
      <c r="E249" s="110" t="s">
        <v>398</v>
      </c>
      <c r="F249" s="279" t="s">
        <v>46</v>
      </c>
      <c r="G249" s="400">
        <f>E60</f>
        <v>0</v>
      </c>
      <c r="H249" s="278" t="s">
        <v>213</v>
      </c>
      <c r="I249" s="110" t="s">
        <v>577</v>
      </c>
      <c r="J249" s="110" t="s">
        <v>466</v>
      </c>
    </row>
    <row r="250" spans="1:11">
      <c r="A250" s="8">
        <v>1</v>
      </c>
      <c r="B250" s="105"/>
      <c r="C250" s="106" t="s">
        <v>379</v>
      </c>
      <c r="D250" s="106" t="s">
        <v>577</v>
      </c>
      <c r="E250" s="106" t="s">
        <v>556</v>
      </c>
      <c r="F250" s="279" t="s">
        <v>41</v>
      </c>
      <c r="G250" s="401" t="s">
        <v>46</v>
      </c>
      <c r="H250" s="286" t="s">
        <v>577</v>
      </c>
      <c r="I250" s="106" t="s">
        <v>378</v>
      </c>
      <c r="J250" s="106" t="s">
        <v>386</v>
      </c>
    </row>
    <row r="251" spans="1:11">
      <c r="A251" s="8">
        <v>1</v>
      </c>
      <c r="B251" s="106" t="s">
        <v>577</v>
      </c>
      <c r="C251" s="106" t="s">
        <v>387</v>
      </c>
      <c r="D251" s="106" t="s">
        <v>343</v>
      </c>
      <c r="E251" s="106" t="s">
        <v>57</v>
      </c>
      <c r="F251" s="442">
        <v>1960</v>
      </c>
      <c r="G251" s="401" t="s">
        <v>556</v>
      </c>
      <c r="H251" s="286" t="s">
        <v>538</v>
      </c>
      <c r="I251" s="106" t="s">
        <v>340</v>
      </c>
      <c r="J251" s="106" t="s">
        <v>382</v>
      </c>
    </row>
    <row r="252" spans="1:11" ht="13.5" thickBot="1">
      <c r="A252" s="8">
        <v>1</v>
      </c>
      <c r="B252" s="107" t="s">
        <v>336</v>
      </c>
      <c r="C252" s="107" t="s">
        <v>344</v>
      </c>
      <c r="D252" s="107" t="s">
        <v>344</v>
      </c>
      <c r="E252" s="277" t="s">
        <v>344</v>
      </c>
      <c r="F252" s="279" t="s">
        <v>578</v>
      </c>
      <c r="G252" s="402" t="s">
        <v>38</v>
      </c>
      <c r="H252" s="403" t="s">
        <v>39</v>
      </c>
      <c r="I252" s="107" t="s">
        <v>339</v>
      </c>
      <c r="J252" s="107" t="s">
        <v>339</v>
      </c>
    </row>
    <row r="253" spans="1:11" ht="13.5" thickBot="1">
      <c r="A253" s="8">
        <v>1</v>
      </c>
      <c r="B253" s="278">
        <v>0</v>
      </c>
      <c r="C253" s="272" t="s">
        <v>213</v>
      </c>
      <c r="D253" s="272" t="str">
        <f>D217</f>
        <v>FV</v>
      </c>
      <c r="E253" s="273">
        <v>0</v>
      </c>
      <c r="F253" s="274"/>
      <c r="G253" s="274"/>
      <c r="H253" s="274"/>
      <c r="I253" s="276"/>
      <c r="J253" s="275" t="s">
        <v>213</v>
      </c>
    </row>
    <row r="254" spans="1:11" ht="13.5" thickBot="1">
      <c r="A254" s="8">
        <v>1</v>
      </c>
      <c r="B254" s="286">
        <v>1</v>
      </c>
      <c r="C254" s="291"/>
      <c r="D254" s="291"/>
      <c r="E254" s="292"/>
      <c r="F254" s="272"/>
      <c r="G254" s="272" t="s">
        <v>213</v>
      </c>
      <c r="H254" s="272" t="s">
        <v>213</v>
      </c>
      <c r="I254" s="293"/>
      <c r="J254" s="293"/>
    </row>
    <row r="255" spans="1:11" ht="13.5" thickBot="1">
      <c r="A255" s="8">
        <v>1</v>
      </c>
      <c r="B255" s="286">
        <v>2</v>
      </c>
      <c r="C255" s="291"/>
      <c r="D255" s="291"/>
      <c r="E255" s="294"/>
      <c r="F255" s="291"/>
      <c r="G255" s="272" t="s">
        <v>213</v>
      </c>
      <c r="H255" s="272" t="s">
        <v>213</v>
      </c>
      <c r="I255" s="293"/>
      <c r="J255" s="293"/>
    </row>
    <row r="256" spans="1:11">
      <c r="A256" s="8">
        <v>1</v>
      </c>
      <c r="B256" s="286">
        <v>3</v>
      </c>
      <c r="C256" s="291"/>
      <c r="D256" s="291"/>
      <c r="E256" s="292"/>
      <c r="F256" s="291"/>
      <c r="G256" s="291" t="s">
        <v>213</v>
      </c>
      <c r="H256" s="291" t="s">
        <v>213</v>
      </c>
      <c r="I256" s="293"/>
      <c r="J256" s="293"/>
    </row>
    <row r="257" spans="1:11">
      <c r="A257" s="8">
        <v>1</v>
      </c>
      <c r="B257" s="286">
        <v>4</v>
      </c>
      <c r="C257" s="291"/>
      <c r="D257" s="291"/>
      <c r="E257" s="294"/>
      <c r="F257" s="291"/>
      <c r="G257" s="291" t="s">
        <v>213</v>
      </c>
      <c r="H257" s="291" t="s">
        <v>213</v>
      </c>
      <c r="I257" s="293"/>
      <c r="J257" s="293"/>
    </row>
    <row r="258" spans="1:11">
      <c r="A258" s="8">
        <v>1</v>
      </c>
      <c r="B258" s="286">
        <v>5</v>
      </c>
      <c r="C258" s="291"/>
      <c r="D258" s="291"/>
      <c r="E258" s="294"/>
      <c r="F258" s="291"/>
      <c r="G258" s="291" t="s">
        <v>213</v>
      </c>
      <c r="H258" s="291" t="s">
        <v>213</v>
      </c>
      <c r="I258" s="293"/>
      <c r="J258" s="293"/>
    </row>
    <row r="259" spans="1:11">
      <c r="A259" s="8">
        <v>1</v>
      </c>
      <c r="B259" s="286">
        <v>6</v>
      </c>
      <c r="C259" s="291"/>
      <c r="D259" s="291"/>
      <c r="E259" s="294"/>
      <c r="F259" s="291"/>
      <c r="G259" s="291" t="s">
        <v>213</v>
      </c>
      <c r="H259" s="291" t="s">
        <v>213</v>
      </c>
      <c r="I259" s="293"/>
      <c r="J259" s="293"/>
    </row>
    <row r="260" spans="1:11" s="102" customFormat="1" ht="13.5" thickBot="1">
      <c r="A260" s="8">
        <v>1</v>
      </c>
      <c r="B260" s="298">
        <v>7</v>
      </c>
      <c r="C260" s="291" t="s">
        <v>213</v>
      </c>
      <c r="D260" s="291" t="s">
        <v>213</v>
      </c>
      <c r="E260" s="291" t="s">
        <v>213</v>
      </c>
      <c r="F260" s="291" t="s">
        <v>213</v>
      </c>
      <c r="G260" s="291" t="s">
        <v>213</v>
      </c>
      <c r="H260" s="291" t="s">
        <v>213</v>
      </c>
      <c r="I260" s="291" t="s">
        <v>213</v>
      </c>
      <c r="J260" s="291" t="s">
        <v>213</v>
      </c>
      <c r="K260"/>
    </row>
    <row r="261" spans="1:11" s="102" customFormat="1" ht="13.5" thickBot="1">
      <c r="A261" s="8">
        <v>1</v>
      </c>
      <c r="B261" s="402">
        <v>8</v>
      </c>
      <c r="C261" s="438">
        <f>-PV(E261,B261-B$159+1,,D261)</f>
        <v>2051.4606447121023</v>
      </c>
      <c r="D261" s="438">
        <v>2040</v>
      </c>
      <c r="E261" s="449">
        <f>J58</f>
        <v>-7.9999999999999863E-4</v>
      </c>
      <c r="F261" s="438">
        <f>D261</f>
        <v>2040</v>
      </c>
      <c r="G261" s="438">
        <f>K59</f>
        <v>2000.0000000000225</v>
      </c>
      <c r="H261" s="438">
        <f>F261-G261</f>
        <v>39.99999999997749</v>
      </c>
      <c r="I261" s="285" t="s">
        <v>213</v>
      </c>
      <c r="J261" s="285" t="s">
        <v>213</v>
      </c>
      <c r="K261"/>
    </row>
    <row r="262" spans="1:11">
      <c r="A262" s="8">
        <v>1</v>
      </c>
      <c r="B262" s="439" t="s">
        <v>176</v>
      </c>
    </row>
    <row r="263" spans="1:11">
      <c r="A263" s="8">
        <v>2</v>
      </c>
    </row>
    <row r="264" spans="1:11">
      <c r="A264" s="6">
        <v>2</v>
      </c>
      <c r="B264" s="7" t="s">
        <v>180</v>
      </c>
      <c r="C264" s="55"/>
    </row>
    <row r="265" spans="1:11">
      <c r="A265" s="8">
        <v>2</v>
      </c>
      <c r="B265" s="9" t="s">
        <v>64</v>
      </c>
    </row>
    <row r="266" spans="1:11">
      <c r="A266" s="8">
        <v>2</v>
      </c>
      <c r="B266" s="9" t="s">
        <v>127</v>
      </c>
    </row>
    <row r="267" spans="1:11">
      <c r="A267" s="8">
        <v>2</v>
      </c>
      <c r="B267" s="9"/>
    </row>
    <row r="268" spans="1:11">
      <c r="A268" s="8">
        <v>2</v>
      </c>
      <c r="B268" s="10" t="s">
        <v>457</v>
      </c>
    </row>
    <row r="269" spans="1:11">
      <c r="A269" s="8">
        <v>2</v>
      </c>
    </row>
    <row r="270" spans="1:11">
      <c r="A270" s="8">
        <v>2</v>
      </c>
      <c r="E270" s="317" t="s">
        <v>588</v>
      </c>
    </row>
    <row r="271" spans="1:11">
      <c r="A271" s="8">
        <v>2</v>
      </c>
      <c r="B271" s="316" t="s">
        <v>578</v>
      </c>
      <c r="C271" s="315">
        <f>F155</f>
        <v>24850</v>
      </c>
      <c r="D271" s="315">
        <f>F171</f>
        <v>73800</v>
      </c>
      <c r="E271" s="315">
        <f>F187</f>
        <v>85910</v>
      </c>
      <c r="F271" s="315">
        <f>F203</f>
        <v>-42820</v>
      </c>
      <c r="G271" s="315">
        <f>F219</f>
        <v>-33160</v>
      </c>
      <c r="H271" s="315">
        <f>F235</f>
        <v>-21850</v>
      </c>
      <c r="I271" s="315">
        <f>F251</f>
        <v>1960</v>
      </c>
    </row>
    <row r="272" spans="1:11" ht="13.5" thickBot="1">
      <c r="A272" s="8">
        <v>2</v>
      </c>
      <c r="B272" s="8" t="s">
        <v>544</v>
      </c>
      <c r="C272" s="8">
        <v>2</v>
      </c>
      <c r="D272" s="8">
        <v>3</v>
      </c>
      <c r="E272" s="8">
        <v>4</v>
      </c>
      <c r="F272" s="8">
        <v>5</v>
      </c>
      <c r="G272" s="8">
        <v>6</v>
      </c>
      <c r="H272" s="8">
        <v>7</v>
      </c>
      <c r="I272" s="8">
        <v>8</v>
      </c>
    </row>
    <row r="273" spans="1:9">
      <c r="A273" s="8">
        <v>2</v>
      </c>
      <c r="B273" s="8">
        <v>2</v>
      </c>
      <c r="C273" s="406">
        <f>E159</f>
        <v>2.7250000000000017E-3</v>
      </c>
      <c r="D273" s="407"/>
      <c r="E273" s="408"/>
      <c r="F273" s="407"/>
      <c r="G273" s="407"/>
      <c r="H273" s="407"/>
      <c r="I273" s="409"/>
    </row>
    <row r="274" spans="1:9">
      <c r="A274" s="8">
        <v>2</v>
      </c>
      <c r="B274" s="314">
        <v>3</v>
      </c>
      <c r="C274" s="410">
        <f t="shared" ref="C274:C279" si="12">E160</f>
        <v>2.7500000000000003E-3</v>
      </c>
      <c r="D274" s="411">
        <f t="shared" ref="D274:D279" si="13">E176</f>
        <v>2.5500000000000002E-3</v>
      </c>
      <c r="E274" s="411"/>
      <c r="F274" s="412"/>
      <c r="G274" s="411"/>
      <c r="H274" s="411"/>
      <c r="I274" s="413"/>
    </row>
    <row r="275" spans="1:9">
      <c r="A275" s="8">
        <v>2</v>
      </c>
      <c r="B275" s="8">
        <v>4</v>
      </c>
      <c r="C275" s="410">
        <f t="shared" si="12"/>
        <v>2.8300000000000001E-3</v>
      </c>
      <c r="D275" s="411">
        <f t="shared" si="13"/>
        <v>2.64E-3</v>
      </c>
      <c r="E275" s="411">
        <f>E193</f>
        <v>2.7250000000000017E-3</v>
      </c>
      <c r="F275" s="411"/>
      <c r="G275" s="411"/>
      <c r="H275" s="411"/>
      <c r="I275" s="413"/>
    </row>
    <row r="276" spans="1:9">
      <c r="A276" s="8">
        <v>2</v>
      </c>
      <c r="B276" s="8">
        <v>5</v>
      </c>
      <c r="C276" s="410">
        <f t="shared" si="12"/>
        <v>2.8800000000000002E-3</v>
      </c>
      <c r="D276" s="411">
        <f t="shared" si="13"/>
        <v>2.7200000000000002E-3</v>
      </c>
      <c r="E276" s="411">
        <f>E194</f>
        <v>2.8300000000000001E-3</v>
      </c>
      <c r="F276" s="411">
        <f>E210</f>
        <v>2.9500000000000012E-3</v>
      </c>
      <c r="G276" s="411"/>
      <c r="H276" s="411"/>
      <c r="I276" s="413"/>
    </row>
    <row r="277" spans="1:9">
      <c r="A277" s="8">
        <v>2</v>
      </c>
      <c r="B277" s="8">
        <v>6</v>
      </c>
      <c r="C277" s="410">
        <f t="shared" si="12"/>
        <v>2.9099999999999998E-3</v>
      </c>
      <c r="D277" s="411">
        <f t="shared" si="13"/>
        <v>2.7699999999999999E-3</v>
      </c>
      <c r="E277" s="411">
        <f>E195</f>
        <v>2.8999999999999998E-3</v>
      </c>
      <c r="F277" s="411">
        <f>E211</f>
        <v>3.0400000000000002E-3</v>
      </c>
      <c r="G277" s="411">
        <f>E227</f>
        <v>-2.5000000000000022E-4</v>
      </c>
      <c r="H277" s="411"/>
      <c r="I277" s="413"/>
    </row>
    <row r="278" spans="1:9">
      <c r="A278" s="8">
        <v>2</v>
      </c>
      <c r="B278" s="8">
        <v>7</v>
      </c>
      <c r="C278" s="410">
        <f t="shared" si="12"/>
        <v>2.9399999999999999E-3</v>
      </c>
      <c r="D278" s="411">
        <f t="shared" si="13"/>
        <v>2.81E-3</v>
      </c>
      <c r="E278" s="411">
        <f>E196</f>
        <v>2.96E-3</v>
      </c>
      <c r="F278" s="411">
        <f>E212</f>
        <v>3.0999999999999999E-3</v>
      </c>
      <c r="G278" s="411">
        <f>E228</f>
        <v>-2.4000000000000001E-4</v>
      </c>
      <c r="H278" s="411">
        <f>E244</f>
        <v>-5.2499999999999769E-4</v>
      </c>
      <c r="I278" s="413"/>
    </row>
    <row r="279" spans="1:9" ht="13.5" thickBot="1">
      <c r="A279" s="8">
        <v>2</v>
      </c>
      <c r="B279" s="8">
        <v>8</v>
      </c>
      <c r="C279" s="414">
        <f t="shared" si="12"/>
        <v>2.9499999999999999E-3</v>
      </c>
      <c r="D279" s="415">
        <f t="shared" si="13"/>
        <v>2.8300000000000001E-3</v>
      </c>
      <c r="E279" s="415">
        <f>E197</f>
        <v>2.99E-3</v>
      </c>
      <c r="F279" s="415">
        <f>E213</f>
        <v>3.1199999999999999E-3</v>
      </c>
      <c r="G279" s="415">
        <f>E229</f>
        <v>-1.8000000000000001E-4</v>
      </c>
      <c r="H279" s="415">
        <f>E245</f>
        <v>-4.2999999999999999E-4</v>
      </c>
      <c r="I279" s="417">
        <f>E261</f>
        <v>-7.9999999999999863E-4</v>
      </c>
    </row>
    <row r="280" spans="1:9">
      <c r="A280" s="8">
        <v>2</v>
      </c>
    </row>
    <row r="281" spans="1:9">
      <c r="A281" s="8">
        <v>2</v>
      </c>
    </row>
    <row r="282" spans="1:9">
      <c r="A282" s="8">
        <v>2</v>
      </c>
    </row>
    <row r="283" spans="1:9">
      <c r="A283" s="8">
        <v>2</v>
      </c>
    </row>
    <row r="284" spans="1:9">
      <c r="A284" s="8">
        <v>2</v>
      </c>
    </row>
    <row r="285" spans="1:9">
      <c r="A285" s="8">
        <v>2</v>
      </c>
    </row>
    <row r="286" spans="1:9">
      <c r="A286" s="8">
        <v>2</v>
      </c>
    </row>
    <row r="287" spans="1:9">
      <c r="A287" s="8">
        <v>2</v>
      </c>
    </row>
    <row r="288" spans="1:9">
      <c r="A288" s="8">
        <v>2</v>
      </c>
    </row>
    <row r="289" spans="1:10">
      <c r="A289" s="8">
        <v>2</v>
      </c>
    </row>
    <row r="290" spans="1:10">
      <c r="A290" s="8">
        <v>2</v>
      </c>
    </row>
    <row r="291" spans="1:10">
      <c r="A291" s="8">
        <v>2</v>
      </c>
    </row>
    <row r="292" spans="1:10">
      <c r="A292" s="8">
        <v>2</v>
      </c>
    </row>
    <row r="293" spans="1:10">
      <c r="A293" s="8">
        <v>2</v>
      </c>
    </row>
    <row r="294" spans="1:10">
      <c r="A294" s="8">
        <v>2</v>
      </c>
    </row>
    <row r="295" spans="1:10">
      <c r="A295" s="8">
        <v>2</v>
      </c>
    </row>
    <row r="296" spans="1:10">
      <c r="A296" s="8">
        <v>2</v>
      </c>
      <c r="B296" s="10" t="s">
        <v>129</v>
      </c>
    </row>
    <row r="297" spans="1:10">
      <c r="A297" s="8">
        <v>2</v>
      </c>
      <c r="B297" s="10" t="s">
        <v>130</v>
      </c>
    </row>
    <row r="298" spans="1:10">
      <c r="A298" s="8">
        <v>2</v>
      </c>
      <c r="B298" s="10" t="s">
        <v>131</v>
      </c>
    </row>
    <row r="299" spans="1:10">
      <c r="A299" s="8">
        <v>2</v>
      </c>
    </row>
    <row r="300" spans="1:10">
      <c r="A300" s="2"/>
      <c r="B300" s="3"/>
      <c r="C300" s="4"/>
      <c r="D300" s="5"/>
      <c r="E300" s="5"/>
      <c r="F300" s="60"/>
      <c r="G300" s="59"/>
      <c r="I300" s="59"/>
      <c r="J300" s="59"/>
    </row>
    <row r="301" spans="1:10">
      <c r="A301" s="2"/>
      <c r="B301" s="3"/>
      <c r="C301" s="4"/>
      <c r="D301" s="5"/>
      <c r="E301" s="5"/>
      <c r="F301" s="60"/>
      <c r="G301" s="59"/>
      <c r="I301" s="59"/>
      <c r="J301" s="59"/>
    </row>
    <row r="302" spans="1:10">
      <c r="A302" s="2"/>
      <c r="B302" s="3"/>
      <c r="C302" s="4"/>
      <c r="D302" s="5"/>
      <c r="E302" s="5"/>
      <c r="F302" s="60"/>
      <c r="G302" s="59"/>
      <c r="I302" s="59"/>
      <c r="J302" s="59"/>
    </row>
    <row r="303" spans="1:10">
      <c r="A303" s="2"/>
      <c r="B303" s="3"/>
      <c r="C303" s="4"/>
      <c r="D303" s="5"/>
      <c r="E303" s="5"/>
      <c r="F303" s="60"/>
      <c r="G303" s="59"/>
      <c r="I303" s="59"/>
      <c r="J303" s="59"/>
    </row>
    <row r="304" spans="1:10">
      <c r="A304" s="2"/>
      <c r="B304" s="3"/>
      <c r="C304" s="4"/>
      <c r="D304" s="5"/>
      <c r="E304" s="5"/>
      <c r="F304" s="60"/>
      <c r="G304" s="59"/>
      <c r="I304" s="59"/>
      <c r="J304" s="59"/>
    </row>
    <row r="305" spans="1:10">
      <c r="A305" s="2"/>
      <c r="B305" s="3"/>
      <c r="C305" s="4"/>
      <c r="D305" s="5"/>
      <c r="E305" s="5"/>
      <c r="F305" s="60"/>
      <c r="G305" s="59"/>
      <c r="I305" s="59"/>
      <c r="J305" s="59"/>
    </row>
    <row r="306" spans="1:10">
      <c r="A306" s="2"/>
      <c r="B306" s="3"/>
      <c r="C306" s="4"/>
      <c r="D306" s="5"/>
      <c r="E306" s="5"/>
      <c r="F306" s="60"/>
      <c r="G306" s="59"/>
      <c r="I306" s="59"/>
      <c r="J306" s="59"/>
    </row>
    <row r="307" spans="1:10">
      <c r="A307" s="2"/>
      <c r="B307" s="3"/>
      <c r="C307" s="4"/>
      <c r="D307" s="5"/>
      <c r="E307" s="5"/>
      <c r="F307" s="60"/>
      <c r="G307" s="59"/>
      <c r="I307" s="59"/>
      <c r="J307" s="59"/>
    </row>
    <row r="308" spans="1:10">
      <c r="A308" s="2"/>
      <c r="B308" s="3"/>
      <c r="C308" s="4"/>
      <c r="D308" s="5"/>
      <c r="E308" s="5"/>
      <c r="F308" s="60"/>
      <c r="G308" s="59"/>
      <c r="I308" s="59"/>
      <c r="J308" s="59"/>
    </row>
    <row r="309" spans="1:10">
      <c r="A309" s="2"/>
      <c r="B309" s="3"/>
      <c r="C309" s="4"/>
      <c r="D309" s="5"/>
      <c r="E309" s="5"/>
      <c r="F309" s="60"/>
      <c r="G309" s="59"/>
      <c r="I309" s="59"/>
      <c r="J309" s="59"/>
    </row>
    <row r="310" spans="1:10">
      <c r="A310" s="2"/>
      <c r="B310" s="3"/>
      <c r="C310" s="4"/>
      <c r="D310" s="5"/>
      <c r="E310" s="5"/>
      <c r="F310" s="60"/>
      <c r="G310" s="59"/>
      <c r="I310" s="59"/>
      <c r="J310" s="59"/>
    </row>
    <row r="311" spans="1:10">
      <c r="A311" s="2"/>
      <c r="B311" s="3"/>
      <c r="C311" s="4"/>
      <c r="D311" s="5"/>
      <c r="E311" s="5"/>
      <c r="F311" s="60"/>
      <c r="G311" s="59"/>
      <c r="I311" s="59"/>
      <c r="J311" s="59"/>
    </row>
  </sheetData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Trinity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E. Jenson</dc:creator>
  <cp:lastModifiedBy>Russell Politzky</cp:lastModifiedBy>
  <dcterms:created xsi:type="dcterms:W3CDTF">1998-08-27T13:14:47Z</dcterms:created>
  <dcterms:modified xsi:type="dcterms:W3CDTF">2009-11-10T18:22:29Z</dcterms:modified>
</cp:coreProperties>
</file>