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Master's\Statistical analysis in FM\Group Project\"/>
    </mc:Choice>
  </mc:AlternateContent>
  <xr:revisionPtr revIDLastSave="0" documentId="13_ncr:1_{E5AA2382-67B9-42ED-B28C-DB08EA804C25}" xr6:coauthVersionLast="47" xr6:coauthVersionMax="47" xr10:uidLastSave="{00000000-0000-0000-0000-000000000000}"/>
  <bookViews>
    <workbookView xWindow="-108" yWindow="-108" windowWidth="23256" windowHeight="12456" activeTab="1" xr2:uid="{A5DBA071-A567-4D6F-BAA0-5F575B681683}"/>
  </bookViews>
  <sheets>
    <sheet name="Sheet2" sheetId="2" r:id="rId1"/>
    <sheet name="Sheet1" sheetId="1" r:id="rId2"/>
  </sheets>
  <definedNames>
    <definedName name="_xlnm._FilterDatabase" localSheetId="1" hidden="1">Sheet1!$A$1:$H$53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0" i="1" l="1"/>
  <c r="S46" i="1"/>
  <c r="P41" i="1"/>
  <c r="R46" i="1"/>
  <c r="P46" i="1"/>
  <c r="P45" i="1"/>
  <c r="O45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G31" i="1"/>
  <c r="C64" i="1" s="1"/>
  <c r="H31" i="1"/>
  <c r="C102" i="1" s="1"/>
  <c r="H80" i="1"/>
  <c r="H83" i="1" s="1"/>
  <c r="C74" i="1" l="1"/>
  <c r="C62" i="1"/>
  <c r="C92" i="1"/>
  <c r="C104" i="1"/>
  <c r="C105" i="1"/>
  <c r="C75" i="1"/>
  <c r="C72" i="1"/>
  <c r="C60" i="1"/>
  <c r="C94" i="1"/>
  <c r="C106" i="1"/>
  <c r="C91" i="1"/>
  <c r="C93" i="1"/>
  <c r="C59" i="1"/>
  <c r="C71" i="1"/>
  <c r="C83" i="1"/>
  <c r="C95" i="1"/>
  <c r="C107" i="1"/>
  <c r="C78" i="1"/>
  <c r="C63" i="1"/>
  <c r="C61" i="1"/>
  <c r="C82" i="1"/>
  <c r="C70" i="1"/>
  <c r="C84" i="1"/>
  <c r="C96" i="1"/>
  <c r="C108" i="1"/>
  <c r="C103" i="1"/>
  <c r="C73" i="1"/>
  <c r="C81" i="1"/>
  <c r="C69" i="1"/>
  <c r="C85" i="1"/>
  <c r="C97" i="1"/>
  <c r="C109" i="1"/>
  <c r="C88" i="1"/>
  <c r="C80" i="1"/>
  <c r="C68" i="1"/>
  <c r="C86" i="1"/>
  <c r="C98" i="1"/>
  <c r="C79" i="1"/>
  <c r="C67" i="1"/>
  <c r="C87" i="1"/>
  <c r="C99" i="1"/>
  <c r="C66" i="1"/>
  <c r="C100" i="1"/>
  <c r="C89" i="1"/>
  <c r="C77" i="1"/>
  <c r="C65" i="1"/>
  <c r="C101" i="1"/>
  <c r="C76" i="1"/>
  <c r="C90" i="1"/>
  <c r="H76" i="1"/>
  <c r="J75" i="1"/>
  <c r="J74" i="1"/>
  <c r="J76" i="1" s="1"/>
  <c r="I75" i="1"/>
  <c r="I74" i="1"/>
  <c r="I76" i="1" s="1"/>
  <c r="H75" i="1"/>
  <c r="H74" i="1"/>
  <c r="P34" i="1"/>
  <c r="R41" i="1"/>
  <c r="R40" i="1"/>
  <c r="G75" i="1"/>
  <c r="G74" i="1"/>
  <c r="G76" i="1" s="1"/>
  <c r="D4" i="1"/>
  <c r="F5" i="1"/>
  <c r="G81" i="1" l="1"/>
  <c r="I81" i="1" s="1"/>
  <c r="J4" i="1"/>
  <c r="E4" i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5" i="1"/>
  <c r="K35" i="1" s="1"/>
  <c r="E36" i="1"/>
  <c r="K36" i="1" s="1"/>
  <c r="E37" i="1"/>
  <c r="K37" i="1" s="1"/>
  <c r="E38" i="1"/>
  <c r="K38" i="1" s="1"/>
  <c r="E39" i="1"/>
  <c r="K39" i="1" s="1"/>
  <c r="E40" i="1"/>
  <c r="K40" i="1" s="1"/>
  <c r="E41" i="1"/>
  <c r="K41" i="1" s="1"/>
  <c r="E42" i="1"/>
  <c r="K42" i="1" s="1"/>
  <c r="E43" i="1"/>
  <c r="K43" i="1" s="1"/>
  <c r="E44" i="1"/>
  <c r="K44" i="1" s="1"/>
  <c r="E45" i="1"/>
  <c r="K45" i="1" s="1"/>
  <c r="E46" i="1"/>
  <c r="K46" i="1" s="1"/>
  <c r="E47" i="1"/>
  <c r="K47" i="1" s="1"/>
  <c r="E48" i="1"/>
  <c r="K48" i="1" s="1"/>
  <c r="E49" i="1"/>
  <c r="K49" i="1" s="1"/>
  <c r="E50" i="1"/>
  <c r="K50" i="1" s="1"/>
  <c r="E51" i="1"/>
  <c r="K51" i="1" s="1"/>
  <c r="E52" i="1"/>
  <c r="K52" i="1" s="1"/>
  <c r="E53" i="1"/>
  <c r="K53" i="1" s="1"/>
  <c r="E3" i="1"/>
  <c r="K3" i="1" s="1"/>
  <c r="D5" i="1"/>
  <c r="J5" i="1" s="1"/>
  <c r="D6" i="1"/>
  <c r="J6" i="1" s="1"/>
  <c r="D7" i="1"/>
  <c r="J7" i="1" s="1"/>
  <c r="D8" i="1"/>
  <c r="J8" i="1" s="1"/>
  <c r="D9" i="1"/>
  <c r="J9" i="1" s="1"/>
  <c r="D10" i="1"/>
  <c r="J10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M53" i="1" s="1"/>
  <c r="D3" i="1"/>
  <c r="M28" i="1" l="1"/>
  <c r="M50" i="1"/>
  <c r="M26" i="1"/>
  <c r="M37" i="1"/>
  <c r="M25" i="1"/>
  <c r="M13" i="1"/>
  <c r="M4" i="1"/>
  <c r="M48" i="1"/>
  <c r="M36" i="1"/>
  <c r="M24" i="1"/>
  <c r="M12" i="1"/>
  <c r="M47" i="1"/>
  <c r="M35" i="1"/>
  <c r="M23" i="1"/>
  <c r="M11" i="1"/>
  <c r="M22" i="1"/>
  <c r="M16" i="1"/>
  <c r="M9" i="1"/>
  <c r="M17" i="1"/>
  <c r="M46" i="1"/>
  <c r="M10" i="1"/>
  <c r="M45" i="1"/>
  <c r="M21" i="1"/>
  <c r="M44" i="1"/>
  <c r="M29" i="1"/>
  <c r="M34" i="1"/>
  <c r="M33" i="1"/>
  <c r="M32" i="1"/>
  <c r="M20" i="1"/>
  <c r="M8" i="1"/>
  <c r="M43" i="1"/>
  <c r="M31" i="1"/>
  <c r="M19" i="1"/>
  <c r="M7" i="1"/>
  <c r="J3" i="1"/>
  <c r="G34" i="1"/>
  <c r="G80" i="1" s="1"/>
  <c r="M42" i="1"/>
  <c r="M30" i="1"/>
  <c r="M18" i="1"/>
  <c r="M6" i="1"/>
  <c r="M41" i="1"/>
  <c r="M52" i="1"/>
  <c r="M15" i="1"/>
  <c r="M39" i="1"/>
  <c r="M5" i="1"/>
  <c r="M51" i="1"/>
  <c r="M40" i="1"/>
  <c r="M27" i="1"/>
  <c r="M38" i="1"/>
  <c r="M14" i="1"/>
  <c r="M49" i="1"/>
  <c r="P25" i="1"/>
  <c r="J54" i="1"/>
  <c r="O79" i="1" s="1"/>
  <c r="K54" i="1"/>
  <c r="O91" i="1" l="1"/>
  <c r="O47" i="1"/>
  <c r="O60" i="1"/>
  <c r="O73" i="1"/>
  <c r="O76" i="1"/>
  <c r="O88" i="1"/>
  <c r="O65" i="1"/>
  <c r="O90" i="1"/>
  <c r="O92" i="1"/>
  <c r="O56" i="1"/>
  <c r="O81" i="1"/>
  <c r="O72" i="1"/>
  <c r="O85" i="1"/>
  <c r="O71" i="1"/>
  <c r="O59" i="1"/>
  <c r="O77" i="1"/>
  <c r="O46" i="1"/>
  <c r="O70" i="1"/>
  <c r="O80" i="1"/>
  <c r="O57" i="1"/>
  <c r="O84" i="1"/>
  <c r="O50" i="1"/>
  <c r="O86" i="1"/>
  <c r="O51" i="1"/>
  <c r="O89" i="1"/>
  <c r="O55" i="1"/>
  <c r="O93" i="1"/>
  <c r="O48" i="1"/>
  <c r="O61" i="1"/>
  <c r="O75" i="1"/>
  <c r="O52" i="1"/>
  <c r="O53" i="1"/>
  <c r="O78" i="1"/>
  <c r="O68" i="1"/>
  <c r="O69" i="1"/>
  <c r="O94" i="1"/>
  <c r="G83" i="1"/>
  <c r="I80" i="1"/>
  <c r="J80" i="1" s="1"/>
  <c r="O62" i="1"/>
  <c r="O63" i="1"/>
  <c r="O58" i="1"/>
  <c r="O54" i="1"/>
  <c r="O67" i="1"/>
  <c r="O82" i="1"/>
  <c r="O83" i="1"/>
  <c r="O49" i="1"/>
  <c r="O74" i="1"/>
  <c r="O87" i="1"/>
  <c r="O64" i="1"/>
  <c r="O66" i="1"/>
  <c r="M3" i="1"/>
  <c r="Q35" i="1"/>
  <c r="P29" i="1"/>
  <c r="R35" i="1" l="1"/>
  <c r="P28" i="1"/>
  <c r="P36" i="1"/>
  <c r="Q36" i="1"/>
  <c r="Q34" i="1" s="1"/>
  <c r="P26" i="1" l="1"/>
  <c r="P27" i="1" s="1"/>
  <c r="R34" i="1"/>
  <c r="S34" i="1" s="1"/>
  <c r="T34" i="1" s="1"/>
</calcChain>
</file>

<file path=xl/sharedStrings.xml><?xml version="1.0" encoding="utf-8"?>
<sst xmlns="http://schemas.openxmlformats.org/spreadsheetml/2006/main" count="163" uniqueCount="90">
  <si>
    <t>Date</t>
  </si>
  <si>
    <t>TSLA Adj Close</t>
  </si>
  <si>
    <t>GSPC Adj Close</t>
  </si>
  <si>
    <t xml:space="preserve">TSLA Daily Return </t>
  </si>
  <si>
    <t>GSPC Daily Return</t>
  </si>
  <si>
    <t>1/22/2024</t>
  </si>
  <si>
    <t>1/23/2024</t>
  </si>
  <si>
    <t>1/24/2024</t>
  </si>
  <si>
    <t>1/25/2024</t>
  </si>
  <si>
    <t>1/26/2024</t>
  </si>
  <si>
    <t>1/29/2024</t>
  </si>
  <si>
    <t>1/30/2024</t>
  </si>
  <si>
    <t>1/31/2024</t>
  </si>
  <si>
    <t>2/13/2024</t>
  </si>
  <si>
    <t>2/14/2024</t>
  </si>
  <si>
    <t>2/15/2024</t>
  </si>
  <si>
    <t>2/16/2024</t>
  </si>
  <si>
    <t>2/20/2024</t>
  </si>
  <si>
    <t>2/21/2024</t>
  </si>
  <si>
    <t>2/22/2024</t>
  </si>
  <si>
    <t>2/23/2024</t>
  </si>
  <si>
    <t>2/26/2024</t>
  </si>
  <si>
    <t>2/27/2024</t>
  </si>
  <si>
    <t>2/28/2024</t>
  </si>
  <si>
    <t>2/29/2024</t>
  </si>
  <si>
    <t>3/13/2024</t>
  </si>
  <si>
    <t>3/14/2024</t>
  </si>
  <si>
    <t>3/15/2024</t>
  </si>
  <si>
    <t>3/18/2024</t>
  </si>
  <si>
    <t>3/19/2024</t>
  </si>
  <si>
    <t>3/20/2024</t>
  </si>
  <si>
    <t>3/21/2024</t>
  </si>
  <si>
    <t>3/22/2024</t>
  </si>
  <si>
    <t>3/25/2024</t>
  </si>
  <si>
    <t>3/26/2024</t>
  </si>
  <si>
    <t>3/27/2024</t>
  </si>
  <si>
    <t>3/28/2024</t>
  </si>
  <si>
    <t>3-month treasury yield</t>
  </si>
  <si>
    <t xml:space="preserve">Annual </t>
  </si>
  <si>
    <t>Daily</t>
  </si>
  <si>
    <t>TSLA return &lt; rf</t>
  </si>
  <si>
    <t>TSLA return &gt;rf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</si>
  <si>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</si>
  <si>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</si>
  <si>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</si>
  <si>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</si>
  <si>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</si>
  <si>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</si>
  <si>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</si>
  <si>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</si>
  <si>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</si>
  <si>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</si>
  <si>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</si>
  <si>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</si>
  <si>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</si>
  <si>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</si>
  <si>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</si>
  <si>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</si>
  <si>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</si>
  <si>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</si>
  <si>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TSLA-rf</t>
  </si>
  <si>
    <t>GSPC-rf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</si>
  <si>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</si>
  <si>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</si>
  <si>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</si>
  <si>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</si>
  <si>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</si>
  <si>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</si>
  <si>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</si>
  <si>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</si>
  <si>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</si>
  <si>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</si>
  <si>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</si>
  <si>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</si>
  <si>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</si>
  <si>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</si>
  <si>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</si>
  <si>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X Variable 1</t>
  </si>
  <si>
    <t>Residuals</t>
  </si>
  <si>
    <r>
      <t xml:space="preserve">Anova: Single Factor by </t>
    </r>
    <r>
      <rPr>
        <b/>
        <sz val="11"/>
        <color theme="1"/>
        <rFont val="Aptos Narrow"/>
        <family val="2"/>
        <scheme val="minor"/>
      </rPr>
      <t>Manual Calculation</t>
    </r>
  </si>
  <si>
    <t>(TSLA_rf)_hat</t>
  </si>
  <si>
    <t>Regression Results by Formula</t>
  </si>
  <si>
    <t>All</t>
  </si>
  <si>
    <t>mean1</t>
  </si>
  <si>
    <t>mean2</t>
  </si>
  <si>
    <t xml:space="preserve">whole_mean </t>
  </si>
  <si>
    <t>SSW</t>
  </si>
  <si>
    <t>(xi-x_bar)*(yi-Y_bar)</t>
  </si>
  <si>
    <t>(xi-x_bar)**2</t>
  </si>
  <si>
    <t>X_variable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</si>
</sst>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24009]mm/dd/yyyy;@"/>
    <numFmt numFmtId="167" formatCode="[$-14009]dd/mm/yyyy;@"/>
    <numFmt numFmtId="168" formatCode="0.000000000000000000%"/>
    <numFmt numFmtId="169" formatCode="0.00000000000000000%"/>
    <numFmt numFmtId="170" formatCode="0.00000000000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10" fontId="3" fillId="0" borderId="0" xfId="0" applyNumberFormat="1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10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10" fontId="2" fillId="0" borderId="0" xfId="0" applyNumberFormat="1" applyFont="1"/>
    <xf numFmtId="0" fontId="4" fillId="0" borderId="0" xfId="0" applyFont="1" applyAlignment="1">
      <alignment horizontal="center"/>
    </xf>
    <xf numFmtId="10" fontId="2" fillId="0" borderId="1" xfId="0" applyNumberFormat="1" applyFont="1" applyBorder="1"/>
    <xf numFmtId="0" fontId="0" fillId="0" borderId="0" xfId="0"/>
    <xf numFmtId="16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/>
    <xf numFmtId="169" fontId="0" fillId="0" borderId="0" xfId="0" applyNumberFormat="1"/>
    <xf numFmtId="17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5D82-A146-4C7E-901C-9926E127A93B}">
  <dimension ref="A1:G14"/>
  <sheetViews>
    <sheetView workbookViewId="0">
      <selection activeCell="B12" sqref="B12"/>
    </sheetView>
  </sheetViews>
  <sheetFormatPr defaultRowHeight="14.4" x14ac:dyDescent="0.3"/>
  <sheetData>
    <row r="1" spans="1:7" x14ac:dyDescent="0.3">
      <c r="A1" t="s">
        <v>42</v>
      </c>
    </row>
    <row r="3" spans="1:7" ht="15" thickBot="1" x14ac:dyDescent="0.35">
      <c r="A3" t="s">
        <v>43</v>
      </c>
    </row>
    <row r="4" spans="1:7" x14ac:dyDescent="0.3">
      <c r="A4" s="6" t="s">
        <v>44</v>
      </c>
      <c r="B4" s="6" t="s">
        <v>45</v>
      </c>
      <c r="C4" s="6" t="s">
        <v>46</v>
      </c>
      <c r="D4" s="6" t="s">
        <v>47</v>
      </c>
      <c r="E4" s="6" t="s">
        <v>48</v>
      </c>
    </row>
    <row r="5" spans="1:7" x14ac:dyDescent="0.3">
      <c r="A5" t="s">
        <v>40</v>
      </c>
      <c r="B5">
        <v>24</v>
      </c>
      <c r="C5">
        <v>-0.66050000000000009</v>
      </c>
      <c r="D5">
        <v>-2.7520833333333338E-2</v>
      </c>
      <c r="E5">
        <v>7.0686432971014458E-4</v>
      </c>
    </row>
    <row r="6" spans="1:7" ht="15" thickBot="1" x14ac:dyDescent="0.35">
      <c r="A6" s="5" t="s">
        <v>41</v>
      </c>
      <c r="B6" s="5">
        <v>27</v>
      </c>
      <c r="C6" s="5">
        <v>0.48750000000000004</v>
      </c>
      <c r="D6" s="5">
        <v>1.8055555555555557E-2</v>
      </c>
      <c r="E6" s="5">
        <v>2.7235794871794853E-4</v>
      </c>
    </row>
    <row r="9" spans="1:7" ht="15" thickBot="1" x14ac:dyDescent="0.35">
      <c r="A9" t="s">
        <v>49</v>
      </c>
    </row>
    <row r="10" spans="1:7" x14ac:dyDescent="0.3">
      <c r="A10" s="6" t="s">
        <v>50</v>
      </c>
      <c r="B10" s="6" t="s">
        <v>51</v>
      </c>
      <c r="C10" s="6" t="s">
        <v>52</v>
      </c>
      <c r="D10" s="6" t="s">
        <v>53</v>
      </c>
      <c r="E10" s="6" t="s">
        <v>54</v>
      </c>
      <c r="F10" s="6" t="s">
        <v>55</v>
      </c>
      <c r="G10" s="6" t="s">
        <v>56</v>
      </c>
    </row>
    <row r="11" spans="1:7" x14ac:dyDescent="0.3">
      <c r="A11" t="s">
        <v>57</v>
      </c>
      <c r="B11">
        <v>2.6392750612745111E-2</v>
      </c>
      <c r="C11">
        <v>1</v>
      </c>
      <c r="D11">
        <v>2.6392750612745111E-2</v>
      </c>
      <c r="E11">
        <v>55.410877061941719</v>
      </c>
      <c r="F11">
        <v>1.3661366400481573E-9</v>
      </c>
      <c r="G11">
        <v>4.0383926336830385</v>
      </c>
    </row>
    <row r="12" spans="1:7" x14ac:dyDescent="0.3">
      <c r="A12" t="s">
        <v>58</v>
      </c>
      <c r="B12">
        <v>2.3339186249999998E-2</v>
      </c>
      <c r="C12">
        <v>49</v>
      </c>
      <c r="D12">
        <v>4.7630992346938772E-4</v>
      </c>
    </row>
    <row r="14" spans="1:7" ht="15" thickBot="1" x14ac:dyDescent="0.35">
      <c r="A14" s="5" t="s">
        <v>59</v>
      </c>
      <c r="B14" s="5">
        <v>4.9731936862745109E-2</v>
      </c>
      <c r="C14" s="5">
        <v>50</v>
      </c>
      <c r="D14" s="5"/>
      <c r="E14" s="5"/>
      <c r="F14" s="5"/>
      <c r="G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DE15-0F8D-474A-9C1E-99A94A4E4B6B}">
  <dimension ref="A1:W109"/>
  <sheetViews>
    <sheetView tabSelected="1" topLeftCell="A7" zoomScale="97" zoomScaleNormal="73" workbookViewId="0">
      <selection activeCell="Q44" sqref="Q44"/>
    </sheetView>
  </sheetViews>
  <sheetFormatPr defaultRowHeight="14.4" x14ac:dyDescent="0.3"/>
  <cols>
    <col min="1" max="1" width="13.44140625" customWidth="1"/>
    <col min="2" max="2" width="13.21875" bestFit="1" customWidth="1"/>
    <col min="3" max="3" width="14" bestFit="1" customWidth="1"/>
    <col min="4" max="4" width="15.77734375" bestFit="1" customWidth="1"/>
    <col min="5" max="5" width="16.21875" bestFit="1" customWidth="1"/>
    <col min="6" max="7" width="19.88671875" bestFit="1" customWidth="1"/>
    <col min="8" max="8" width="17.33203125" bestFit="1" customWidth="1"/>
    <col min="9" max="9" width="12.77734375" bestFit="1" customWidth="1"/>
    <col min="10" max="10" width="12.44140625" bestFit="1" customWidth="1"/>
    <col min="11" max="11" width="13.33203125" bestFit="1" customWidth="1"/>
    <col min="12" max="14" width="12.77734375" bestFit="1" customWidth="1"/>
    <col min="15" max="15" width="26.44140625" bestFit="1" customWidth="1"/>
    <col min="16" max="16" width="20.5546875" bestFit="1" customWidth="1"/>
    <col min="17" max="17" width="13.5546875" bestFit="1" customWidth="1"/>
    <col min="18" max="18" width="13" bestFit="1" customWidth="1"/>
    <col min="19" max="19" width="22.77734375" bestFit="1" customWidth="1"/>
    <col min="20" max="20" width="13.21875" bestFit="1" customWidth="1"/>
    <col min="21" max="21" width="12.33203125" bestFit="1" customWidth="1"/>
    <col min="22" max="22" width="13" bestFit="1" customWidth="1"/>
    <col min="23" max="23" width="12.44140625" bestFit="1" customWidth="1"/>
  </cols>
  <sheetData>
    <row r="1" spans="1:2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37</v>
      </c>
      <c r="G1" s="2" t="s">
        <v>40</v>
      </c>
      <c r="H1" s="3" t="s">
        <v>41</v>
      </c>
      <c r="I1" s="2"/>
      <c r="J1" s="2" t="s">
        <v>60</v>
      </c>
      <c r="K1" s="2" t="s">
        <v>61</v>
      </c>
      <c r="L1" s="2" t="s">
        <v>80</v>
      </c>
      <c r="M1" s="2" t="s">
        <v>78</v>
      </c>
    </row>
    <row r="2" spans="1:20" x14ac:dyDescent="0.3">
      <c r="A2" s="15" t="s">
        <v>5</v>
      </c>
      <c r="B2">
        <v>208.800003</v>
      </c>
      <c r="C2">
        <v>4850.4301759999998</v>
      </c>
      <c r="F2" t="s">
        <v>38</v>
      </c>
      <c r="G2" s="4">
        <v>-6.3E-3</v>
      </c>
      <c r="H2" s="4">
        <v>1.6000000000000001E-3</v>
      </c>
      <c r="O2" t="s">
        <v>62</v>
      </c>
    </row>
    <row r="3" spans="1:20" ht="15" thickBot="1" x14ac:dyDescent="0.35">
      <c r="A3" s="15" t="s">
        <v>6</v>
      </c>
      <c r="B3">
        <v>209.13999899999999</v>
      </c>
      <c r="C3">
        <v>4864.6000979999999</v>
      </c>
      <c r="D3" s="1">
        <f xml:space="preserve"> (B3-B2)/B2</f>
        <v>1.6283333099376684E-3</v>
      </c>
      <c r="E3" s="1">
        <f>(C3-C2)/C2</f>
        <v>2.9213742876071126E-3</v>
      </c>
      <c r="F3" s="1">
        <v>5.2499999999999998E-2</v>
      </c>
      <c r="G3" s="4">
        <v>-0.12130000000000001</v>
      </c>
      <c r="H3" s="4">
        <v>3.3999999999999998E-3</v>
      </c>
      <c r="J3" s="1">
        <f>D3-$F$5</f>
        <v>1.4199999766043351E-3</v>
      </c>
      <c r="K3" s="1">
        <f>E3-$F$5</f>
        <v>2.7130409542737793E-3</v>
      </c>
      <c r="L3" s="1">
        <v>-1.3025708375908533E-3</v>
      </c>
      <c r="M3" s="11">
        <f>J3-L3</f>
        <v>2.7225708141951884E-3</v>
      </c>
    </row>
    <row r="4" spans="1:20" x14ac:dyDescent="0.3">
      <c r="A4" s="15" t="s">
        <v>7</v>
      </c>
      <c r="B4">
        <v>207.83000200000001</v>
      </c>
      <c r="C4">
        <v>4868.5498049999997</v>
      </c>
      <c r="D4" s="1">
        <f xml:space="preserve"> (B4-B3)/B3</f>
        <v>-6.2637324579884954E-3</v>
      </c>
      <c r="E4" s="1">
        <f t="shared" ref="E4:E53" si="0">(C4-C3)/C3</f>
        <v>8.1192840530172649E-4</v>
      </c>
      <c r="F4" t="s">
        <v>39</v>
      </c>
      <c r="G4" s="4">
        <v>-2.24E-2</v>
      </c>
      <c r="H4" s="4">
        <v>4.19E-2</v>
      </c>
      <c r="J4" s="1">
        <f t="shared" ref="J4:J53" si="1">D4-$F$5</f>
        <v>-6.4720657913218283E-3</v>
      </c>
      <c r="K4" s="1">
        <f t="shared" ref="K4:K53" si="2">E4-$F$5</f>
        <v>6.0359507196839322E-4</v>
      </c>
      <c r="L4" s="1">
        <v>-4.1065625878735253E-3</v>
      </c>
      <c r="M4" s="11">
        <f t="shared" ref="M4:M53" si="3">J4-L4</f>
        <v>-2.365503203448303E-3</v>
      </c>
      <c r="O4" s="7" t="s">
        <v>63</v>
      </c>
      <c r="P4" s="7"/>
    </row>
    <row r="5" spans="1:20" x14ac:dyDescent="0.3">
      <c r="A5" s="15" t="s">
        <v>8</v>
      </c>
      <c r="B5">
        <v>182.63000500000001</v>
      </c>
      <c r="C5">
        <v>4894.1601559999999</v>
      </c>
      <c r="D5" s="1">
        <f t="shared" ref="D5:D53" si="4" xml:space="preserve"> (B5-B4)/B4</f>
        <v>-0.12125293151852058</v>
      </c>
      <c r="E5" s="1">
        <f t="shared" si="0"/>
        <v>5.2603654118313506E-3</v>
      </c>
      <c r="F5" s="1">
        <f>F3/252</f>
        <v>2.0833333333333332E-4</v>
      </c>
      <c r="G5" s="4">
        <v>-5.0000000000000001E-3</v>
      </c>
      <c r="H5" s="4">
        <v>3.5000000000000001E-3</v>
      </c>
      <c r="J5" s="1">
        <f t="shared" si="1"/>
        <v>-0.12146126485185392</v>
      </c>
      <c r="K5" s="1">
        <f t="shared" si="2"/>
        <v>5.0520320784980177E-3</v>
      </c>
      <c r="L5" s="1">
        <v>1.8065451019664315E-3</v>
      </c>
      <c r="M5" s="11">
        <f t="shared" si="3"/>
        <v>-0.12326780995382035</v>
      </c>
      <c r="O5" t="s">
        <v>64</v>
      </c>
      <c r="P5">
        <v>0.29977937199549293</v>
      </c>
    </row>
    <row r="6" spans="1:20" x14ac:dyDescent="0.3">
      <c r="A6" s="15" t="s">
        <v>9</v>
      </c>
      <c r="B6">
        <v>183.25</v>
      </c>
      <c r="C6">
        <v>4890.9702150000003</v>
      </c>
      <c r="D6" s="1">
        <f t="shared" si="4"/>
        <v>3.3948145596337728E-3</v>
      </c>
      <c r="E6" s="1">
        <f t="shared" si="0"/>
        <v>-6.5178516810262621E-4</v>
      </c>
      <c r="G6" s="4">
        <v>-3.6499999999999998E-2</v>
      </c>
      <c r="H6" s="4">
        <v>8.3999999999999995E-3</v>
      </c>
      <c r="J6" s="1">
        <f t="shared" si="1"/>
        <v>3.1864812263004394E-3</v>
      </c>
      <c r="K6" s="1">
        <f t="shared" si="2"/>
        <v>-8.6011850143595959E-4</v>
      </c>
      <c r="L6" s="1">
        <v>-6.0522113570740431E-3</v>
      </c>
      <c r="M6" s="11">
        <f t="shared" si="3"/>
        <v>9.2386925833744821E-3</v>
      </c>
      <c r="O6" t="s">
        <v>65</v>
      </c>
      <c r="P6">
        <v>8.9867671874012123E-2</v>
      </c>
    </row>
    <row r="7" spans="1:20" x14ac:dyDescent="0.3">
      <c r="A7" s="15" t="s">
        <v>10</v>
      </c>
      <c r="B7">
        <v>190.929993</v>
      </c>
      <c r="C7">
        <v>4927.9301759999998</v>
      </c>
      <c r="D7" s="1">
        <f t="shared" si="4"/>
        <v>4.1909920873124125E-2</v>
      </c>
      <c r="E7" s="1">
        <f t="shared" si="0"/>
        <v>7.5567749087180986E-3</v>
      </c>
      <c r="G7" s="4">
        <v>-2.81E-2</v>
      </c>
      <c r="H7" s="4">
        <v>2.23E-2</v>
      </c>
      <c r="J7" s="1">
        <f t="shared" si="1"/>
        <v>4.1701587539790794E-2</v>
      </c>
      <c r="K7" s="1">
        <f t="shared" si="2"/>
        <v>7.3484415753847657E-3</v>
      </c>
      <c r="L7" s="1">
        <v>4.8590591951480962E-3</v>
      </c>
      <c r="M7" s="11">
        <f t="shared" si="3"/>
        <v>3.6842528344642696E-2</v>
      </c>
      <c r="O7" t="s">
        <v>66</v>
      </c>
      <c r="P7">
        <v>7.1293542728583806E-2</v>
      </c>
    </row>
    <row r="8" spans="1:20" x14ac:dyDescent="0.3">
      <c r="A8" s="15" t="s">
        <v>11</v>
      </c>
      <c r="B8">
        <v>191.58999600000001</v>
      </c>
      <c r="C8">
        <v>4924.9702150000003</v>
      </c>
      <c r="D8" s="1">
        <f t="shared" si="4"/>
        <v>3.4567800984521978E-3</v>
      </c>
      <c r="E8" s="1">
        <f t="shared" si="0"/>
        <v>-6.0064994719591716E-4</v>
      </c>
      <c r="G8" s="4">
        <v>-2.18E-2</v>
      </c>
      <c r="H8" s="4">
        <v>1.34E-2</v>
      </c>
      <c r="J8" s="1">
        <f t="shared" si="1"/>
        <v>3.2484467651188644E-3</v>
      </c>
      <c r="K8" s="1">
        <f t="shared" si="2"/>
        <v>-8.0898328052925053E-4</v>
      </c>
      <c r="L8" s="1">
        <v>-5.9842396026080821E-3</v>
      </c>
      <c r="M8" s="11">
        <f t="shared" si="3"/>
        <v>9.2326863677269465E-3</v>
      </c>
      <c r="O8" t="s">
        <v>67</v>
      </c>
      <c r="P8">
        <v>3.0387091477203167E-2</v>
      </c>
    </row>
    <row r="9" spans="1:20" ht="15" thickBot="1" x14ac:dyDescent="0.35">
      <c r="A9" s="15" t="s">
        <v>12</v>
      </c>
      <c r="B9">
        <v>187.28999300000001</v>
      </c>
      <c r="C9">
        <v>4845.6499020000001</v>
      </c>
      <c r="D9" s="1">
        <f t="shared" si="4"/>
        <v>-2.2443776239757338E-2</v>
      </c>
      <c r="E9" s="1">
        <f t="shared" si="0"/>
        <v>-1.6105744712610441E-2</v>
      </c>
      <c r="G9" s="4">
        <v>-2.5000000000000001E-3</v>
      </c>
      <c r="H9" s="4">
        <v>1.06E-2</v>
      </c>
      <c r="J9" s="1">
        <f t="shared" si="1"/>
        <v>-2.2652109573090672E-2</v>
      </c>
      <c r="K9" s="1">
        <f t="shared" si="2"/>
        <v>-1.6314078045943776E-2</v>
      </c>
      <c r="L9" s="1">
        <v>-2.6594466285484078E-2</v>
      </c>
      <c r="M9" s="11">
        <f t="shared" si="3"/>
        <v>3.9423567123934057E-3</v>
      </c>
      <c r="O9" s="5" t="s">
        <v>68</v>
      </c>
      <c r="P9" s="5">
        <v>51</v>
      </c>
    </row>
    <row r="10" spans="1:20" x14ac:dyDescent="0.3">
      <c r="A10" s="16">
        <v>45293</v>
      </c>
      <c r="B10">
        <v>188.86000100000001</v>
      </c>
      <c r="C10">
        <v>4906.1899409999996</v>
      </c>
      <c r="D10" s="1">
        <f t="shared" si="4"/>
        <v>8.3827650097675066E-3</v>
      </c>
      <c r="E10" s="1">
        <f t="shared" si="0"/>
        <v>1.2493688199597777E-2</v>
      </c>
      <c r="G10" s="4">
        <v>-3.1E-2</v>
      </c>
      <c r="H10" s="4">
        <v>2.12E-2</v>
      </c>
      <c r="J10" s="1">
        <f t="shared" si="1"/>
        <v>8.1744316764341737E-3</v>
      </c>
      <c r="K10" s="1">
        <f t="shared" si="2"/>
        <v>1.2285354866264444E-2</v>
      </c>
      <c r="L10" s="1">
        <v>1.1421476489474979E-2</v>
      </c>
      <c r="M10" s="11">
        <f t="shared" si="3"/>
        <v>-3.2470448130408058E-3</v>
      </c>
    </row>
    <row r="11" spans="1:20" ht="15" thickBot="1" x14ac:dyDescent="0.35">
      <c r="A11" s="16">
        <v>45324</v>
      </c>
      <c r="B11">
        <v>187.91000399999999</v>
      </c>
      <c r="C11">
        <v>4958.6098629999997</v>
      </c>
      <c r="D11" s="1">
        <f t="shared" si="4"/>
        <v>-5.0301651751025068E-3</v>
      </c>
      <c r="E11" s="1">
        <f t="shared" si="0"/>
        <v>1.0684446103877421E-2</v>
      </c>
      <c r="G11" s="4">
        <v>-2.76E-2</v>
      </c>
      <c r="H11" s="4">
        <v>2.5499999999999998E-2</v>
      </c>
      <c r="J11" s="1">
        <f t="shared" si="1"/>
        <v>-5.2384985084358397E-3</v>
      </c>
      <c r="K11" s="1">
        <f t="shared" si="2"/>
        <v>1.0476112770544088E-2</v>
      </c>
      <c r="L11" s="1">
        <v>9.0165321611001322E-3</v>
      </c>
      <c r="M11" s="11">
        <f t="shared" si="3"/>
        <v>-1.4255030669535972E-2</v>
      </c>
      <c r="O11" t="s">
        <v>49</v>
      </c>
    </row>
    <row r="12" spans="1:20" x14ac:dyDescent="0.3">
      <c r="A12" s="16">
        <v>45414</v>
      </c>
      <c r="B12">
        <v>181.05999800000001</v>
      </c>
      <c r="C12">
        <v>4942.8100590000004</v>
      </c>
      <c r="D12" s="1">
        <f t="shared" si="4"/>
        <v>-3.6453652568705065E-2</v>
      </c>
      <c r="E12" s="1">
        <f t="shared" si="0"/>
        <v>-3.1863373882050688E-3</v>
      </c>
      <c r="G12" s="4">
        <v>-8.0000000000000004E-4</v>
      </c>
      <c r="H12" s="4">
        <v>6.2199999999999998E-2</v>
      </c>
      <c r="J12" s="1">
        <f t="shared" si="1"/>
        <v>-3.6661985902038396E-2</v>
      </c>
      <c r="K12" s="1">
        <f t="shared" si="2"/>
        <v>-3.3946707215384022E-3</v>
      </c>
      <c r="L12" s="1">
        <v>-9.4212778856075374E-3</v>
      </c>
      <c r="M12" s="11">
        <f t="shared" si="3"/>
        <v>-2.7240708016430859E-2</v>
      </c>
      <c r="O12" s="6"/>
      <c r="P12" s="6" t="s">
        <v>52</v>
      </c>
      <c r="Q12" s="6" t="s">
        <v>51</v>
      </c>
      <c r="R12" s="6" t="s">
        <v>53</v>
      </c>
      <c r="S12" s="6" t="s">
        <v>54</v>
      </c>
      <c r="T12" s="6" t="s">
        <v>72</v>
      </c>
    </row>
    <row r="13" spans="1:20" x14ac:dyDescent="0.3">
      <c r="A13" s="16">
        <v>45445</v>
      </c>
      <c r="B13">
        <v>185.10000600000001</v>
      </c>
      <c r="C13">
        <v>4954.2299800000001</v>
      </c>
      <c r="D13" s="1">
        <f t="shared" si="4"/>
        <v>2.2313089830035236E-2</v>
      </c>
      <c r="E13" s="1">
        <f t="shared" si="0"/>
        <v>2.3104106497489232E-3</v>
      </c>
      <c r="G13" s="4">
        <v>-7.1599999999999997E-2</v>
      </c>
      <c r="H13" s="4">
        <v>5.1999999999999998E-3</v>
      </c>
      <c r="J13" s="1">
        <f t="shared" si="1"/>
        <v>2.2104756496701902E-2</v>
      </c>
      <c r="K13" s="1">
        <f t="shared" si="2"/>
        <v>2.1020773164155898E-3</v>
      </c>
      <c r="L13" s="1">
        <v>-2.114697384494625E-3</v>
      </c>
      <c r="M13" s="11">
        <f t="shared" si="3"/>
        <v>2.4219453881196527E-2</v>
      </c>
      <c r="O13" t="s">
        <v>69</v>
      </c>
      <c r="P13">
        <v>1</v>
      </c>
      <c r="Q13">
        <v>4.4675898602535638E-3</v>
      </c>
      <c r="R13">
        <v>4.4675898602535638E-3</v>
      </c>
      <c r="S13">
        <v>4.8383249179750312</v>
      </c>
      <c r="T13">
        <v>3.2581653202347571E-2</v>
      </c>
    </row>
    <row r="14" spans="1:20" x14ac:dyDescent="0.3">
      <c r="A14" s="16">
        <v>45475</v>
      </c>
      <c r="B14">
        <v>187.58000200000001</v>
      </c>
      <c r="C14">
        <v>4995.0600590000004</v>
      </c>
      <c r="D14" s="1">
        <f t="shared" si="4"/>
        <v>1.3398141110811199E-2</v>
      </c>
      <c r="E14" s="1">
        <f t="shared" si="0"/>
        <v>8.2414581407866533E-3</v>
      </c>
      <c r="G14" s="4">
        <v>-3.9300000000000002E-2</v>
      </c>
      <c r="H14" s="4">
        <v>1.3599999999999999E-2</v>
      </c>
      <c r="J14" s="1">
        <f t="shared" si="1"/>
        <v>1.3189807777477866E-2</v>
      </c>
      <c r="K14" s="1">
        <f t="shared" si="2"/>
        <v>8.0331248074533203E-3</v>
      </c>
      <c r="L14" s="1">
        <v>5.7691778904800321E-3</v>
      </c>
      <c r="M14" s="11">
        <f t="shared" si="3"/>
        <v>7.4206298869978343E-3</v>
      </c>
      <c r="O14" t="s">
        <v>70</v>
      </c>
      <c r="P14">
        <v>49</v>
      </c>
      <c r="Q14">
        <v>4.5245391093751752E-2</v>
      </c>
      <c r="R14">
        <v>9.2337532844391328E-4</v>
      </c>
    </row>
    <row r="15" spans="1:20" ht="15" thickBot="1" x14ac:dyDescent="0.35">
      <c r="A15" s="16">
        <v>45506</v>
      </c>
      <c r="B15">
        <v>189.55999800000001</v>
      </c>
      <c r="C15">
        <v>4997.9101559999999</v>
      </c>
      <c r="D15" s="1">
        <f t="shared" si="4"/>
        <v>1.0555474884790757E-2</v>
      </c>
      <c r="E15" s="1">
        <f t="shared" si="0"/>
        <v>5.7058312939887524E-4</v>
      </c>
      <c r="G15" s="4">
        <v>-2.3199999999999998E-2</v>
      </c>
      <c r="H15" s="4">
        <v>3.8699999999999998E-2</v>
      </c>
      <c r="J15" s="1">
        <f t="shared" si="1"/>
        <v>1.0347141551457424E-2</v>
      </c>
      <c r="K15" s="1">
        <f t="shared" si="2"/>
        <v>3.6224979606554192E-4</v>
      </c>
      <c r="L15" s="1">
        <v>-4.4273720327983228E-3</v>
      </c>
      <c r="M15" s="11">
        <f t="shared" si="3"/>
        <v>1.4774513584255747E-2</v>
      </c>
      <c r="O15" s="5" t="s">
        <v>59</v>
      </c>
      <c r="P15" s="5">
        <v>50</v>
      </c>
      <c r="Q15" s="5">
        <v>4.9712980954005316E-2</v>
      </c>
      <c r="R15" s="5"/>
      <c r="S15" s="5"/>
      <c r="T15" s="5"/>
    </row>
    <row r="16" spans="1:20" ht="15" thickBot="1" x14ac:dyDescent="0.35">
      <c r="A16" s="16">
        <v>45537</v>
      </c>
      <c r="B16">
        <v>193.570007</v>
      </c>
      <c r="C16">
        <v>5026.6098629999997</v>
      </c>
      <c r="D16" s="1">
        <f t="shared" si="4"/>
        <v>2.1154299653453237E-2</v>
      </c>
      <c r="E16" s="1">
        <f t="shared" si="0"/>
        <v>5.7423415195940871E-3</v>
      </c>
      <c r="G16" s="4">
        <v>-1.8499999999999999E-2</v>
      </c>
      <c r="H16" s="4">
        <v>1.6999999999999999E-3</v>
      </c>
      <c r="J16" s="1">
        <f t="shared" si="1"/>
        <v>2.0945966320119903E-2</v>
      </c>
      <c r="K16" s="1">
        <f t="shared" si="2"/>
        <v>5.5340081862607542E-3</v>
      </c>
      <c r="L16" s="1">
        <v>2.44721431341028E-3</v>
      </c>
      <c r="M16" s="11">
        <f t="shared" si="3"/>
        <v>1.8498752006709623E-2</v>
      </c>
    </row>
    <row r="17" spans="1:23" x14ac:dyDescent="0.3">
      <c r="A17" s="16">
        <v>45628</v>
      </c>
      <c r="B17">
        <v>188.13000500000001</v>
      </c>
      <c r="C17">
        <v>5021.8398440000001</v>
      </c>
      <c r="D17" s="1">
        <f t="shared" si="4"/>
        <v>-2.8103537755206014E-2</v>
      </c>
      <c r="E17" s="1">
        <f t="shared" si="0"/>
        <v>-9.4895349549820301E-4</v>
      </c>
      <c r="G17" s="4">
        <v>-1.2999999999999999E-3</v>
      </c>
      <c r="H17" s="4">
        <v>1.1599999999999999E-2</v>
      </c>
      <c r="J17" s="1">
        <f t="shared" si="1"/>
        <v>-2.8311871088539348E-2</v>
      </c>
      <c r="K17" s="1">
        <f t="shared" si="2"/>
        <v>-1.1572868288315364E-3</v>
      </c>
      <c r="L17" s="1">
        <v>-6.4472238792971023E-3</v>
      </c>
      <c r="M17" s="11">
        <f t="shared" si="3"/>
        <v>-2.1864647209242246E-2</v>
      </c>
      <c r="O17" s="6"/>
      <c r="P17" s="6" t="s">
        <v>73</v>
      </c>
      <c r="Q17" s="6" t="s">
        <v>67</v>
      </c>
      <c r="R17" s="6" t="s">
        <v>74</v>
      </c>
      <c r="S17" s="6" t="s">
        <v>55</v>
      </c>
      <c r="T17" s="6" t="s">
        <v>75</v>
      </c>
      <c r="U17" s="6" t="s">
        <v>76</v>
      </c>
      <c r="V17" s="12"/>
      <c r="W17" s="12"/>
    </row>
    <row r="18" spans="1:23" x14ac:dyDescent="0.3">
      <c r="A18" s="15" t="s">
        <v>13</v>
      </c>
      <c r="B18">
        <v>184.020004</v>
      </c>
      <c r="C18">
        <v>4953.169922</v>
      </c>
      <c r="D18" s="1">
        <f t="shared" si="4"/>
        <v>-2.1846600174172167E-2</v>
      </c>
      <c r="E18" s="1">
        <f t="shared" si="0"/>
        <v>-1.3674255677835997E-2</v>
      </c>
      <c r="G18" s="4">
        <v>-4.5400000000000003E-2</v>
      </c>
      <c r="H18" s="4">
        <v>3.8E-3</v>
      </c>
      <c r="J18" s="1">
        <f t="shared" si="1"/>
        <v>-2.2054933507505502E-2</v>
      </c>
      <c r="K18" s="1">
        <f t="shared" si="2"/>
        <v>-1.388258901116933E-2</v>
      </c>
      <c r="L18" s="1">
        <v>-2.336239702426219E-2</v>
      </c>
      <c r="M18" s="11">
        <f t="shared" si="3"/>
        <v>1.3074635167566878E-3</v>
      </c>
      <c r="O18" t="s">
        <v>71</v>
      </c>
      <c r="P18">
        <v>-4.9088944308032737E-3</v>
      </c>
      <c r="Q18">
        <v>4.2961902781897838E-3</v>
      </c>
      <c r="R18">
        <v>-1.1426156927275706</v>
      </c>
      <c r="S18">
        <v>0.25875060903782771</v>
      </c>
      <c r="T18">
        <v>-1.3542412027848838E-2</v>
      </c>
      <c r="U18">
        <v>3.7246231662422906E-3</v>
      </c>
    </row>
    <row r="19" spans="1:23" ht="15" thickBot="1" x14ac:dyDescent="0.35">
      <c r="A19" s="15" t="s">
        <v>14</v>
      </c>
      <c r="B19">
        <v>188.71000699999999</v>
      </c>
      <c r="C19">
        <v>5000.6201170000004</v>
      </c>
      <c r="D19" s="1">
        <f t="shared" si="4"/>
        <v>2.5486375926825816E-2</v>
      </c>
      <c r="E19" s="1">
        <f t="shared" si="0"/>
        <v>9.5797632116850183E-3</v>
      </c>
      <c r="G19" s="4">
        <v>-4.1200000000000001E-2</v>
      </c>
      <c r="H19" s="4">
        <v>1.2E-2</v>
      </c>
      <c r="J19" s="1">
        <f t="shared" si="1"/>
        <v>2.5278042593492481E-2</v>
      </c>
      <c r="K19" s="1">
        <f t="shared" si="2"/>
        <v>9.3714298783516854E-3</v>
      </c>
      <c r="L19" s="1">
        <v>7.5481267649869805E-3</v>
      </c>
      <c r="M19" s="11">
        <f t="shared" si="3"/>
        <v>1.7729915828505499E-2</v>
      </c>
      <c r="O19" s="5" t="s">
        <v>77</v>
      </c>
      <c r="P19" s="5">
        <v>1.3292551251507934</v>
      </c>
      <c r="Q19" s="5">
        <v>0.60431145759538452</v>
      </c>
      <c r="R19" s="5">
        <v>2.1996192665947985</v>
      </c>
      <c r="S19" s="5">
        <v>3.258165320234746E-2</v>
      </c>
      <c r="T19" s="5">
        <v>0.11484578445363258</v>
      </c>
      <c r="U19" s="5">
        <v>2.5436644658479541</v>
      </c>
    </row>
    <row r="20" spans="1:23" x14ac:dyDescent="0.3">
      <c r="A20" s="15" t="s">
        <v>15</v>
      </c>
      <c r="B20">
        <v>200.449997</v>
      </c>
      <c r="C20">
        <v>5029.7299800000001</v>
      </c>
      <c r="D20" s="1">
        <f t="shared" si="4"/>
        <v>6.221180416786274E-2</v>
      </c>
      <c r="E20" s="1">
        <f t="shared" si="0"/>
        <v>5.8212506287047107E-3</v>
      </c>
      <c r="G20" s="4">
        <v>-1.43E-2</v>
      </c>
      <c r="H20" s="4">
        <v>1.3899999999999999E-2</v>
      </c>
      <c r="J20" s="1">
        <f t="shared" si="1"/>
        <v>6.2003470834529409E-2</v>
      </c>
      <c r="K20" s="1">
        <f t="shared" si="2"/>
        <v>5.6129172953713778E-3</v>
      </c>
      <c r="L20" s="1">
        <v>2.5521046511166601E-3</v>
      </c>
      <c r="M20" s="11">
        <f t="shared" si="3"/>
        <v>5.9451366183412749E-2</v>
      </c>
    </row>
    <row r="21" spans="1:23" x14ac:dyDescent="0.3">
      <c r="A21" s="15" t="s">
        <v>16</v>
      </c>
      <c r="B21">
        <v>199.949997</v>
      </c>
      <c r="C21">
        <v>5005.5698240000002</v>
      </c>
      <c r="D21" s="1">
        <f t="shared" si="4"/>
        <v>-2.4943876651691843E-3</v>
      </c>
      <c r="E21" s="1">
        <f t="shared" si="0"/>
        <v>-4.8034697878552744E-3</v>
      </c>
      <c r="G21" s="4">
        <v>-1.6199999999999999E-2</v>
      </c>
      <c r="H21" s="4">
        <v>6.6E-3</v>
      </c>
      <c r="J21" s="1">
        <f t="shared" si="1"/>
        <v>-2.7027209985025177E-3</v>
      </c>
      <c r="K21" s="1">
        <f t="shared" si="2"/>
        <v>-5.0118031211886073E-3</v>
      </c>
      <c r="L21" s="1">
        <v>-1.1570859415889973E-2</v>
      </c>
      <c r="M21" s="11">
        <f t="shared" si="3"/>
        <v>8.8681384173874556E-3</v>
      </c>
    </row>
    <row r="22" spans="1:23" x14ac:dyDescent="0.3">
      <c r="A22" s="15" t="s">
        <v>17</v>
      </c>
      <c r="B22">
        <v>193.759995</v>
      </c>
      <c r="C22">
        <v>4975.5097660000001</v>
      </c>
      <c r="D22" s="1">
        <f t="shared" si="4"/>
        <v>-3.0957749901841674E-2</v>
      </c>
      <c r="E22" s="1">
        <f t="shared" si="0"/>
        <v>-6.0053218828098852E-3</v>
      </c>
      <c r="G22" s="4">
        <v>-1.15E-2</v>
      </c>
      <c r="H22" s="4">
        <v>6.25E-2</v>
      </c>
      <c r="J22" s="1">
        <f t="shared" si="1"/>
        <v>-3.1166083235175009E-2</v>
      </c>
      <c r="K22" s="1">
        <f t="shared" si="2"/>
        <v>-6.2136552161432181E-3</v>
      </c>
      <c r="L22" s="1">
        <v>-1.3168427472781607E-2</v>
      </c>
      <c r="M22" s="11">
        <f t="shared" si="3"/>
        <v>-1.79976557623934E-2</v>
      </c>
      <c r="O22" t="s">
        <v>81</v>
      </c>
    </row>
    <row r="23" spans="1:23" ht="15" thickBot="1" x14ac:dyDescent="0.35">
      <c r="A23" s="15" t="s">
        <v>18</v>
      </c>
      <c r="B23">
        <v>194.770004</v>
      </c>
      <c r="C23">
        <v>4981.7998049999997</v>
      </c>
      <c r="D23" s="1">
        <f t="shared" si="4"/>
        <v>5.2126807703519844E-3</v>
      </c>
      <c r="E23" s="1">
        <f t="shared" si="0"/>
        <v>1.2641999103252335E-3</v>
      </c>
      <c r="G23" s="4">
        <v>-2.2499999999999999E-2</v>
      </c>
      <c r="H23" s="4">
        <v>2.53E-2</v>
      </c>
      <c r="J23" s="1">
        <f t="shared" si="1"/>
        <v>5.0043474370186514E-3</v>
      </c>
      <c r="K23" s="1">
        <f t="shared" si="2"/>
        <v>1.0558665769919001E-3</v>
      </c>
      <c r="L23" s="1">
        <v>-3.5053783718613655E-3</v>
      </c>
      <c r="M23" s="11">
        <f t="shared" si="3"/>
        <v>8.5097258088800178E-3</v>
      </c>
    </row>
    <row r="24" spans="1:23" x14ac:dyDescent="0.3">
      <c r="A24" s="15" t="s">
        <v>19</v>
      </c>
      <c r="B24">
        <v>197.41000399999999</v>
      </c>
      <c r="C24">
        <v>5087.0297849999997</v>
      </c>
      <c r="D24" s="1">
        <f t="shared" si="4"/>
        <v>1.3554448558721529E-2</v>
      </c>
      <c r="E24" s="1">
        <f t="shared" si="0"/>
        <v>2.1122884121996564E-2</v>
      </c>
      <c r="G24" s="4">
        <v>-3.2000000000000002E-3</v>
      </c>
      <c r="H24" s="4">
        <v>1.0500000000000001E-2</v>
      </c>
      <c r="J24" s="1">
        <f t="shared" si="1"/>
        <v>1.3346115225388196E-2</v>
      </c>
      <c r="K24" s="1">
        <f t="shared" si="2"/>
        <v>2.0914550788663229E-2</v>
      </c>
      <c r="L24" s="1">
        <v>2.2891879395253889E-2</v>
      </c>
      <c r="M24" s="11">
        <f t="shared" si="3"/>
        <v>-9.5457641698656927E-3</v>
      </c>
      <c r="O24" s="7" t="s">
        <v>63</v>
      </c>
      <c r="P24" s="7"/>
    </row>
    <row r="25" spans="1:23" x14ac:dyDescent="0.3">
      <c r="A25" s="15" t="s">
        <v>20</v>
      </c>
      <c r="B25">
        <v>191.970001</v>
      </c>
      <c r="C25">
        <v>5088.7998049999997</v>
      </c>
      <c r="D25" s="1">
        <f t="shared" si="4"/>
        <v>-2.7556875992971411E-2</v>
      </c>
      <c r="E25" s="1">
        <f t="shared" si="0"/>
        <v>3.4794763836829619E-4</v>
      </c>
      <c r="G25" s="4">
        <v>-4.9000000000000002E-2</v>
      </c>
      <c r="H25" s="4">
        <v>2.92E-2</v>
      </c>
      <c r="J25" s="1">
        <f t="shared" si="1"/>
        <v>-2.7765209326304746E-2</v>
      </c>
      <c r="K25" s="1">
        <f t="shared" si="2"/>
        <v>1.3961430503496287E-4</v>
      </c>
      <c r="L25" s="1">
        <v>-4.723311400291183E-3</v>
      </c>
      <c r="M25" s="11">
        <f t="shared" si="3"/>
        <v>-2.3041897926013563E-2</v>
      </c>
      <c r="O25" t="s">
        <v>64</v>
      </c>
      <c r="P25" s="9">
        <f>CORREL(L3:L53,J3:J53)</f>
        <v>0.29977937199549309</v>
      </c>
    </row>
    <row r="26" spans="1:23" x14ac:dyDescent="0.3">
      <c r="A26" s="15" t="s">
        <v>21</v>
      </c>
      <c r="B26">
        <v>199.39999399999999</v>
      </c>
      <c r="C26">
        <v>5069.5297849999997</v>
      </c>
      <c r="D26" s="1">
        <f t="shared" si="4"/>
        <v>3.8703927495421515E-2</v>
      </c>
      <c r="E26" s="1">
        <f t="shared" si="0"/>
        <v>-3.7867514420720926E-3</v>
      </c>
      <c r="H26" s="4">
        <v>1.2200000000000001E-2</v>
      </c>
      <c r="J26" s="1">
        <f t="shared" si="1"/>
        <v>3.8495594162088184E-2</v>
      </c>
      <c r="K26" s="1">
        <f t="shared" si="2"/>
        <v>-3.9950847754054259E-3</v>
      </c>
      <c r="L26" s="1">
        <v>-1.0219381343922841E-2</v>
      </c>
      <c r="M26" s="11">
        <f t="shared" si="3"/>
        <v>4.8714975506011025E-2</v>
      </c>
      <c r="O26" t="s">
        <v>65</v>
      </c>
      <c r="P26" s="9">
        <f>Q34/Q36</f>
        <v>8.9867671874012511E-2</v>
      </c>
    </row>
    <row r="27" spans="1:23" x14ac:dyDescent="0.3">
      <c r="A27" s="15" t="s">
        <v>22</v>
      </c>
      <c r="B27">
        <v>199.729996</v>
      </c>
      <c r="C27">
        <v>5078.1801759999998</v>
      </c>
      <c r="D27" s="1">
        <f t="shared" si="4"/>
        <v>1.6549749745730057E-3</v>
      </c>
      <c r="E27" s="1">
        <f t="shared" si="0"/>
        <v>1.7063497734238339E-3</v>
      </c>
      <c r="H27" s="4">
        <v>1.0500000000000001E-2</v>
      </c>
      <c r="J27" s="1">
        <f t="shared" si="1"/>
        <v>1.4466416412396723E-3</v>
      </c>
      <c r="K27" s="1">
        <f t="shared" si="2"/>
        <v>1.4980164400905005E-3</v>
      </c>
      <c r="L27" s="1">
        <v>-2.9176484002528297E-3</v>
      </c>
      <c r="M27" s="11">
        <f t="shared" si="3"/>
        <v>4.364290041492502E-3</v>
      </c>
      <c r="O27" t="s">
        <v>66</v>
      </c>
      <c r="P27" s="9">
        <f>1-(1-P26)*(P36/P35)</f>
        <v>7.1293542728584236E-2</v>
      </c>
    </row>
    <row r="28" spans="1:23" x14ac:dyDescent="0.3">
      <c r="A28" s="15" t="s">
        <v>23</v>
      </c>
      <c r="B28">
        <v>202.03999300000001</v>
      </c>
      <c r="C28">
        <v>5069.7597660000001</v>
      </c>
      <c r="D28" s="1">
        <f t="shared" si="4"/>
        <v>1.156559878967809E-2</v>
      </c>
      <c r="E28" s="1">
        <f t="shared" si="0"/>
        <v>-1.6581550295902143E-3</v>
      </c>
      <c r="H28" s="4">
        <v>1.6199999999999999E-2</v>
      </c>
      <c r="J28" s="1">
        <f t="shared" si="1"/>
        <v>1.1357265456344757E-2</v>
      </c>
      <c r="K28" s="1">
        <f t="shared" si="2"/>
        <v>-1.8664883629235477E-3</v>
      </c>
      <c r="L28" s="1">
        <v>-7.3899336532537137E-3</v>
      </c>
      <c r="M28" s="11">
        <f t="shared" si="3"/>
        <v>1.8747199109598472E-2</v>
      </c>
      <c r="O28" t="s">
        <v>67</v>
      </c>
      <c r="P28" s="9">
        <f>SQRT(R35)</f>
        <v>3.0387091477203164E-2</v>
      </c>
    </row>
    <row r="29" spans="1:23" ht="15" thickBot="1" x14ac:dyDescent="0.35">
      <c r="A29" s="15" t="s">
        <v>24</v>
      </c>
      <c r="B29">
        <v>201.88000500000001</v>
      </c>
      <c r="C29">
        <v>5096.2700199999999</v>
      </c>
      <c r="D29" s="1">
        <f t="shared" si="4"/>
        <v>-7.918630248616097E-4</v>
      </c>
      <c r="E29" s="1">
        <f t="shared" si="0"/>
        <v>5.2290947152543645E-3</v>
      </c>
      <c r="J29" s="1">
        <f t="shared" si="1"/>
        <v>-1.000196358194943E-3</v>
      </c>
      <c r="K29" s="1">
        <f t="shared" si="2"/>
        <v>5.0207613819210316E-3</v>
      </c>
      <c r="L29" s="1">
        <v>1.7649783682744374E-3</v>
      </c>
      <c r="M29" s="11">
        <f t="shared" si="3"/>
        <v>-2.7651747264693803E-3</v>
      </c>
      <c r="O29" s="5" t="s">
        <v>68</v>
      </c>
      <c r="P29" s="10">
        <f>COUNT(M3:M53)</f>
        <v>51</v>
      </c>
    </row>
    <row r="30" spans="1:23" x14ac:dyDescent="0.3">
      <c r="A30" s="16">
        <v>45294</v>
      </c>
      <c r="B30">
        <v>202.63999899999999</v>
      </c>
      <c r="C30">
        <v>5137.080078</v>
      </c>
      <c r="D30" s="1">
        <f t="shared" si="4"/>
        <v>3.7645828273086164E-3</v>
      </c>
      <c r="E30" s="1">
        <f t="shared" si="0"/>
        <v>8.0078288316442117E-3</v>
      </c>
      <c r="G30" t="s">
        <v>83</v>
      </c>
      <c r="H30" t="s">
        <v>84</v>
      </c>
      <c r="J30" s="1">
        <f t="shared" si="1"/>
        <v>3.556249493975283E-3</v>
      </c>
      <c r="K30" s="1">
        <f t="shared" si="2"/>
        <v>7.7994954983108787E-3</v>
      </c>
      <c r="L30" s="1">
        <v>5.4586249339170032E-3</v>
      </c>
      <c r="M30" s="11">
        <f t="shared" si="3"/>
        <v>-1.9023754399417202E-3</v>
      </c>
    </row>
    <row r="31" spans="1:23" x14ac:dyDescent="0.3">
      <c r="A31" s="16">
        <v>45385</v>
      </c>
      <c r="B31">
        <v>188.13999899999999</v>
      </c>
      <c r="C31">
        <v>5130.9501950000003</v>
      </c>
      <c r="D31" s="1">
        <f t="shared" si="4"/>
        <v>-7.1555468177829984E-2</v>
      </c>
      <c r="E31" s="1">
        <f t="shared" si="0"/>
        <v>-1.1932621074472588E-3</v>
      </c>
      <c r="G31" s="11">
        <f>AVERAGE(G2:G25)</f>
        <v>-2.7520833333333338E-2</v>
      </c>
      <c r="H31" s="11">
        <f>AVERAGE(H2:H28)</f>
        <v>1.8055555555555557E-2</v>
      </c>
      <c r="J31" s="1">
        <f t="shared" si="1"/>
        <v>-7.1763801511163322E-2</v>
      </c>
      <c r="K31" s="1">
        <f t="shared" si="2"/>
        <v>-1.4015954407805922E-3</v>
      </c>
      <c r="L31" s="1">
        <v>-6.771972353848861E-3</v>
      </c>
      <c r="M31" s="11">
        <f t="shared" si="3"/>
        <v>-6.4991829157314468E-2</v>
      </c>
    </row>
    <row r="32" spans="1:23" ht="15" thickBot="1" x14ac:dyDescent="0.35">
      <c r="A32" s="16">
        <v>45415</v>
      </c>
      <c r="B32">
        <v>180.740005</v>
      </c>
      <c r="C32">
        <v>5078.6499020000001</v>
      </c>
      <c r="D32" s="1">
        <f t="shared" si="4"/>
        <v>-3.9332380351506185E-2</v>
      </c>
      <c r="E32" s="1">
        <f t="shared" si="0"/>
        <v>-1.0193100890155928E-2</v>
      </c>
      <c r="J32" s="1">
        <f t="shared" si="1"/>
        <v>-3.9540713684839517E-2</v>
      </c>
      <c r="K32" s="1">
        <f t="shared" si="2"/>
        <v>-1.0401434223489261E-2</v>
      </c>
      <c r="L32" s="1">
        <v>-1.8735054181295237E-2</v>
      </c>
      <c r="M32" s="11">
        <f t="shared" si="3"/>
        <v>-2.080565950354428E-2</v>
      </c>
      <c r="O32" t="s">
        <v>49</v>
      </c>
    </row>
    <row r="33" spans="1:23" x14ac:dyDescent="0.3">
      <c r="A33" s="16">
        <v>45446</v>
      </c>
      <c r="B33">
        <v>176.53999300000001</v>
      </c>
      <c r="C33">
        <v>5104.7597660000001</v>
      </c>
      <c r="D33" s="1">
        <f t="shared" si="4"/>
        <v>-2.3237865905779889E-2</v>
      </c>
      <c r="E33" s="1">
        <f t="shared" si="0"/>
        <v>5.1411033451464749E-3</v>
      </c>
      <c r="G33" t="s">
        <v>85</v>
      </c>
      <c r="J33" s="1">
        <f t="shared" si="1"/>
        <v>-2.3446199239113223E-2</v>
      </c>
      <c r="K33" s="1">
        <f t="shared" si="2"/>
        <v>4.932770011813142E-3</v>
      </c>
      <c r="L33" s="1">
        <v>1.6480153885894844E-3</v>
      </c>
      <c r="M33" s="11">
        <f t="shared" si="3"/>
        <v>-2.5094214627702706E-2</v>
      </c>
      <c r="O33" s="6"/>
      <c r="P33" s="6" t="s">
        <v>52</v>
      </c>
      <c r="Q33" s="6" t="s">
        <v>51</v>
      </c>
      <c r="R33" s="6" t="s">
        <v>53</v>
      </c>
      <c r="S33" s="6" t="s">
        <v>54</v>
      </c>
      <c r="T33" s="6" t="s">
        <v>72</v>
      </c>
    </row>
    <row r="34" spans="1:23" x14ac:dyDescent="0.3">
      <c r="A34" s="16">
        <v>45476</v>
      </c>
      <c r="B34">
        <v>178.64999399999999</v>
      </c>
      <c r="C34">
        <v>5157.3598629999997</v>
      </c>
      <c r="D34" s="1">
        <f t="shared" si="4"/>
        <v>1.1951971698560012E-2</v>
      </c>
      <c r="E34" s="1">
        <f t="shared" si="0"/>
        <v>1.0304127796637932E-2</v>
      </c>
      <c r="G34" s="11">
        <f>AVERAGE(D3:D53)</f>
        <v>-3.3958098582024788E-3</v>
      </c>
      <c r="J34" s="1">
        <f t="shared" si="1"/>
        <v>1.1743638365226679E-2</v>
      </c>
      <c r="K34" s="1">
        <f t="shared" si="2"/>
        <v>1.0095794463304599E-2</v>
      </c>
      <c r="L34" s="1">
        <v>8.5109921020133684E-3</v>
      </c>
      <c r="M34" s="11">
        <f t="shared" si="3"/>
        <v>3.232646263213311E-3</v>
      </c>
      <c r="O34" t="s">
        <v>69</v>
      </c>
      <c r="P34" s="9">
        <f>COUNTA(K1)</f>
        <v>1</v>
      </c>
      <c r="Q34" s="9">
        <f>Q36-Q35</f>
        <v>4.4675898602535846E-3</v>
      </c>
      <c r="R34" s="9">
        <f>Q34/P34</f>
        <v>4.4675898602535846E-3</v>
      </c>
      <c r="S34" s="9">
        <f>R34/R35</f>
        <v>4.8383249179750543</v>
      </c>
      <c r="T34" s="9">
        <f>FDIST(S34,P34,P35)</f>
        <v>3.2581653202347141E-2</v>
      </c>
    </row>
    <row r="35" spans="1:23" x14ac:dyDescent="0.3">
      <c r="A35" s="16">
        <v>45507</v>
      </c>
      <c r="B35">
        <v>175.33999600000001</v>
      </c>
      <c r="C35">
        <v>5123.6899409999996</v>
      </c>
      <c r="D35" s="1">
        <f t="shared" si="4"/>
        <v>-1.8527837174178573E-2</v>
      </c>
      <c r="E35" s="1">
        <f t="shared" si="0"/>
        <v>-6.528519028031231E-3</v>
      </c>
      <c r="J35" s="1">
        <f t="shared" si="1"/>
        <v>-1.8736170507511907E-2</v>
      </c>
      <c r="K35" s="1">
        <f t="shared" si="2"/>
        <v>-6.7368523613645639E-3</v>
      </c>
      <c r="L35" s="1">
        <v>-1.3863889959531344E-2</v>
      </c>
      <c r="M35" s="11">
        <f t="shared" si="3"/>
        <v>-4.8722805479805634E-3</v>
      </c>
      <c r="O35" t="s">
        <v>70</v>
      </c>
      <c r="P35" s="9">
        <v>49</v>
      </c>
      <c r="Q35" s="9">
        <f>SUMSQ(M3:M53)</f>
        <v>4.5245391093751745E-2</v>
      </c>
      <c r="R35" s="9">
        <f>Q35/P35</f>
        <v>9.2337532844391317E-4</v>
      </c>
      <c r="S35" s="9"/>
      <c r="T35" s="9"/>
    </row>
    <row r="36" spans="1:23" ht="15" thickBot="1" x14ac:dyDescent="0.35">
      <c r="A36" s="16">
        <v>45599</v>
      </c>
      <c r="B36">
        <v>177.770004</v>
      </c>
      <c r="C36">
        <v>5117.9399409999996</v>
      </c>
      <c r="D36" s="1">
        <f t="shared" si="4"/>
        <v>1.3858834581015882E-2</v>
      </c>
      <c r="E36" s="1">
        <f t="shared" si="0"/>
        <v>-1.1222380874354317E-3</v>
      </c>
      <c r="J36" s="1">
        <f t="shared" si="1"/>
        <v>1.3650501247682549E-2</v>
      </c>
      <c r="K36" s="1">
        <f t="shared" si="2"/>
        <v>-1.3305714207687651E-3</v>
      </c>
      <c r="L36" s="1">
        <v>-6.6775633112393278E-3</v>
      </c>
      <c r="M36" s="11">
        <f t="shared" si="3"/>
        <v>2.0328064558921877E-2</v>
      </c>
      <c r="O36" s="5" t="s">
        <v>59</v>
      </c>
      <c r="P36" s="10">
        <f>SUM(P34:P35)</f>
        <v>50</v>
      </c>
      <c r="Q36" s="10">
        <f>VAR(J3:J53)*P36</f>
        <v>4.971298095400533E-2</v>
      </c>
      <c r="R36" s="5"/>
      <c r="S36" s="5"/>
      <c r="T36" s="5"/>
    </row>
    <row r="37" spans="1:23" x14ac:dyDescent="0.3">
      <c r="A37" s="16">
        <v>45629</v>
      </c>
      <c r="B37">
        <v>177.53999300000001</v>
      </c>
      <c r="C37">
        <v>5175.2700199999999</v>
      </c>
      <c r="D37" s="1">
        <f t="shared" si="4"/>
        <v>-1.2938684526327085E-3</v>
      </c>
      <c r="E37" s="1">
        <f t="shared" si="0"/>
        <v>1.1201788153222937E-2</v>
      </c>
      <c r="J37" s="1">
        <f t="shared" si="1"/>
        <v>-1.5022017859660419E-3</v>
      </c>
      <c r="K37" s="1">
        <f t="shared" si="2"/>
        <v>1.0993454819889604E-2</v>
      </c>
      <c r="L37" s="1">
        <v>9.7042117316486747E-3</v>
      </c>
      <c r="M37" s="11">
        <f t="shared" si="3"/>
        <v>-1.1206413517614717E-2</v>
      </c>
    </row>
    <row r="38" spans="1:23" ht="15" thickBot="1" x14ac:dyDescent="0.35">
      <c r="A38" s="15" t="s">
        <v>25</v>
      </c>
      <c r="B38">
        <v>169.479996</v>
      </c>
      <c r="C38">
        <v>5165.3100590000004</v>
      </c>
      <c r="D38" s="1">
        <f t="shared" si="4"/>
        <v>-4.5398205011757599E-2</v>
      </c>
      <c r="E38" s="1">
        <f t="shared" si="0"/>
        <v>-1.9245297272430177E-3</v>
      </c>
      <c r="J38" s="1">
        <f t="shared" si="1"/>
        <v>-4.560653834509093E-2</v>
      </c>
      <c r="K38" s="1">
        <f t="shared" si="2"/>
        <v>-2.1328630605763508E-3</v>
      </c>
      <c r="L38" s="1">
        <v>-7.7440135853191951E-3</v>
      </c>
      <c r="M38" s="11">
        <f t="shared" si="3"/>
        <v>-3.7862524759771733E-2</v>
      </c>
    </row>
    <row r="39" spans="1:23" x14ac:dyDescent="0.3">
      <c r="A39" s="15" t="s">
        <v>26</v>
      </c>
      <c r="B39">
        <v>162.5</v>
      </c>
      <c r="C39">
        <v>5150.4799800000001</v>
      </c>
      <c r="D39" s="1">
        <f t="shared" si="4"/>
        <v>-4.1184777936860463E-2</v>
      </c>
      <c r="E39" s="1">
        <f t="shared" si="0"/>
        <v>-2.8710917313009062E-3</v>
      </c>
      <c r="J39" s="1">
        <f t="shared" si="1"/>
        <v>-4.1393111270193794E-2</v>
      </c>
      <c r="K39" s="1">
        <f t="shared" si="2"/>
        <v>-3.0794250646342396E-3</v>
      </c>
      <c r="L39" s="1">
        <v>-9.0022359804861497E-3</v>
      </c>
      <c r="M39" s="11">
        <f t="shared" si="3"/>
        <v>-3.2390875289707646E-2</v>
      </c>
      <c r="O39" s="6"/>
      <c r="P39" s="6" t="s">
        <v>73</v>
      </c>
      <c r="Q39" s="6" t="s">
        <v>67</v>
      </c>
      <c r="R39" s="6" t="s">
        <v>74</v>
      </c>
      <c r="S39" s="6" t="s">
        <v>55</v>
      </c>
      <c r="T39" s="6" t="s">
        <v>75</v>
      </c>
      <c r="U39" s="6" t="s">
        <v>76</v>
      </c>
      <c r="V39" s="12"/>
      <c r="W39" s="12"/>
    </row>
    <row r="40" spans="1:23" x14ac:dyDescent="0.3">
      <c r="A40" s="15" t="s">
        <v>27</v>
      </c>
      <c r="B40">
        <v>163.570007</v>
      </c>
      <c r="C40">
        <v>5117.0898440000001</v>
      </c>
      <c r="D40" s="1">
        <f t="shared" si="4"/>
        <v>6.5846584615384856E-3</v>
      </c>
      <c r="E40" s="1">
        <f t="shared" si="0"/>
        <v>-6.4829173455014542E-3</v>
      </c>
      <c r="J40" s="1">
        <f t="shared" si="1"/>
        <v>6.3763251282051526E-3</v>
      </c>
      <c r="K40" s="1">
        <f t="shared" si="2"/>
        <v>-6.6912506788347871E-3</v>
      </c>
      <c r="L40" s="1">
        <v>-1.3803273689313139E-2</v>
      </c>
      <c r="M40" s="11">
        <f t="shared" si="3"/>
        <v>2.0179598817518293E-2</v>
      </c>
      <c r="O40" t="s">
        <v>71</v>
      </c>
      <c r="P40" s="9">
        <f>(J54-R46*K54)</f>
        <v>-5.1216177725610275E-3</v>
      </c>
      <c r="Q40">
        <v>4.2961902781897838E-3</v>
      </c>
      <c r="R40" s="9">
        <f>P40/Q40</f>
        <v>-1.192130106192373</v>
      </c>
      <c r="S40">
        <v>0.25875060903782771</v>
      </c>
      <c r="T40">
        <v>-1.3542412027848838E-2</v>
      </c>
      <c r="U40">
        <v>3.7246231662422906E-3</v>
      </c>
    </row>
    <row r="41" spans="1:23" ht="15" thickBot="1" x14ac:dyDescent="0.35">
      <c r="A41" s="15" t="s">
        <v>28</v>
      </c>
      <c r="B41">
        <v>173.800003</v>
      </c>
      <c r="C41">
        <v>5149.419922</v>
      </c>
      <c r="D41" s="1">
        <f t="shared" si="4"/>
        <v>6.2542003803912533E-2</v>
      </c>
      <c r="E41" s="1">
        <f t="shared" si="0"/>
        <v>6.3180594802157543E-3</v>
      </c>
      <c r="J41" s="1">
        <f t="shared" si="1"/>
        <v>6.2333670470579201E-2</v>
      </c>
      <c r="K41" s="1">
        <f t="shared" si="2"/>
        <v>6.1097261468824214E-3</v>
      </c>
      <c r="L41" s="1">
        <v>3.2124903632079933E-3</v>
      </c>
      <c r="M41" s="11">
        <f t="shared" si="3"/>
        <v>5.9121180107371205E-2</v>
      </c>
      <c r="O41" s="5" t="s">
        <v>77</v>
      </c>
      <c r="P41" s="10">
        <f>SUM(O45:O94)/SUM(P45:P94)</f>
        <v>1.5459735184818104</v>
      </c>
      <c r="Q41" s="5">
        <v>0.60431145759538452</v>
      </c>
      <c r="R41" s="10">
        <f>P41/Q41</f>
        <v>2.5582396280113455</v>
      </c>
      <c r="S41" s="5">
        <v>3.258165320234746E-2</v>
      </c>
      <c r="T41" s="5">
        <v>0.11484578445363258</v>
      </c>
      <c r="U41" s="5">
        <v>2.5436644658479541</v>
      </c>
    </row>
    <row r="42" spans="1:23" x14ac:dyDescent="0.3">
      <c r="A42" s="15" t="s">
        <v>29</v>
      </c>
      <c r="B42">
        <v>171.320007</v>
      </c>
      <c r="C42">
        <v>5178.5097660000001</v>
      </c>
      <c r="D42" s="1">
        <f t="shared" si="4"/>
        <v>-1.4269251767504284E-2</v>
      </c>
      <c r="E42" s="1">
        <f t="shared" si="0"/>
        <v>5.6491496985357111E-3</v>
      </c>
      <c r="J42" s="1">
        <f t="shared" si="1"/>
        <v>-1.4477585100837617E-2</v>
      </c>
      <c r="K42" s="1">
        <f t="shared" si="2"/>
        <v>5.4408163652023781E-3</v>
      </c>
      <c r="L42" s="1">
        <v>2.3233386076462982E-3</v>
      </c>
      <c r="M42" s="11">
        <f t="shared" si="3"/>
        <v>-1.6800923708483916E-2</v>
      </c>
    </row>
    <row r="43" spans="1:23" x14ac:dyDescent="0.3">
      <c r="A43" s="15" t="s">
        <v>30</v>
      </c>
      <c r="B43">
        <v>175.66000399999999</v>
      </c>
      <c r="C43">
        <v>5224.6201170000004</v>
      </c>
      <c r="D43" s="1">
        <f t="shared" si="4"/>
        <v>2.533269217062303E-2</v>
      </c>
      <c r="E43" s="1">
        <f t="shared" si="0"/>
        <v>8.9041738035799747E-3</v>
      </c>
      <c r="J43" s="1">
        <f t="shared" si="1"/>
        <v>2.5124358837289695E-2</v>
      </c>
      <c r="K43" s="1">
        <f t="shared" si="2"/>
        <v>8.6958404702466418E-3</v>
      </c>
      <c r="L43" s="1">
        <v>6.6500960817657603E-3</v>
      </c>
      <c r="M43" s="11">
        <f t="shared" si="3"/>
        <v>1.8474262755523933E-2</v>
      </c>
    </row>
    <row r="44" spans="1:23" x14ac:dyDescent="0.3">
      <c r="A44" s="15" t="s">
        <v>31</v>
      </c>
      <c r="B44">
        <v>172.820007</v>
      </c>
      <c r="C44">
        <v>5241.5297849999997</v>
      </c>
      <c r="D44" s="1">
        <f t="shared" si="4"/>
        <v>-1.6167579046622263E-2</v>
      </c>
      <c r="E44" s="1">
        <f t="shared" si="0"/>
        <v>3.2365354076133164E-3</v>
      </c>
      <c r="J44" s="1">
        <f t="shared" si="1"/>
        <v>-1.6375912379955598E-2</v>
      </c>
      <c r="K44" s="1">
        <f t="shared" si="2"/>
        <v>3.028202074279983E-3</v>
      </c>
      <c r="L44" s="1">
        <v>-8.8364130357434286E-4</v>
      </c>
      <c r="M44" s="11">
        <f t="shared" si="3"/>
        <v>-1.5492271076381254E-2</v>
      </c>
      <c r="O44" s="9" t="s">
        <v>87</v>
      </c>
      <c r="P44" s="9" t="s">
        <v>88</v>
      </c>
    </row>
    <row r="45" spans="1:23" x14ac:dyDescent="0.3">
      <c r="A45" s="15" t="s">
        <v>32</v>
      </c>
      <c r="B45">
        <v>170.83000200000001</v>
      </c>
      <c r="C45">
        <v>5234.1801759999998</v>
      </c>
      <c r="D45" s="1">
        <f t="shared" si="4"/>
        <v>-1.1514899429439304E-2</v>
      </c>
      <c r="E45" s="1">
        <f t="shared" si="0"/>
        <v>-1.4021877775134829E-3</v>
      </c>
      <c r="J45" s="1">
        <f t="shared" si="1"/>
        <v>-1.1723232762772637E-2</v>
      </c>
      <c r="K45" s="1">
        <f t="shared" si="2"/>
        <v>-1.6105211108468163E-3</v>
      </c>
      <c r="L45" s="1">
        <v>-7.0496878715599533E-3</v>
      </c>
      <c r="M45" s="11">
        <f t="shared" si="3"/>
        <v>-4.6735448912126835E-3</v>
      </c>
      <c r="O45" s="17">
        <f>(J3-$J$54)*(K3-$K$54)</f>
        <v>8.6991795624944638E-6</v>
      </c>
      <c r="P45">
        <f>POWER(K3-$K$54,2)</f>
        <v>2.9980065512901461E-6</v>
      </c>
      <c r="R45" t="s">
        <v>89</v>
      </c>
      <c r="S45" t="s">
        <v>71</v>
      </c>
    </row>
    <row r="46" spans="1:23" x14ac:dyDescent="0.3">
      <c r="A46" s="15" t="s">
        <v>33</v>
      </c>
      <c r="B46">
        <v>172.63000500000001</v>
      </c>
      <c r="C46">
        <v>5218.1899409999996</v>
      </c>
      <c r="D46" s="1">
        <f t="shared" si="4"/>
        <v>1.0536808399732991E-2</v>
      </c>
      <c r="E46" s="1">
        <f t="shared" si="0"/>
        <v>-3.0549645717813387E-3</v>
      </c>
      <c r="J46" s="1">
        <f t="shared" si="1"/>
        <v>1.0328475066399658E-2</v>
      </c>
      <c r="K46" s="1">
        <f t="shared" si="2"/>
        <v>-3.2632979051146721E-3</v>
      </c>
      <c r="L46" s="1">
        <v>-9.2466498960708E-3</v>
      </c>
      <c r="M46" s="11">
        <f t="shared" si="3"/>
        <v>1.9575124962470457E-2</v>
      </c>
      <c r="O46" s="17">
        <f t="shared" ref="O46:O94" si="5">(J4-$J$54)*(K4-$K$54)</f>
        <v>1.0839905102222686E-6</v>
      </c>
      <c r="P46">
        <f>POWER(K4-$K$54,2)</f>
        <v>1.4286179671820149E-7</v>
      </c>
      <c r="R46" s="9">
        <f>SUM(O45:O94)/SUM(P45:P94)</f>
        <v>1.5459735184818104</v>
      </c>
      <c r="S46" s="19">
        <f>(J54-R46*K54)</f>
        <v>-5.1216177725610275E-3</v>
      </c>
    </row>
    <row r="47" spans="1:23" x14ac:dyDescent="0.3">
      <c r="A47" s="15" t="s">
        <v>34</v>
      </c>
      <c r="B47">
        <v>177.66999799999999</v>
      </c>
      <c r="C47">
        <v>5203.580078</v>
      </c>
      <c r="D47" s="1">
        <f t="shared" si="4"/>
        <v>2.9195347587460136E-2</v>
      </c>
      <c r="E47" s="1">
        <f t="shared" si="0"/>
        <v>-2.7997951713501414E-3</v>
      </c>
      <c r="J47" s="1">
        <f t="shared" si="1"/>
        <v>2.8987014254126801E-2</v>
      </c>
      <c r="K47" s="1">
        <f t="shared" si="2"/>
        <v>-3.0081285046834748E-3</v>
      </c>
      <c r="L47" s="1">
        <v>-8.9074646627659744E-3</v>
      </c>
      <c r="M47" s="11">
        <f t="shared" si="3"/>
        <v>3.7894478916892779E-2</v>
      </c>
      <c r="O47" s="17">
        <f t="shared" si="5"/>
        <v>-4.7973345101905265E-4</v>
      </c>
      <c r="P47">
        <f t="shared" ref="P46:P94" si="6">POWER(K5-$K$54,2)</f>
        <v>1.6568696527028635E-5</v>
      </c>
    </row>
    <row r="48" spans="1:23" x14ac:dyDescent="0.3">
      <c r="A48" s="15" t="s">
        <v>35</v>
      </c>
      <c r="B48">
        <v>179.83000200000001</v>
      </c>
      <c r="C48">
        <v>5248.4902339999999</v>
      </c>
      <c r="D48" s="1">
        <f t="shared" si="4"/>
        <v>1.2157393056311146E-2</v>
      </c>
      <c r="E48" s="1">
        <f t="shared" si="0"/>
        <v>8.6306264776963258E-3</v>
      </c>
      <c r="J48" s="1">
        <f t="shared" si="1"/>
        <v>1.1949059722977813E-2</v>
      </c>
      <c r="K48" s="1">
        <f t="shared" si="2"/>
        <v>8.4222931443629929E-3</v>
      </c>
      <c r="L48" s="1">
        <v>6.286481896863625E-3</v>
      </c>
      <c r="M48" s="11">
        <f t="shared" si="3"/>
        <v>5.6625778261141877E-3</v>
      </c>
      <c r="O48" s="17">
        <f t="shared" si="5"/>
        <v>-1.2506185717768558E-5</v>
      </c>
      <c r="P48">
        <f t="shared" si="6"/>
        <v>3.3918007030012341E-6</v>
      </c>
    </row>
    <row r="49" spans="1:16" x14ac:dyDescent="0.3">
      <c r="A49" s="15" t="s">
        <v>36</v>
      </c>
      <c r="B49">
        <v>175.78999300000001</v>
      </c>
      <c r="C49">
        <v>5254.3500979999999</v>
      </c>
      <c r="D49" s="1">
        <f t="shared" si="4"/>
        <v>-2.2465711811536306E-2</v>
      </c>
      <c r="E49" s="1">
        <f t="shared" si="0"/>
        <v>1.1164856442028802E-3</v>
      </c>
      <c r="J49" s="1">
        <f t="shared" si="1"/>
        <v>-2.2674045144869641E-2</v>
      </c>
      <c r="K49" s="1">
        <f t="shared" si="2"/>
        <v>9.0815231086954686E-4</v>
      </c>
      <c r="L49" s="1">
        <v>-3.7017283171623923E-3</v>
      </c>
      <c r="M49" s="11">
        <f t="shared" si="3"/>
        <v>-1.8972316827707249E-2</v>
      </c>
      <c r="O49" s="17">
        <f t="shared" si="5"/>
        <v>2.884559639462173E-4</v>
      </c>
      <c r="P49">
        <f t="shared" si="6"/>
        <v>4.0537108394640386E-5</v>
      </c>
    </row>
    <row r="50" spans="1:16" x14ac:dyDescent="0.3">
      <c r="A50" s="16">
        <v>45295</v>
      </c>
      <c r="B50">
        <v>175.220001</v>
      </c>
      <c r="C50">
        <v>5243.7700199999999</v>
      </c>
      <c r="D50" s="1">
        <f t="shared" si="4"/>
        <v>-3.2424598822301184E-3</v>
      </c>
      <c r="E50" s="1">
        <f t="shared" si="0"/>
        <v>-2.0135845161949003E-3</v>
      </c>
      <c r="J50" s="1">
        <f t="shared" si="1"/>
        <v>-3.4507932155634518E-3</v>
      </c>
      <c r="K50" s="1">
        <f t="shared" si="2"/>
        <v>-2.2219178495282337E-3</v>
      </c>
      <c r="L50" s="1">
        <v>-7.8623901199527078E-3</v>
      </c>
      <c r="M50" s="11">
        <f t="shared" si="3"/>
        <v>4.4115969043892565E-3</v>
      </c>
      <c r="O50" s="17">
        <f t="shared" si="5"/>
        <v>-1.226989797051447E-5</v>
      </c>
      <c r="P50">
        <f t="shared" si="6"/>
        <v>3.2060656567128719E-6</v>
      </c>
    </row>
    <row r="51" spans="1:16" x14ac:dyDescent="0.3">
      <c r="A51" s="16">
        <v>45326</v>
      </c>
      <c r="B51">
        <v>166.63000500000001</v>
      </c>
      <c r="C51">
        <v>5205.8100590000004</v>
      </c>
      <c r="D51" s="1">
        <f t="shared" si="4"/>
        <v>-4.902406090044472E-2</v>
      </c>
      <c r="E51" s="1">
        <f t="shared" si="0"/>
        <v>-7.2390590844408484E-3</v>
      </c>
      <c r="J51" s="1">
        <f t="shared" si="1"/>
        <v>-4.9232394233778051E-2</v>
      </c>
      <c r="K51" s="1">
        <f t="shared" si="2"/>
        <v>-7.4473924177741813E-3</v>
      </c>
      <c r="L51" s="1">
        <v>-1.4808378971138762E-2</v>
      </c>
      <c r="M51" s="11">
        <f t="shared" si="3"/>
        <v>-3.4424015262639288E-2</v>
      </c>
      <c r="O51" s="17">
        <f t="shared" si="5"/>
        <v>3.2944684064688674E-4</v>
      </c>
      <c r="P51">
        <f t="shared" si="6"/>
        <v>2.9913929263527335E-4</v>
      </c>
    </row>
    <row r="52" spans="1:16" x14ac:dyDescent="0.3">
      <c r="A52" s="16">
        <v>45355</v>
      </c>
      <c r="B52">
        <v>168.38000500000001</v>
      </c>
      <c r="C52">
        <v>5211.4902339999999</v>
      </c>
      <c r="D52" s="1">
        <f t="shared" si="4"/>
        <v>1.0502310193173192E-2</v>
      </c>
      <c r="E52" s="1">
        <f t="shared" si="0"/>
        <v>1.0911222145301685E-3</v>
      </c>
      <c r="J52" s="1">
        <f t="shared" si="1"/>
        <v>1.0293976859839859E-2</v>
      </c>
      <c r="K52" s="1">
        <f t="shared" si="2"/>
        <v>8.8278888119683514E-4</v>
      </c>
      <c r="L52" s="1">
        <v>-3.7354427860462457E-3</v>
      </c>
      <c r="M52" s="11">
        <f t="shared" si="3"/>
        <v>1.4029419645886105E-2</v>
      </c>
      <c r="O52" s="17">
        <f t="shared" si="5"/>
        <v>1.3314252697002157E-4</v>
      </c>
      <c r="P52">
        <f t="shared" si="6"/>
        <v>1.27775649483549E-4</v>
      </c>
    </row>
    <row r="53" spans="1:16" ht="15" thickBot="1" x14ac:dyDescent="0.35">
      <c r="A53" s="16">
        <v>45386</v>
      </c>
      <c r="B53">
        <v>171.11000100000001</v>
      </c>
      <c r="C53">
        <v>5147.2099609999996</v>
      </c>
      <c r="D53" s="1">
        <f t="shared" si="4"/>
        <v>1.6213302761215617E-2</v>
      </c>
      <c r="E53" s="1">
        <f t="shared" si="0"/>
        <v>-1.2334336267318103E-2</v>
      </c>
      <c r="J53" s="1">
        <f t="shared" si="1"/>
        <v>1.6004969427882283E-2</v>
      </c>
      <c r="K53" s="1">
        <f t="shared" si="2"/>
        <v>-1.2542669600651436E-2</v>
      </c>
      <c r="L53" s="8">
        <v>-2.1581302280542253E-2</v>
      </c>
      <c r="M53" s="11">
        <f t="shared" si="3"/>
        <v>3.7586271708424532E-2</v>
      </c>
      <c r="O53" s="17">
        <f t="shared" si="5"/>
        <v>-1.5517463484001803E-5</v>
      </c>
      <c r="P53">
        <f t="shared" si="6"/>
        <v>9.0146424048060054E-5</v>
      </c>
    </row>
    <row r="54" spans="1:16" x14ac:dyDescent="0.3">
      <c r="F54" t="s">
        <v>42</v>
      </c>
      <c r="J54" s="11">
        <f>AVERAGE(J3:J53)</f>
        <v>-3.6041431915358126E-3</v>
      </c>
      <c r="K54" s="11">
        <f>AVERAGE(K3:K53)</f>
        <v>9.8156570140698002E-4</v>
      </c>
      <c r="O54" s="17">
        <f t="shared" si="5"/>
        <v>1.446689353337009E-4</v>
      </c>
      <c r="P54">
        <f t="shared" si="6"/>
        <v>1.9151445229513793E-5</v>
      </c>
    </row>
    <row r="55" spans="1:16" x14ac:dyDescent="0.3">
      <c r="O55" s="17">
        <f t="shared" si="5"/>
        <v>2.8807120709761587E-5</v>
      </c>
      <c r="P55">
        <f t="shared" si="6"/>
        <v>1.255546279369203E-6</v>
      </c>
    </row>
    <row r="56" spans="1:16" ht="15" thickBot="1" x14ac:dyDescent="0.35">
      <c r="F56" t="s">
        <v>43</v>
      </c>
      <c r="O56" s="17">
        <f t="shared" si="5"/>
        <v>1.1842353788204419E-4</v>
      </c>
      <c r="P56">
        <f t="shared" si="6"/>
        <v>4.9724485826065067E-5</v>
      </c>
    </row>
    <row r="57" spans="1:16" x14ac:dyDescent="0.3">
      <c r="F57" s="6" t="s">
        <v>44</v>
      </c>
      <c r="G57" s="6" t="s">
        <v>45</v>
      </c>
      <c r="H57" s="6" t="s">
        <v>46</v>
      </c>
      <c r="I57" s="6" t="s">
        <v>47</v>
      </c>
      <c r="J57" s="6" t="s">
        <v>48</v>
      </c>
      <c r="O57" s="17">
        <f t="shared" si="5"/>
        <v>-8.6402525412830485E-6</v>
      </c>
      <c r="P57">
        <f t="shared" si="6"/>
        <v>3.8355219060888521E-7</v>
      </c>
    </row>
    <row r="58" spans="1:16" x14ac:dyDescent="0.3">
      <c r="C58" s="9" t="s">
        <v>86</v>
      </c>
      <c r="F58" t="s">
        <v>40</v>
      </c>
      <c r="G58">
        <v>24</v>
      </c>
      <c r="H58">
        <v>-0.66050000000000009</v>
      </c>
      <c r="I58">
        <v>-2.7520833333333338E-2</v>
      </c>
      <c r="J58">
        <v>7.0686432971014458E-4</v>
      </c>
      <c r="O58" s="17">
        <f t="shared" si="5"/>
        <v>1.1176296154867421E-4</v>
      </c>
      <c r="P58">
        <f t="shared" si="6"/>
        <v>2.07247325779016E-5</v>
      </c>
    </row>
    <row r="59" spans="1:16" ht="15" thickBot="1" x14ac:dyDescent="0.35">
      <c r="C59">
        <f>POWER(G2-$G$31,2)</f>
        <v>4.5032376736111132E-4</v>
      </c>
      <c r="F59" s="5" t="s">
        <v>41</v>
      </c>
      <c r="G59" s="5">
        <v>27</v>
      </c>
      <c r="H59" s="5">
        <v>0.48750000000000004</v>
      </c>
      <c r="I59" s="5">
        <v>1.8055555555555557E-2</v>
      </c>
      <c r="J59" s="5">
        <v>2.7235794871794853E-4</v>
      </c>
      <c r="O59" s="17">
        <f t="shared" si="5"/>
        <v>5.2846186328950792E-5</v>
      </c>
      <c r="P59">
        <f t="shared" si="6"/>
        <v>4.5746901461077037E-6</v>
      </c>
    </row>
    <row r="60" spans="1:16" x14ac:dyDescent="0.3">
      <c r="C60">
        <f t="shared" ref="C60:C82" si="7">POWER(G3-$G$31,2)</f>
        <v>8.7945321006944431E-3</v>
      </c>
      <c r="O60" s="17">
        <f t="shared" si="5"/>
        <v>2.7425540182587818E-4</v>
      </c>
      <c r="P60">
        <f t="shared" si="6"/>
        <v>2.2094309531940453E-4</v>
      </c>
    </row>
    <row r="61" spans="1:16" x14ac:dyDescent="0.3">
      <c r="C61">
        <f t="shared" si="7"/>
        <v>2.6222934027777828E-5</v>
      </c>
      <c r="O61" s="18">
        <f t="shared" si="5"/>
        <v>2.4231761586967048E-4</v>
      </c>
      <c r="P61">
        <f t="shared" si="6"/>
        <v>7.0389820907580065E-5</v>
      </c>
    </row>
    <row r="62" spans="1:16" ht="15" thickBot="1" x14ac:dyDescent="0.35">
      <c r="C62">
        <f t="shared" si="7"/>
        <v>5.0718793402777795E-4</v>
      </c>
      <c r="F62" t="s">
        <v>49</v>
      </c>
      <c r="O62" s="17">
        <f t="shared" si="5"/>
        <v>3.0385192779581815E-4</v>
      </c>
      <c r="P62">
        <f t="shared" si="6"/>
        <v>2.1449417586916564E-5</v>
      </c>
    </row>
    <row r="63" spans="1:16" x14ac:dyDescent="0.3">
      <c r="C63">
        <f t="shared" si="7"/>
        <v>8.0625434027777648E-5</v>
      </c>
      <c r="F63" s="6" t="s">
        <v>50</v>
      </c>
      <c r="G63" s="6" t="s">
        <v>51</v>
      </c>
      <c r="H63" s="6" t="s">
        <v>52</v>
      </c>
      <c r="I63" s="6" t="s">
        <v>53</v>
      </c>
      <c r="J63" s="6" t="s">
        <v>54</v>
      </c>
      <c r="K63" s="6" t="s">
        <v>55</v>
      </c>
      <c r="L63" s="6" t="s">
        <v>56</v>
      </c>
      <c r="O63" s="17">
        <f t="shared" si="5"/>
        <v>-5.4025556677214916E-6</v>
      </c>
      <c r="P63">
        <f t="shared" si="6"/>
        <v>3.5920469843660819E-5</v>
      </c>
    </row>
    <row r="64" spans="1:16" x14ac:dyDescent="0.3">
      <c r="C64">
        <f t="shared" si="7"/>
        <v>3.354340277777722E-7</v>
      </c>
      <c r="F64" t="s">
        <v>57</v>
      </c>
      <c r="G64">
        <v>2.6392750612745111E-2</v>
      </c>
      <c r="H64">
        <v>1</v>
      </c>
      <c r="I64">
        <v>2.6392750612745111E-2</v>
      </c>
      <c r="J64">
        <v>55.410877061941719</v>
      </c>
      <c r="K64">
        <v>1.3661366400481573E-9</v>
      </c>
      <c r="L64">
        <v>4.0383926336830385</v>
      </c>
      <c r="O64" s="17">
        <f t="shared" si="5"/>
        <v>1.9831424753025717E-4</v>
      </c>
      <c r="P64">
        <f t="shared" si="6"/>
        <v>5.1771204052351909E-5</v>
      </c>
    </row>
    <row r="65" spans="3:16" x14ac:dyDescent="0.3">
      <c r="C65">
        <f t="shared" si="7"/>
        <v>3.2727934027777831E-5</v>
      </c>
      <c r="F65" t="s">
        <v>58</v>
      </c>
      <c r="G65">
        <v>2.3339186249999998E-2</v>
      </c>
      <c r="H65">
        <v>49</v>
      </c>
      <c r="I65">
        <v>4.7630992346938772E-4</v>
      </c>
      <c r="O65" s="17">
        <f t="shared" si="5"/>
        <v>6.39618391166176E-7</v>
      </c>
      <c r="P65">
        <f t="shared" si="6"/>
        <v>5.5206201126857791E-9</v>
      </c>
    </row>
    <row r="66" spans="3:16" x14ac:dyDescent="0.3">
      <c r="C66">
        <f t="shared" si="7"/>
        <v>6.2604210069444469E-4</v>
      </c>
      <c r="O66" s="17">
        <f t="shared" si="5"/>
        <v>3.3786924824968597E-4</v>
      </c>
      <c r="P66">
        <f t="shared" si="6"/>
        <v>3.9732389448877997E-4</v>
      </c>
    </row>
    <row r="67" spans="3:16" ht="15" thickBot="1" x14ac:dyDescent="0.35">
      <c r="C67">
        <f t="shared" si="7"/>
        <v>1.210460069444441E-5</v>
      </c>
      <c r="F67" s="5" t="s">
        <v>59</v>
      </c>
      <c r="G67" s="5">
        <v>4.9731936862745109E-2</v>
      </c>
      <c r="H67" s="5">
        <v>50</v>
      </c>
      <c r="I67" s="5"/>
      <c r="J67" s="5"/>
      <c r="K67" s="5"/>
      <c r="L67" s="5"/>
      <c r="O67" s="17">
        <f t="shared" si="5"/>
        <v>2.0342443370005358E-5</v>
      </c>
      <c r="P67">
        <f t="shared" si="6"/>
        <v>7.0888215385278944E-7</v>
      </c>
    </row>
    <row r="68" spans="3:16" x14ac:dyDescent="0.3">
      <c r="C68">
        <f t="shared" si="7"/>
        <v>6.2673611111102798E-9</v>
      </c>
      <c r="O68" s="18">
        <f t="shared" si="5"/>
        <v>-2.0951567797458995E-4</v>
      </c>
      <c r="P68">
        <f t="shared" si="6"/>
        <v>2.4767049968357152E-5</v>
      </c>
    </row>
    <row r="69" spans="3:16" x14ac:dyDescent="0.3">
      <c r="C69">
        <f t="shared" si="7"/>
        <v>7.1400293402777812E-4</v>
      </c>
      <c r="O69" s="17">
        <f t="shared" si="5"/>
        <v>2.6084815578184206E-6</v>
      </c>
      <c r="P69">
        <f t="shared" si="6"/>
        <v>2.6672136548675397E-7</v>
      </c>
    </row>
    <row r="70" spans="3:16" x14ac:dyDescent="0.3">
      <c r="C70">
        <f t="shared" si="7"/>
        <v>1.9429729340277768E-3</v>
      </c>
      <c r="F70" s="14" t="s">
        <v>79</v>
      </c>
      <c r="G70" s="14"/>
      <c r="O70" s="17">
        <f t="shared" si="5"/>
        <v>-4.2610900707706167E-5</v>
      </c>
      <c r="P70">
        <f t="shared" si="6"/>
        <v>8.1114119533496395E-6</v>
      </c>
    </row>
    <row r="71" spans="3:16" x14ac:dyDescent="0.3">
      <c r="C71">
        <f t="shared" si="7"/>
        <v>1.3874876736111105E-4</v>
      </c>
      <c r="O71" s="17">
        <f t="shared" si="5"/>
        <v>1.0517850801518685E-5</v>
      </c>
      <c r="P71">
        <f t="shared" si="6"/>
        <v>1.6315101745483375E-5</v>
      </c>
    </row>
    <row r="72" spans="3:16" ht="15" thickBot="1" x14ac:dyDescent="0.35">
      <c r="C72">
        <f t="shared" si="7"/>
        <v>1.86696006944445E-5</v>
      </c>
      <c r="F72" t="s">
        <v>43</v>
      </c>
      <c r="O72" s="17">
        <f t="shared" si="5"/>
        <v>4.8819054648078829E-5</v>
      </c>
      <c r="P72">
        <f t="shared" si="6"/>
        <v>4.648416671551004E-5</v>
      </c>
    </row>
    <row r="73" spans="3:16" x14ac:dyDescent="0.3">
      <c r="C73">
        <f t="shared" si="7"/>
        <v>8.1375434027777883E-5</v>
      </c>
      <c r="F73" s="6" t="s">
        <v>44</v>
      </c>
      <c r="G73" s="6" t="s">
        <v>45</v>
      </c>
      <c r="H73" s="6" t="s">
        <v>46</v>
      </c>
      <c r="I73" s="6" t="s">
        <v>47</v>
      </c>
      <c r="J73" s="6" t="s">
        <v>48</v>
      </c>
      <c r="O73" s="17">
        <f t="shared" si="5"/>
        <v>1.6243544917211815E-4</v>
      </c>
      <c r="P73">
        <f t="shared" si="6"/>
        <v>5.6794570296327746E-6</v>
      </c>
    </row>
    <row r="74" spans="3:16" x14ac:dyDescent="0.3">
      <c r="C74">
        <f t="shared" si="7"/>
        <v>6.8753210069444478E-4</v>
      </c>
      <c r="F74" t="s">
        <v>40</v>
      </c>
      <c r="G74" s="9">
        <f>COUNT(G2:G25)</f>
        <v>24</v>
      </c>
      <c r="H74" s="11">
        <f>SUM(G2:G25)</f>
        <v>-0.66050000000000009</v>
      </c>
      <c r="I74" s="9">
        <f>H74/G74</f>
        <v>-2.7520833333333338E-2</v>
      </c>
      <c r="J74" s="9">
        <f>_xlfn.VAR.S(G2:G25)</f>
        <v>7.0686432971014458E-4</v>
      </c>
      <c r="O74" s="17">
        <f t="shared" si="5"/>
        <v>4.0906597922630455E-4</v>
      </c>
      <c r="P74">
        <f t="shared" si="6"/>
        <v>1.2957268729018781E-4</v>
      </c>
    </row>
    <row r="75" spans="3:16" ht="15" thickBot="1" x14ac:dyDescent="0.35">
      <c r="C75">
        <f t="shared" si="7"/>
        <v>3.1966460069444438E-4</v>
      </c>
      <c r="F75" s="5" t="s">
        <v>41</v>
      </c>
      <c r="G75" s="10">
        <f>COUNT(H2:H28)</f>
        <v>27</v>
      </c>
      <c r="H75" s="13">
        <f>SUM(H2:H28)</f>
        <v>0.48750000000000004</v>
      </c>
      <c r="I75" s="10">
        <f>H75/G75</f>
        <v>1.8055555555555557E-2</v>
      </c>
      <c r="J75" s="10">
        <f>_xlfn.VAR.S(H2:H28)</f>
        <v>2.7235794871794853E-4</v>
      </c>
      <c r="O75" s="17">
        <f t="shared" si="5"/>
        <v>-7.8400017382508527E-5</v>
      </c>
      <c r="P75">
        <f t="shared" si="6"/>
        <v>1.5612015502572237E-5</v>
      </c>
    </row>
    <row r="76" spans="3:16" x14ac:dyDescent="0.3">
      <c r="C76">
        <f t="shared" si="7"/>
        <v>1.8711960069444432E-4</v>
      </c>
      <c r="F76" t="s">
        <v>82</v>
      </c>
      <c r="G76" s="9">
        <f>SUM(G74,G75)</f>
        <v>51</v>
      </c>
      <c r="H76" s="11">
        <f>SUM(H74:H75)</f>
        <v>-0.17300000000000004</v>
      </c>
      <c r="I76" s="9">
        <f>SUM(I74:I75)</f>
        <v>-9.4652777777777808E-3</v>
      </c>
      <c r="J76" s="9">
        <f>SUM(J74:J75)</f>
        <v>9.7922227842809316E-4</v>
      </c>
      <c r="O76" s="17">
        <f t="shared" si="5"/>
        <v>1.3988319209596654E-4</v>
      </c>
      <c r="P76">
        <f t="shared" si="6"/>
        <v>8.3069165924201828E-5</v>
      </c>
    </row>
    <row r="77" spans="3:16" x14ac:dyDescent="0.3">
      <c r="C77">
        <f t="shared" si="7"/>
        <v>1.7479043402777791E-4</v>
      </c>
      <c r="O77" s="17">
        <f t="shared" si="5"/>
        <v>1.1679531296198231E-4</v>
      </c>
      <c r="P77">
        <f t="shared" si="6"/>
        <v>5.9573977391718036E-5</v>
      </c>
    </row>
    <row r="78" spans="3:16" ht="15" thickBot="1" x14ac:dyDescent="0.35">
      <c r="C78">
        <f t="shared" si="7"/>
        <v>1.2816126736111123E-4</v>
      </c>
      <c r="F78" t="s">
        <v>49</v>
      </c>
      <c r="O78" s="17">
        <f t="shared" si="5"/>
        <v>-3.9895103937860065E-5</v>
      </c>
      <c r="P78">
        <f t="shared" si="6"/>
        <v>5.3459780717431358E-6</v>
      </c>
    </row>
    <row r="79" spans="3:16" x14ac:dyDescent="0.3">
      <c r="C79">
        <f t="shared" si="7"/>
        <v>2.5666710069444462E-4</v>
      </c>
      <c r="F79" s="6" t="s">
        <v>50</v>
      </c>
      <c r="G79" s="6" t="s">
        <v>51</v>
      </c>
      <c r="H79" s="6" t="s">
        <v>52</v>
      </c>
      <c r="I79" s="6" t="s">
        <v>53</v>
      </c>
      <c r="J79" s="6" t="s">
        <v>54</v>
      </c>
      <c r="K79" s="6" t="s">
        <v>55</v>
      </c>
      <c r="L79" s="6" t="s">
        <v>56</v>
      </c>
      <c r="O79" s="17">
        <f t="shared" si="5"/>
        <v>2.1044404286112062E-5</v>
      </c>
      <c r="P79">
        <f t="shared" si="6"/>
        <v>1.0023792372079078E-4</v>
      </c>
    </row>
    <row r="80" spans="3:16" x14ac:dyDescent="0.3">
      <c r="C80">
        <f t="shared" si="7"/>
        <v>2.5208767361111167E-5</v>
      </c>
      <c r="F80" t="s">
        <v>57</v>
      </c>
      <c r="G80" s="9">
        <f>24*(POWER(G31-G34,2)) + 27*(POWER(H31-G34,2))</f>
        <v>2.6392751293308273E-2</v>
      </c>
      <c r="H80" s="9">
        <f>COUNTA(G2:H2)-1</f>
        <v>1</v>
      </c>
      <c r="I80" s="9">
        <f>G80/H80</f>
        <v>2.6392751293308273E-2</v>
      </c>
      <c r="J80" s="9">
        <f>I80/I81</f>
        <v>55.410878490765953</v>
      </c>
      <c r="K80">
        <v>1.3661366400481573E-9</v>
      </c>
      <c r="L80">
        <v>4.0383926336830385</v>
      </c>
      <c r="O80" s="17">
        <f t="shared" si="5"/>
        <v>1.3081346753842133E-4</v>
      </c>
      <c r="P80">
        <f t="shared" si="6"/>
        <v>9.6996665134690229E-6</v>
      </c>
    </row>
    <row r="81" spans="3:16" x14ac:dyDescent="0.3">
      <c r="C81">
        <f t="shared" si="7"/>
        <v>5.9150293402777791E-4</v>
      </c>
      <c r="F81" t="s">
        <v>58</v>
      </c>
      <c r="G81" s="9">
        <f>SUM(C59:C109)</f>
        <v>2.3339186249999998E-2</v>
      </c>
      <c r="H81" s="9">
        <v>49</v>
      </c>
      <c r="I81" s="9">
        <f>G81/H81</f>
        <v>4.7630992346938772E-4</v>
      </c>
      <c r="O81" s="17">
        <f t="shared" si="5"/>
        <v>1.5346065042565646E-4</v>
      </c>
      <c r="P81">
        <f t="shared" si="6"/>
        <v>1.649164600187205E-5</v>
      </c>
    </row>
    <row r="82" spans="3:16" x14ac:dyDescent="0.3">
      <c r="C82">
        <f t="shared" si="7"/>
        <v>4.613546006944443E-4</v>
      </c>
      <c r="O82" s="17">
        <f t="shared" si="5"/>
        <v>-7.6578300806192507E-5</v>
      </c>
      <c r="P82">
        <f t="shared" si="6"/>
        <v>5.8872111204906382E-5</v>
      </c>
    </row>
    <row r="83" spans="3:16" ht="15" thickBot="1" x14ac:dyDescent="0.35">
      <c r="C83">
        <f>POWER(H2-$H$31,2)</f>
        <v>2.7078530864197532E-4</v>
      </c>
      <c r="F83" s="5" t="s">
        <v>59</v>
      </c>
      <c r="G83" s="10">
        <f>SUM(G80:G81)</f>
        <v>4.973193754330827E-2</v>
      </c>
      <c r="H83" s="10">
        <f>SUM(H80:H81)</f>
        <v>50</v>
      </c>
      <c r="I83" s="5"/>
      <c r="J83" s="5"/>
      <c r="K83" s="5"/>
      <c r="L83" s="5"/>
      <c r="O83" s="17">
        <f t="shared" si="5"/>
        <v>3.3813968788318834E-4</v>
      </c>
      <c r="P83">
        <f t="shared" si="6"/>
        <v>2.6298029554538871E-5</v>
      </c>
    </row>
    <row r="84" spans="3:16" x14ac:dyDescent="0.3">
      <c r="C84">
        <f t="shared" ref="C84:C109" si="8">POWER(H3-$H$31,2)</f>
        <v>2.1478530864197536E-4</v>
      </c>
      <c r="O84" s="17">
        <f t="shared" si="5"/>
        <v>-4.8487403051794778E-5</v>
      </c>
      <c r="P84">
        <f t="shared" si="6"/>
        <v>1.9884916482559702E-5</v>
      </c>
    </row>
    <row r="85" spans="3:16" x14ac:dyDescent="0.3">
      <c r="C85">
        <f t="shared" si="8"/>
        <v>5.6855753086419746E-4</v>
      </c>
      <c r="O85" s="17">
        <f t="shared" si="5"/>
        <v>2.2161955834752766E-4</v>
      </c>
      <c r="P85">
        <f t="shared" si="6"/>
        <v>5.9510035209156226E-5</v>
      </c>
    </row>
    <row r="86" spans="3:16" x14ac:dyDescent="0.3">
      <c r="C86">
        <f t="shared" si="8"/>
        <v>2.1186419753086425E-4</v>
      </c>
      <c r="O86" s="17">
        <f t="shared" si="5"/>
        <v>-2.6139167366958646E-5</v>
      </c>
      <c r="P86">
        <f t="shared" si="6"/>
        <v>4.1887204427667618E-6</v>
      </c>
    </row>
    <row r="87" spans="3:16" x14ac:dyDescent="0.3">
      <c r="C87">
        <f t="shared" si="8"/>
        <v>9.3229753086419801E-5</v>
      </c>
      <c r="O87" s="17">
        <f t="shared" si="5"/>
        <v>2.1045385005110301E-5</v>
      </c>
      <c r="P87">
        <f t="shared" si="6"/>
        <v>6.7189140422600477E-6</v>
      </c>
    </row>
    <row r="88" spans="3:16" x14ac:dyDescent="0.3">
      <c r="C88">
        <f t="shared" si="8"/>
        <v>1.8015308641975295E-5</v>
      </c>
      <c r="O88" s="17">
        <f t="shared" si="5"/>
        <v>-5.9142064186669377E-5</v>
      </c>
      <c r="P88">
        <f t="shared" si="6"/>
        <v>1.8018867037972007E-5</v>
      </c>
    </row>
    <row r="89" spans="3:16" x14ac:dyDescent="0.3">
      <c r="C89">
        <f t="shared" si="8"/>
        <v>2.167419753086421E-5</v>
      </c>
      <c r="O89" s="17">
        <f t="shared" si="5"/>
        <v>-1.3002875203074193E-4</v>
      </c>
      <c r="P89">
        <f t="shared" si="6"/>
        <v>1.5917659858111745E-5</v>
      </c>
    </row>
    <row r="90" spans="3:16" x14ac:dyDescent="0.3">
      <c r="C90">
        <f t="shared" si="8"/>
        <v>5.5585308641975337E-5</v>
      </c>
      <c r="O90" s="17">
        <f t="shared" si="5"/>
        <v>1.1572714375188497E-4</v>
      </c>
      <c r="P90">
        <f t="shared" si="6"/>
        <v>5.5364424880358734E-5</v>
      </c>
    </row>
    <row r="91" spans="3:16" x14ac:dyDescent="0.3">
      <c r="C91">
        <f t="shared" si="8"/>
        <v>9.8875308641975195E-6</v>
      </c>
      <c r="O91" s="17">
        <f t="shared" si="5"/>
        <v>1.3999861596106557E-6</v>
      </c>
      <c r="P91">
        <f t="shared" si="6"/>
        <v>5.3895259102016806E-9</v>
      </c>
    </row>
    <row r="92" spans="3:16" x14ac:dyDescent="0.3">
      <c r="C92">
        <f t="shared" si="8"/>
        <v>5.5419753086419701E-5</v>
      </c>
      <c r="O92" s="17">
        <f t="shared" si="5"/>
        <v>-4.9125412556376797E-7</v>
      </c>
      <c r="P92">
        <f t="shared" si="6"/>
        <v>1.0262306861112486E-5</v>
      </c>
    </row>
    <row r="93" spans="3:16" x14ac:dyDescent="0.3">
      <c r="C93">
        <f t="shared" si="8"/>
        <v>1.948731975308642E-3</v>
      </c>
      <c r="O93" s="17">
        <f t="shared" si="5"/>
        <v>3.8459861708654402E-4</v>
      </c>
      <c r="P93">
        <f t="shared" si="6"/>
        <v>7.1047334974910033E-5</v>
      </c>
    </row>
    <row r="94" spans="3:16" x14ac:dyDescent="0.3">
      <c r="C94">
        <f t="shared" si="8"/>
        <v>1.6526530864197536E-4</v>
      </c>
      <c r="O94" s="17">
        <f t="shared" si="5"/>
        <v>-1.3728121055737443E-6</v>
      </c>
      <c r="P94">
        <f t="shared" si="6"/>
        <v>9.7568602108272874E-9</v>
      </c>
    </row>
    <row r="95" spans="3:16" x14ac:dyDescent="0.3">
      <c r="C95">
        <f t="shared" si="8"/>
        <v>1.9851975308641998E-5</v>
      </c>
    </row>
    <row r="96" spans="3:16" x14ac:dyDescent="0.3">
      <c r="C96">
        <f t="shared" si="8"/>
        <v>4.2619308641975292E-4</v>
      </c>
    </row>
    <row r="97" spans="3:3" x14ac:dyDescent="0.3">
      <c r="C97">
        <f t="shared" si="8"/>
        <v>2.6750419753086423E-4</v>
      </c>
    </row>
    <row r="98" spans="3:3" x14ac:dyDescent="0.3">
      <c r="C98">
        <f t="shared" si="8"/>
        <v>4.1674197530864232E-5</v>
      </c>
    </row>
    <row r="99" spans="3:3" x14ac:dyDescent="0.3">
      <c r="C99">
        <f t="shared" si="8"/>
        <v>2.0322086419753091E-4</v>
      </c>
    </row>
    <row r="100" spans="3:3" x14ac:dyDescent="0.3">
      <c r="C100">
        <f t="shared" si="8"/>
        <v>3.6669753086419774E-5</v>
      </c>
    </row>
    <row r="101" spans="3:3" x14ac:dyDescent="0.3">
      <c r="C101">
        <f t="shared" si="8"/>
        <v>1.7268641975308665E-5</v>
      </c>
    </row>
    <row r="102" spans="3:3" x14ac:dyDescent="0.3">
      <c r="C102">
        <f t="shared" si="8"/>
        <v>1.3122975308641979E-4</v>
      </c>
    </row>
    <row r="103" spans="3:3" x14ac:dyDescent="0.3">
      <c r="C103">
        <f t="shared" si="8"/>
        <v>1.9753086419753083E-3</v>
      </c>
    </row>
    <row r="104" spans="3:3" x14ac:dyDescent="0.3">
      <c r="C104">
        <f t="shared" si="8"/>
        <v>5.2481975308641941E-5</v>
      </c>
    </row>
    <row r="105" spans="3:3" x14ac:dyDescent="0.3">
      <c r="C105">
        <f t="shared" si="8"/>
        <v>5.7086419753086437E-5</v>
      </c>
    </row>
    <row r="106" spans="3:3" x14ac:dyDescent="0.3">
      <c r="C106">
        <f t="shared" si="8"/>
        <v>1.2419864197530861E-4</v>
      </c>
    </row>
    <row r="107" spans="3:3" x14ac:dyDescent="0.3">
      <c r="C107">
        <f t="shared" si="8"/>
        <v>3.4287530864197543E-5</v>
      </c>
    </row>
    <row r="108" spans="3:3" x14ac:dyDescent="0.3">
      <c r="C108">
        <f t="shared" si="8"/>
        <v>5.7086419753086437E-5</v>
      </c>
    </row>
    <row r="109" spans="3:3" x14ac:dyDescent="0.3">
      <c r="C109">
        <f t="shared" si="8"/>
        <v>3.4430864197530962E-6</v>
      </c>
    </row>
  </sheetData>
  <mergeCells count="1">
    <mergeCell ref="F70:G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Ruthwik Reddy</dc:creator>
  <cp:lastModifiedBy>Ruthwik Reddy</cp:lastModifiedBy>
  <dcterms:created xsi:type="dcterms:W3CDTF">2024-04-22T22:50:50Z</dcterms:created>
  <dcterms:modified xsi:type="dcterms:W3CDTF">2024-04-23T16:34:33Z</dcterms:modified>
</cp:coreProperties>
</file>