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e5848ce57781402b/Desktop/Rutuja/Excel Projects/"/>
    </mc:Choice>
  </mc:AlternateContent>
  <xr:revisionPtr revIDLastSave="1" documentId="11_7E182769D75B8C2C707393BDA28BA57027AD8E93" xr6:coauthVersionLast="47" xr6:coauthVersionMax="47" xr10:uidLastSave="{A8D3C4A0-D049-4D2E-BF32-5B79BF3F4136}"/>
  <bookViews>
    <workbookView xWindow="-108" yWindow="-108" windowWidth="23256" windowHeight="12456" tabRatio="666" xr2:uid="{00000000-000D-0000-FFFF-FFFF00000000}"/>
  </bookViews>
  <sheets>
    <sheet name="Mo.1" sheetId="1" r:id="rId1"/>
    <sheet name="Mo.2" sheetId="2" r:id="rId2"/>
    <sheet name="Mo.3" sheetId="4" r:id="rId3"/>
    <sheet name="Mo.4" sheetId="5" r:id="rId4"/>
    <sheet name="Mo.5" sheetId="6" r:id="rId5"/>
    <sheet name="Mo.6" sheetId="7" r:id="rId6"/>
    <sheet name="Mo.7" sheetId="8" r:id="rId7"/>
    <sheet name="Mo.8" sheetId="9" r:id="rId8"/>
    <sheet name="Mo.9" sheetId="10" r:id="rId9"/>
    <sheet name="Mo.10" sheetId="11" r:id="rId10"/>
    <sheet name="Mo.11" sheetId="12" r:id="rId11"/>
    <sheet name="Mo.12" sheetId="13" r:id="rId12"/>
  </sheets>
  <definedNames>
    <definedName name="Bills" localSheetId="9">Table13910109[Bills]</definedName>
    <definedName name="Bills" localSheetId="10">Table13910119[Bills]</definedName>
    <definedName name="Bills" localSheetId="11">Table13910129[Bills]</definedName>
    <definedName name="Bills" localSheetId="1">Table1391018[Bills]</definedName>
    <definedName name="Bills" localSheetId="2">Table1391039[Bills]</definedName>
    <definedName name="Bills" localSheetId="3">Table1391049[Bills]</definedName>
    <definedName name="Bills" localSheetId="4">Table1391059[Bills]</definedName>
    <definedName name="Bills" localSheetId="5">Table1391069[Bills]</definedName>
    <definedName name="Bills" localSheetId="6">Table1391079[Bills]</definedName>
    <definedName name="Bills" localSheetId="7">Table1391089[Bills]</definedName>
    <definedName name="Bills" localSheetId="8">Table1391099[Bills]</definedName>
    <definedName name="Bills">Table13910[Bills]</definedName>
    <definedName name="Entertainment" localSheetId="9">Table138107[Entertainment]</definedName>
    <definedName name="Entertainment" localSheetId="10">Table138117[Entertainment]</definedName>
    <definedName name="Entertainment" localSheetId="11">Table138127[Entertainment]</definedName>
    <definedName name="Entertainment" localSheetId="1">Table13816[Entertainment]</definedName>
    <definedName name="Entertainment" localSheetId="2">Table13837[Entertainment]</definedName>
    <definedName name="Entertainment" localSheetId="3">Table13847[Entertainment]</definedName>
    <definedName name="Entertainment" localSheetId="4">Table13857[Entertainment]</definedName>
    <definedName name="Entertainment" localSheetId="5">Table13867[Entertainment]</definedName>
    <definedName name="Entertainment" localSheetId="6">Table13877[Entertainment]</definedName>
    <definedName name="Entertainment" localSheetId="7">Table13887[Entertainment]</definedName>
    <definedName name="Entertainment" localSheetId="8">Table13897[Entertainment]</definedName>
    <definedName name="Entertainment">Table138[Entertainment]</definedName>
    <definedName name="Housing" localSheetId="9">Table1102[Housing]</definedName>
    <definedName name="Housing" localSheetId="10">Table1112[Housing]</definedName>
    <definedName name="Housing" localSheetId="11">Table1122[Housing]</definedName>
    <definedName name="Housing" localSheetId="1">Table111[Housing]</definedName>
    <definedName name="Housing" localSheetId="2">Table132[Housing]</definedName>
    <definedName name="Housing" localSheetId="3">Table142[Housing]</definedName>
    <definedName name="Housing" localSheetId="4">Table152[Housing]</definedName>
    <definedName name="Housing" localSheetId="5">Table162[Housing]</definedName>
    <definedName name="Housing" localSheetId="6">Table172[Housing]</definedName>
    <definedName name="Housing" localSheetId="7">Table182[Housing]</definedName>
    <definedName name="Housing" localSheetId="8">Table192[Housing]</definedName>
    <definedName name="Housing">Table1[Housing]</definedName>
    <definedName name="Income" localSheetId="9">Table136105[Income]</definedName>
    <definedName name="Income" localSheetId="10">Table136115[Income]</definedName>
    <definedName name="Income" localSheetId="11">Table136125[Income]</definedName>
    <definedName name="Income" localSheetId="1">Table13614[Income]</definedName>
    <definedName name="Income" localSheetId="2">Table13635[Income]</definedName>
    <definedName name="Income" localSheetId="3">Table13645[Income]</definedName>
    <definedName name="Income" localSheetId="4">Table13655[Income]</definedName>
    <definedName name="Income" localSheetId="5">Table13665[Income]</definedName>
    <definedName name="Income" localSheetId="6">Table13675[Income]</definedName>
    <definedName name="Income" localSheetId="7">Table13685[Income]</definedName>
    <definedName name="Income" localSheetId="8">Table13695[Income]</definedName>
    <definedName name="Income">Table136[Income]</definedName>
    <definedName name="Living" localSheetId="9">Table137106[Living]</definedName>
    <definedName name="Living" localSheetId="10">Table137116[Living]</definedName>
    <definedName name="Living" localSheetId="11">Table137126[Living]</definedName>
    <definedName name="Living" localSheetId="1">Table13715[Living]</definedName>
    <definedName name="Living" localSheetId="2">Table13736[Living]</definedName>
    <definedName name="Living" localSheetId="3">Table13746[Living]</definedName>
    <definedName name="Living" localSheetId="4">Table13756[Living]</definedName>
    <definedName name="Living" localSheetId="5">Table13766[Living]</definedName>
    <definedName name="Living" localSheetId="6">Table13776[Living]</definedName>
    <definedName name="Living" localSheetId="7">Table13786[Living]</definedName>
    <definedName name="Living" localSheetId="8">Table13796[Living]</definedName>
    <definedName name="Living">Table137[Living]</definedName>
    <definedName name="Misc." localSheetId="9">Table139108[Misc.]</definedName>
    <definedName name="Misc." localSheetId="10">Table139118[Misc.]</definedName>
    <definedName name="Misc." localSheetId="11">Table139128[Misc.]</definedName>
    <definedName name="Misc." localSheetId="1">Table13917[Misc.]</definedName>
    <definedName name="Misc." localSheetId="2">Table13938[Misc.]</definedName>
    <definedName name="Misc." localSheetId="3">Table13948[Misc.]</definedName>
    <definedName name="Misc." localSheetId="4">Table13958[Misc.]</definedName>
    <definedName name="Misc." localSheetId="5">Table13968[Misc.]</definedName>
    <definedName name="Misc." localSheetId="6">Table13978[Misc.]</definedName>
    <definedName name="Misc." localSheetId="7">Table13988[Misc.]</definedName>
    <definedName name="Misc." localSheetId="8">Table13998[Misc.]</definedName>
    <definedName name="Misc.">Table139[Misc.]</definedName>
    <definedName name="_xlnm.Print_Area" localSheetId="0">Mo.1!$B$1:$U$66</definedName>
    <definedName name="_xlnm.Print_Area" localSheetId="9">Mo.10!$C$1:$V$66</definedName>
    <definedName name="_xlnm.Print_Area" localSheetId="10">Mo.11!$C$1:$V$66</definedName>
    <definedName name="_xlnm.Print_Area" localSheetId="11">Mo.12!$C$1:$V$66</definedName>
    <definedName name="_xlnm.Print_Area" localSheetId="1">Mo.2!$C$1:$V$66</definedName>
    <definedName name="_xlnm.Print_Area" localSheetId="2">Mo.3!$C$1:$V$66</definedName>
    <definedName name="_xlnm.Print_Area" localSheetId="3">Mo.4!$C$1:$V$66</definedName>
    <definedName name="_xlnm.Print_Area" localSheetId="4">Mo.5!$C$1:$V$66</definedName>
    <definedName name="_xlnm.Print_Area" localSheetId="5">Mo.6!$C$1:$V$66</definedName>
    <definedName name="_xlnm.Print_Area" localSheetId="6">Mo.7!$C$1:$V$66</definedName>
    <definedName name="_xlnm.Print_Area" localSheetId="7">Mo.8!$C$1:$V$66</definedName>
    <definedName name="_xlnm.Print_Area" localSheetId="8">Mo.9!$C$1:$V$66</definedName>
    <definedName name="Transportation" localSheetId="9">Table13103[Transportation]</definedName>
    <definedName name="Transportation" localSheetId="10">Table13113[Transportation]</definedName>
    <definedName name="Transportation" localSheetId="11">Table13123[Transportation]</definedName>
    <definedName name="Transportation" localSheetId="1">Table1312[Transportation]</definedName>
    <definedName name="Transportation" localSheetId="2">Table1333[Transportation]</definedName>
    <definedName name="Transportation" localSheetId="3">Table1343[Transportation]</definedName>
    <definedName name="Transportation" localSheetId="4">Table1353[Transportation]</definedName>
    <definedName name="Transportation" localSheetId="5">Table1363[Transportation]</definedName>
    <definedName name="Transportation" localSheetId="6">Table1373[Transportation]</definedName>
    <definedName name="Transportation" localSheetId="7">Table1383[Transportation]</definedName>
    <definedName name="Transportation" localSheetId="8">Table1393[Transportation]</definedName>
    <definedName name="Transportation">Table13[Transportation]</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 l="1"/>
  <c r="E13" i="5"/>
  <c r="E14" i="5"/>
  <c r="E15" i="5"/>
  <c r="E16" i="5"/>
  <c r="E4" i="5"/>
  <c r="E20" i="5"/>
  <c r="E21" i="5"/>
  <c r="E22" i="5"/>
  <c r="E23" i="5"/>
  <c r="E24" i="5"/>
  <c r="E25" i="5"/>
  <c r="E26" i="5"/>
  <c r="E27" i="5"/>
  <c r="E28" i="5"/>
  <c r="E29" i="5"/>
  <c r="E33" i="5"/>
  <c r="E34" i="5"/>
  <c r="E35" i="5"/>
  <c r="E36" i="5"/>
  <c r="E37" i="5"/>
  <c r="E41" i="5"/>
  <c r="E42" i="5"/>
  <c r="E43" i="5"/>
  <c r="E44" i="5"/>
  <c r="E45" i="5"/>
  <c r="E46" i="5"/>
  <c r="E50" i="5"/>
  <c r="E51" i="5"/>
  <c r="E52" i="5"/>
  <c r="E53" i="5"/>
  <c r="E54" i="5"/>
  <c r="E58" i="5"/>
  <c r="E59" i="5"/>
  <c r="E60" i="5"/>
  <c r="E64" i="5"/>
  <c r="E65" i="5"/>
  <c r="E66" i="5"/>
  <c r="E5" i="5"/>
  <c r="E6" i="5"/>
  <c r="E3" i="6"/>
  <c r="E12" i="6"/>
  <c r="E13" i="6"/>
  <c r="E14" i="6"/>
  <c r="E15" i="6"/>
  <c r="E16" i="6"/>
  <c r="E4" i="6"/>
  <c r="E20" i="6"/>
  <c r="E21" i="6"/>
  <c r="E22" i="6"/>
  <c r="E23" i="6"/>
  <c r="E24" i="6"/>
  <c r="E25" i="6"/>
  <c r="E26" i="6"/>
  <c r="E27" i="6"/>
  <c r="E28" i="6"/>
  <c r="E29" i="6"/>
  <c r="E33" i="6"/>
  <c r="E34" i="6"/>
  <c r="E35" i="6"/>
  <c r="E36" i="6"/>
  <c r="E37" i="6"/>
  <c r="E41" i="6"/>
  <c r="E42" i="6"/>
  <c r="E43" i="6"/>
  <c r="E44" i="6"/>
  <c r="E45" i="6"/>
  <c r="E46" i="6"/>
  <c r="E50" i="6"/>
  <c r="E51" i="6"/>
  <c r="E52" i="6"/>
  <c r="E53" i="6"/>
  <c r="E54" i="6"/>
  <c r="E58" i="6"/>
  <c r="E59" i="6"/>
  <c r="E60" i="6"/>
  <c r="E64" i="6"/>
  <c r="E65" i="6"/>
  <c r="E66" i="6"/>
  <c r="E5" i="6"/>
  <c r="E6" i="6"/>
  <c r="E3" i="7"/>
  <c r="E12" i="7"/>
  <c r="E13" i="7"/>
  <c r="E14" i="7"/>
  <c r="E15" i="7"/>
  <c r="E16" i="7"/>
  <c r="E4" i="7"/>
  <c r="E20" i="7"/>
  <c r="E21" i="7"/>
  <c r="E22" i="7"/>
  <c r="E23" i="7"/>
  <c r="E24" i="7"/>
  <c r="E25" i="7"/>
  <c r="E26" i="7"/>
  <c r="E27" i="7"/>
  <c r="E28" i="7"/>
  <c r="E29" i="7"/>
  <c r="E33" i="7"/>
  <c r="E34" i="7"/>
  <c r="E35" i="7"/>
  <c r="E36" i="7"/>
  <c r="E37" i="7"/>
  <c r="E41" i="7"/>
  <c r="E42" i="7"/>
  <c r="E43" i="7"/>
  <c r="E44" i="7"/>
  <c r="E45" i="7"/>
  <c r="E46" i="7"/>
  <c r="E50" i="7"/>
  <c r="E51" i="7"/>
  <c r="E52" i="7"/>
  <c r="E53" i="7"/>
  <c r="E54" i="7"/>
  <c r="E58" i="7"/>
  <c r="E59" i="7"/>
  <c r="E60" i="7"/>
  <c r="E64" i="7"/>
  <c r="E65" i="7"/>
  <c r="E66" i="7"/>
  <c r="E5" i="7"/>
  <c r="E6" i="7"/>
  <c r="E3" i="8"/>
  <c r="E12" i="8"/>
  <c r="E13" i="8"/>
  <c r="E14" i="8"/>
  <c r="E15" i="8"/>
  <c r="E16" i="8"/>
  <c r="E4" i="8"/>
  <c r="E20" i="8"/>
  <c r="E21" i="8"/>
  <c r="E22" i="8"/>
  <c r="E23" i="8"/>
  <c r="E24" i="8"/>
  <c r="E25" i="8"/>
  <c r="E26" i="8"/>
  <c r="E27" i="8"/>
  <c r="E28" i="8"/>
  <c r="E29" i="8"/>
  <c r="E33" i="8"/>
  <c r="E34" i="8"/>
  <c r="E35" i="8"/>
  <c r="E36" i="8"/>
  <c r="E37" i="8"/>
  <c r="E41" i="8"/>
  <c r="E42" i="8"/>
  <c r="E43" i="8"/>
  <c r="E44" i="8"/>
  <c r="E45" i="8"/>
  <c r="E46" i="8"/>
  <c r="E50" i="8"/>
  <c r="E51" i="8"/>
  <c r="E52" i="8"/>
  <c r="E53" i="8"/>
  <c r="E54" i="8"/>
  <c r="E58" i="8"/>
  <c r="E59" i="8"/>
  <c r="E60" i="8"/>
  <c r="E64" i="8"/>
  <c r="E65" i="8"/>
  <c r="E66" i="8"/>
  <c r="E5" i="8"/>
  <c r="E6" i="8"/>
  <c r="E3" i="9"/>
  <c r="E12" i="9"/>
  <c r="E13" i="9"/>
  <c r="E14" i="9"/>
  <c r="E15" i="9"/>
  <c r="E16" i="9"/>
  <c r="E4" i="9"/>
  <c r="E20" i="9"/>
  <c r="E21" i="9"/>
  <c r="E22" i="9"/>
  <c r="E23" i="9"/>
  <c r="E24" i="9"/>
  <c r="E25" i="9"/>
  <c r="E26" i="9"/>
  <c r="E27" i="9"/>
  <c r="E28" i="9"/>
  <c r="E29" i="9"/>
  <c r="E33" i="9"/>
  <c r="E34" i="9"/>
  <c r="E35" i="9"/>
  <c r="E36" i="9"/>
  <c r="E37" i="9"/>
  <c r="E41" i="9"/>
  <c r="E42" i="9"/>
  <c r="E43" i="9"/>
  <c r="E44" i="9"/>
  <c r="E45" i="9"/>
  <c r="E46" i="9"/>
  <c r="E50" i="9"/>
  <c r="E51" i="9"/>
  <c r="E52" i="9"/>
  <c r="E53" i="9"/>
  <c r="E54" i="9"/>
  <c r="E58" i="9"/>
  <c r="E59" i="9"/>
  <c r="E60" i="9"/>
  <c r="E64" i="9"/>
  <c r="E65" i="9"/>
  <c r="E66" i="9"/>
  <c r="E5" i="9"/>
  <c r="E6" i="9"/>
  <c r="E3" i="10"/>
  <c r="E12" i="10"/>
  <c r="E13" i="10"/>
  <c r="E14" i="10"/>
  <c r="E15" i="10"/>
  <c r="E16" i="10"/>
  <c r="E4" i="10"/>
  <c r="E20" i="10"/>
  <c r="E21" i="10"/>
  <c r="E22" i="10"/>
  <c r="E23" i="10"/>
  <c r="E24" i="10"/>
  <c r="E25" i="10"/>
  <c r="E26" i="10"/>
  <c r="E27" i="10"/>
  <c r="E28" i="10"/>
  <c r="E29" i="10"/>
  <c r="E33" i="10"/>
  <c r="E34" i="10"/>
  <c r="E35" i="10"/>
  <c r="E36" i="10"/>
  <c r="E37" i="10"/>
  <c r="E41" i="10"/>
  <c r="E42" i="10"/>
  <c r="E43" i="10"/>
  <c r="E44" i="10"/>
  <c r="E45" i="10"/>
  <c r="E46" i="10"/>
  <c r="E50" i="10"/>
  <c r="E51" i="10"/>
  <c r="E52" i="10"/>
  <c r="E53" i="10"/>
  <c r="E54" i="10"/>
  <c r="E58" i="10"/>
  <c r="E59" i="10"/>
  <c r="E60" i="10"/>
  <c r="E64" i="10"/>
  <c r="E65" i="10"/>
  <c r="E66" i="10"/>
  <c r="E5" i="10"/>
  <c r="E6" i="10"/>
  <c r="E3" i="11"/>
  <c r="E12" i="11"/>
  <c r="E13" i="11"/>
  <c r="E14" i="11"/>
  <c r="E15" i="11"/>
  <c r="E16" i="11"/>
  <c r="E4" i="11"/>
  <c r="E20" i="11"/>
  <c r="E21" i="11"/>
  <c r="E22" i="11"/>
  <c r="E23" i="11"/>
  <c r="E24" i="11"/>
  <c r="E25" i="11"/>
  <c r="E26" i="11"/>
  <c r="E27" i="11"/>
  <c r="E28" i="11"/>
  <c r="E29" i="11"/>
  <c r="E33" i="11"/>
  <c r="E34" i="11"/>
  <c r="E35" i="11"/>
  <c r="E36" i="11"/>
  <c r="E37" i="11"/>
  <c r="E41" i="11"/>
  <c r="E42" i="11"/>
  <c r="E43" i="11"/>
  <c r="E44" i="11"/>
  <c r="E45" i="11"/>
  <c r="E46" i="11"/>
  <c r="E50" i="11"/>
  <c r="E51" i="11"/>
  <c r="E52" i="11"/>
  <c r="E53" i="11"/>
  <c r="E54" i="11"/>
  <c r="E58" i="11"/>
  <c r="E59" i="11"/>
  <c r="E60" i="11"/>
  <c r="E64" i="11"/>
  <c r="E65" i="11"/>
  <c r="E66" i="11"/>
  <c r="E5" i="11"/>
  <c r="E6" i="11"/>
  <c r="E3" i="12"/>
  <c r="E12" i="12"/>
  <c r="E13" i="12"/>
  <c r="E14" i="12"/>
  <c r="E15" i="12"/>
  <c r="E16" i="12"/>
  <c r="E4" i="12"/>
  <c r="E20" i="12"/>
  <c r="E21" i="12"/>
  <c r="E22" i="12"/>
  <c r="E23" i="12"/>
  <c r="E24" i="12"/>
  <c r="E25" i="12"/>
  <c r="E26" i="12"/>
  <c r="E27" i="12"/>
  <c r="E28" i="12"/>
  <c r="E29" i="12"/>
  <c r="E33" i="12"/>
  <c r="E34" i="12"/>
  <c r="E35" i="12"/>
  <c r="E36" i="12"/>
  <c r="E37" i="12"/>
  <c r="E41" i="12"/>
  <c r="E42" i="12"/>
  <c r="E43" i="12"/>
  <c r="E44" i="12"/>
  <c r="E45" i="12"/>
  <c r="E46" i="12"/>
  <c r="E50" i="12"/>
  <c r="E51" i="12"/>
  <c r="E52" i="12"/>
  <c r="E53" i="12"/>
  <c r="E54" i="12"/>
  <c r="E58" i="12"/>
  <c r="E59" i="12"/>
  <c r="E60" i="12"/>
  <c r="E64" i="12"/>
  <c r="E65" i="12"/>
  <c r="E66" i="12"/>
  <c r="E5" i="12"/>
  <c r="E6" i="12"/>
  <c r="E3" i="13"/>
  <c r="D3" i="5"/>
  <c r="D16" i="5"/>
  <c r="D4" i="5"/>
  <c r="D29" i="5"/>
  <c r="D37" i="5"/>
  <c r="D46" i="5"/>
  <c r="D54" i="5"/>
  <c r="D60" i="5"/>
  <c r="D66" i="5"/>
  <c r="D5" i="5"/>
  <c r="D6" i="5"/>
  <c r="D3" i="6"/>
  <c r="D16" i="6"/>
  <c r="D4" i="6"/>
  <c r="D29" i="6"/>
  <c r="D37" i="6"/>
  <c r="D46" i="6"/>
  <c r="D54" i="6"/>
  <c r="D60" i="6"/>
  <c r="D66" i="6"/>
  <c r="D5" i="6"/>
  <c r="D6" i="6"/>
  <c r="D3" i="7"/>
  <c r="D16" i="7"/>
  <c r="D4" i="7"/>
  <c r="D29" i="7"/>
  <c r="D37" i="7"/>
  <c r="D46" i="7"/>
  <c r="D54" i="7"/>
  <c r="D60" i="7"/>
  <c r="D66" i="7"/>
  <c r="D5" i="7"/>
  <c r="D6" i="7"/>
  <c r="D3" i="8"/>
  <c r="D16" i="8"/>
  <c r="D4" i="8"/>
  <c r="D29" i="8"/>
  <c r="D37" i="8"/>
  <c r="D46" i="8"/>
  <c r="D54" i="8"/>
  <c r="D60" i="8"/>
  <c r="D66" i="8"/>
  <c r="D5" i="8"/>
  <c r="D6" i="8"/>
  <c r="D3" i="9"/>
  <c r="D16" i="9"/>
  <c r="D4" i="9"/>
  <c r="D29" i="9"/>
  <c r="D37" i="9"/>
  <c r="D46" i="9"/>
  <c r="D54" i="9"/>
  <c r="D60" i="9"/>
  <c r="D66" i="9"/>
  <c r="D5" i="9"/>
  <c r="D6" i="9"/>
  <c r="D3" i="10"/>
  <c r="D16" i="10"/>
  <c r="D4" i="10"/>
  <c r="D29" i="10"/>
  <c r="D37" i="10"/>
  <c r="D46" i="10"/>
  <c r="D54" i="10"/>
  <c r="D60" i="10"/>
  <c r="D66" i="10"/>
  <c r="D5" i="10"/>
  <c r="D6" i="10"/>
  <c r="D3" i="11"/>
  <c r="D16" i="11"/>
  <c r="D4" i="11"/>
  <c r="D29" i="11"/>
  <c r="D37" i="11"/>
  <c r="D46" i="11"/>
  <c r="D54" i="11"/>
  <c r="D60" i="11"/>
  <c r="D66" i="11"/>
  <c r="D5" i="11"/>
  <c r="D6" i="11"/>
  <c r="D3" i="12"/>
  <c r="D16" i="12"/>
  <c r="D4" i="12"/>
  <c r="D29" i="12"/>
  <c r="D37" i="12"/>
  <c r="D46" i="12"/>
  <c r="D54" i="12"/>
  <c r="D60" i="12"/>
  <c r="D66" i="12"/>
  <c r="D5" i="12"/>
  <c r="D6" i="12"/>
  <c r="D3" i="13"/>
  <c r="C1" i="2"/>
  <c r="C1" i="4"/>
  <c r="C1" i="5"/>
  <c r="C1" i="6"/>
  <c r="C1" i="7"/>
  <c r="C1" i="8"/>
  <c r="C1" i="9"/>
  <c r="C1" i="10"/>
  <c r="C1" i="11"/>
  <c r="C1" i="12"/>
  <c r="C1" i="13"/>
  <c r="E64" i="13"/>
  <c r="F64" i="13"/>
  <c r="E65" i="13"/>
  <c r="F65" i="13"/>
  <c r="F66" i="13"/>
  <c r="E66" i="13"/>
  <c r="D66" i="13"/>
  <c r="C62" i="13"/>
  <c r="E58" i="13"/>
  <c r="F58" i="13"/>
  <c r="E59" i="13"/>
  <c r="F59" i="13"/>
  <c r="F60" i="13"/>
  <c r="E60" i="13"/>
  <c r="D60" i="13"/>
  <c r="C56" i="13"/>
  <c r="E50" i="13"/>
  <c r="F50" i="13"/>
  <c r="E51" i="13"/>
  <c r="F51" i="13"/>
  <c r="E52" i="13"/>
  <c r="F52" i="13"/>
  <c r="E53" i="13"/>
  <c r="F53" i="13"/>
  <c r="F54" i="13"/>
  <c r="E54" i="13"/>
  <c r="D54" i="13"/>
  <c r="C48" i="13"/>
  <c r="E41" i="13"/>
  <c r="F41" i="13"/>
  <c r="E42" i="13"/>
  <c r="F42" i="13"/>
  <c r="E43" i="13"/>
  <c r="F43" i="13"/>
  <c r="E44" i="13"/>
  <c r="F44" i="13"/>
  <c r="E45" i="13"/>
  <c r="F45" i="13"/>
  <c r="F46" i="13"/>
  <c r="E46" i="13"/>
  <c r="D46" i="13"/>
  <c r="S12" i="13"/>
  <c r="T12" i="13"/>
  <c r="U12" i="13"/>
  <c r="V12" i="13"/>
  <c r="S13" i="13"/>
  <c r="T13" i="13"/>
  <c r="U13" i="13"/>
  <c r="V13" i="13"/>
  <c r="S14" i="13"/>
  <c r="T14" i="13"/>
  <c r="U14" i="13"/>
  <c r="V14" i="13"/>
  <c r="S15" i="13"/>
  <c r="T15" i="13"/>
  <c r="U15" i="13"/>
  <c r="V15" i="13"/>
  <c r="S16" i="13"/>
  <c r="T16" i="13"/>
  <c r="U16" i="13"/>
  <c r="V16" i="13"/>
  <c r="S17" i="13"/>
  <c r="T17" i="13"/>
  <c r="U17" i="13"/>
  <c r="V17" i="13"/>
  <c r="S18" i="13"/>
  <c r="T18" i="13"/>
  <c r="U18" i="13"/>
  <c r="V18" i="13"/>
  <c r="S19" i="13"/>
  <c r="T19" i="13"/>
  <c r="U19" i="13"/>
  <c r="V19" i="13"/>
  <c r="S20" i="13"/>
  <c r="T20" i="13"/>
  <c r="U20" i="13"/>
  <c r="V20" i="13"/>
  <c r="S21" i="13"/>
  <c r="T21" i="13"/>
  <c r="U21" i="13"/>
  <c r="V21" i="13"/>
  <c r="S22" i="13"/>
  <c r="T22" i="13"/>
  <c r="U22" i="13"/>
  <c r="V22" i="13"/>
  <c r="S23" i="13"/>
  <c r="T23" i="13"/>
  <c r="U23" i="13"/>
  <c r="V23" i="13"/>
  <c r="S24" i="13"/>
  <c r="T24" i="13"/>
  <c r="U24" i="13"/>
  <c r="V24" i="13"/>
  <c r="S25" i="13"/>
  <c r="T25" i="13"/>
  <c r="U25" i="13"/>
  <c r="V25" i="13"/>
  <c r="S26" i="13"/>
  <c r="T26" i="13"/>
  <c r="U26" i="13"/>
  <c r="V26" i="13"/>
  <c r="S27" i="13"/>
  <c r="T27" i="13"/>
  <c r="U27" i="13"/>
  <c r="V27" i="13"/>
  <c r="S28" i="13"/>
  <c r="T28" i="13"/>
  <c r="U28" i="13"/>
  <c r="V28" i="13"/>
  <c r="S29" i="13"/>
  <c r="T29" i="13"/>
  <c r="U29" i="13"/>
  <c r="V29" i="13"/>
  <c r="S30" i="13"/>
  <c r="T30" i="13"/>
  <c r="U30" i="13"/>
  <c r="V30" i="13"/>
  <c r="S31" i="13"/>
  <c r="T31" i="13"/>
  <c r="U31" i="13"/>
  <c r="V31" i="13"/>
  <c r="S32" i="13"/>
  <c r="T32" i="13"/>
  <c r="U32" i="13"/>
  <c r="V32" i="13"/>
  <c r="S33" i="13"/>
  <c r="T33" i="13"/>
  <c r="U33" i="13"/>
  <c r="V33" i="13"/>
  <c r="S34" i="13"/>
  <c r="T34" i="13"/>
  <c r="U34" i="13"/>
  <c r="V34" i="13"/>
  <c r="S35" i="13"/>
  <c r="T35" i="13"/>
  <c r="U35" i="13"/>
  <c r="V35" i="13"/>
  <c r="S36" i="13"/>
  <c r="T36" i="13"/>
  <c r="U36" i="13"/>
  <c r="V36" i="13"/>
  <c r="S37" i="13"/>
  <c r="T37" i="13"/>
  <c r="U37" i="13"/>
  <c r="V37" i="13"/>
  <c r="S38" i="13"/>
  <c r="T38" i="13"/>
  <c r="U38" i="13"/>
  <c r="V38" i="13"/>
  <c r="S39" i="13"/>
  <c r="T39" i="13"/>
  <c r="U39" i="13"/>
  <c r="V39" i="13"/>
  <c r="S40" i="13"/>
  <c r="T40" i="13"/>
  <c r="U40" i="13"/>
  <c r="V40" i="13"/>
  <c r="S41" i="13"/>
  <c r="T41" i="13"/>
  <c r="U41" i="13"/>
  <c r="V41" i="13"/>
  <c r="S42" i="13"/>
  <c r="T42" i="13"/>
  <c r="U42" i="13"/>
  <c r="V42" i="13"/>
  <c r="V2"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C39" i="13"/>
  <c r="E33" i="13"/>
  <c r="F33" i="13"/>
  <c r="E34" i="13"/>
  <c r="F34" i="13"/>
  <c r="E35" i="13"/>
  <c r="F35" i="13"/>
  <c r="E36" i="13"/>
  <c r="F36" i="13"/>
  <c r="F37" i="13"/>
  <c r="E37" i="13"/>
  <c r="D37" i="13"/>
  <c r="C31" i="13"/>
  <c r="E20" i="13"/>
  <c r="F20" i="13"/>
  <c r="E21" i="13"/>
  <c r="F21" i="13"/>
  <c r="E22" i="13"/>
  <c r="F22" i="13"/>
  <c r="E23" i="13"/>
  <c r="F23" i="13"/>
  <c r="E24" i="13"/>
  <c r="F24" i="13"/>
  <c r="E25" i="13"/>
  <c r="F25" i="13"/>
  <c r="E26" i="13"/>
  <c r="F26" i="13"/>
  <c r="E27" i="13"/>
  <c r="F27" i="13"/>
  <c r="E28" i="13"/>
  <c r="F28" i="13"/>
  <c r="F29" i="13"/>
  <c r="E29" i="13"/>
  <c r="D29" i="13"/>
  <c r="C18" i="13"/>
  <c r="E12" i="13"/>
  <c r="F12" i="13"/>
  <c r="E13" i="13"/>
  <c r="F13" i="13"/>
  <c r="E14" i="13"/>
  <c r="F14" i="13"/>
  <c r="E15" i="13"/>
  <c r="F15" i="13"/>
  <c r="F16" i="13"/>
  <c r="E16" i="13"/>
  <c r="D16" i="13"/>
  <c r="C10" i="13"/>
  <c r="T8" i="13"/>
  <c r="S8" i="13"/>
  <c r="R8" i="13"/>
  <c r="T7" i="13"/>
  <c r="S7" i="13"/>
  <c r="R7" i="13"/>
  <c r="T6" i="13"/>
  <c r="S6" i="13"/>
  <c r="R6" i="13"/>
  <c r="F3" i="13"/>
  <c r="E4" i="13"/>
  <c r="D4" i="13"/>
  <c r="F4" i="13"/>
  <c r="E5" i="13"/>
  <c r="D5" i="13"/>
  <c r="F5" i="13"/>
  <c r="F6" i="13"/>
  <c r="E6" i="13"/>
  <c r="D6" i="13"/>
  <c r="T5" i="13"/>
  <c r="S5" i="13"/>
  <c r="R5" i="13"/>
  <c r="T4" i="13"/>
  <c r="S4" i="13"/>
  <c r="R4" i="13"/>
  <c r="T3" i="13"/>
  <c r="S3" i="13"/>
  <c r="R3" i="13"/>
  <c r="T2" i="13"/>
  <c r="S2" i="13"/>
  <c r="R2" i="13"/>
  <c r="F64" i="12"/>
  <c r="F65" i="12"/>
  <c r="F66" i="12"/>
  <c r="C62" i="12"/>
  <c r="F58" i="12"/>
  <c r="F59" i="12"/>
  <c r="F60" i="12"/>
  <c r="C56" i="12"/>
  <c r="F50" i="12"/>
  <c r="F51" i="12"/>
  <c r="F52" i="12"/>
  <c r="F53" i="12"/>
  <c r="F54" i="12"/>
  <c r="C48" i="12"/>
  <c r="F41" i="12"/>
  <c r="F42" i="12"/>
  <c r="F43" i="12"/>
  <c r="F44" i="12"/>
  <c r="F45" i="12"/>
  <c r="F46" i="12"/>
  <c r="C39" i="12"/>
  <c r="F33" i="12"/>
  <c r="F34" i="12"/>
  <c r="F35" i="12"/>
  <c r="F36" i="12"/>
  <c r="F37" i="12"/>
  <c r="C31" i="12"/>
  <c r="F20" i="12"/>
  <c r="F21" i="12"/>
  <c r="F22" i="12"/>
  <c r="F23" i="12"/>
  <c r="F24" i="12"/>
  <c r="F25" i="12"/>
  <c r="F26" i="12"/>
  <c r="F27" i="12"/>
  <c r="F28" i="12"/>
  <c r="F29" i="12"/>
  <c r="C18" i="12"/>
  <c r="F12" i="12"/>
  <c r="F13" i="12"/>
  <c r="F14" i="12"/>
  <c r="F15" i="12"/>
  <c r="F16" i="12"/>
  <c r="C10" i="12"/>
  <c r="T8" i="12"/>
  <c r="S8" i="12"/>
  <c r="R8" i="12"/>
  <c r="T7" i="12"/>
  <c r="S7" i="12"/>
  <c r="R7" i="12"/>
  <c r="T6" i="12"/>
  <c r="S6" i="12"/>
  <c r="R6" i="12"/>
  <c r="F3" i="12"/>
  <c r="F4" i="12"/>
  <c r="F5" i="12"/>
  <c r="F6" i="12"/>
  <c r="T5" i="12"/>
  <c r="S5" i="12"/>
  <c r="R5" i="12"/>
  <c r="T4" i="12"/>
  <c r="S4" i="12"/>
  <c r="R4" i="12"/>
  <c r="T3" i="12"/>
  <c r="S3" i="12"/>
  <c r="R3" i="12"/>
  <c r="T2" i="12"/>
  <c r="S2" i="12"/>
  <c r="R2" i="12"/>
  <c r="F64" i="11"/>
  <c r="F65" i="11"/>
  <c r="F66" i="11"/>
  <c r="C62" i="11"/>
  <c r="F58" i="11"/>
  <c r="F59" i="11"/>
  <c r="F60" i="11"/>
  <c r="C56" i="11"/>
  <c r="F50" i="11"/>
  <c r="F51" i="11"/>
  <c r="F52" i="11"/>
  <c r="F53" i="11"/>
  <c r="F54" i="11"/>
  <c r="C48" i="11"/>
  <c r="F41" i="11"/>
  <c r="F42" i="11"/>
  <c r="F43" i="11"/>
  <c r="F44" i="11"/>
  <c r="F45" i="11"/>
  <c r="F46" i="11"/>
  <c r="S12" i="11"/>
  <c r="T12" i="11"/>
  <c r="U12" i="11"/>
  <c r="V12" i="11"/>
  <c r="S13" i="11"/>
  <c r="T13" i="11"/>
  <c r="U13" i="11"/>
  <c r="V13" i="11"/>
  <c r="S14" i="11"/>
  <c r="T14" i="11"/>
  <c r="U14" i="11"/>
  <c r="V14" i="11"/>
  <c r="S15" i="11"/>
  <c r="T15" i="11"/>
  <c r="U15" i="11"/>
  <c r="V15" i="11"/>
  <c r="S16" i="11"/>
  <c r="T16" i="11"/>
  <c r="U16" i="11"/>
  <c r="V16" i="11"/>
  <c r="S17" i="11"/>
  <c r="T17" i="11"/>
  <c r="U17" i="11"/>
  <c r="V17" i="11"/>
  <c r="S18" i="11"/>
  <c r="T18" i="11"/>
  <c r="U18" i="11"/>
  <c r="V18" i="11"/>
  <c r="S19" i="11"/>
  <c r="T19" i="11"/>
  <c r="U19" i="11"/>
  <c r="V19" i="11"/>
  <c r="S20" i="11"/>
  <c r="T20" i="11"/>
  <c r="U20" i="11"/>
  <c r="V20" i="11"/>
  <c r="S21" i="11"/>
  <c r="T21" i="11"/>
  <c r="U21" i="11"/>
  <c r="V21" i="11"/>
  <c r="S22" i="11"/>
  <c r="T22" i="11"/>
  <c r="U22" i="11"/>
  <c r="V22" i="11"/>
  <c r="S23" i="11"/>
  <c r="T23" i="11"/>
  <c r="U23" i="11"/>
  <c r="V23" i="11"/>
  <c r="S24" i="11"/>
  <c r="T24" i="11"/>
  <c r="U24" i="11"/>
  <c r="V24" i="11"/>
  <c r="S25" i="11"/>
  <c r="T25" i="11"/>
  <c r="U25" i="11"/>
  <c r="V25" i="11"/>
  <c r="S26" i="11"/>
  <c r="T26" i="11"/>
  <c r="U26" i="11"/>
  <c r="V26" i="11"/>
  <c r="S27" i="11"/>
  <c r="T27" i="11"/>
  <c r="U27" i="11"/>
  <c r="V27" i="11"/>
  <c r="S28" i="11"/>
  <c r="T28" i="11"/>
  <c r="U28" i="11"/>
  <c r="V28" i="11"/>
  <c r="S29" i="11"/>
  <c r="T29" i="11"/>
  <c r="U29" i="11"/>
  <c r="V29" i="11"/>
  <c r="S30" i="11"/>
  <c r="T30" i="11"/>
  <c r="U30" i="11"/>
  <c r="V30" i="11"/>
  <c r="S31" i="11"/>
  <c r="T31" i="11"/>
  <c r="U31" i="11"/>
  <c r="V31" i="11"/>
  <c r="S32" i="11"/>
  <c r="T32" i="11"/>
  <c r="U32" i="11"/>
  <c r="V32" i="11"/>
  <c r="S33" i="11"/>
  <c r="T33" i="11"/>
  <c r="U33" i="11"/>
  <c r="V33" i="11"/>
  <c r="S34" i="11"/>
  <c r="T34" i="11"/>
  <c r="U34" i="11"/>
  <c r="V34" i="11"/>
  <c r="S35" i="11"/>
  <c r="T35" i="11"/>
  <c r="U35" i="11"/>
  <c r="V35" i="11"/>
  <c r="S36" i="11"/>
  <c r="T36" i="11"/>
  <c r="U36" i="11"/>
  <c r="V36" i="11"/>
  <c r="S37" i="11"/>
  <c r="T37" i="11"/>
  <c r="U37" i="11"/>
  <c r="V37" i="11"/>
  <c r="S38" i="11"/>
  <c r="T38" i="11"/>
  <c r="U38" i="11"/>
  <c r="V38" i="11"/>
  <c r="S39" i="11"/>
  <c r="T39" i="11"/>
  <c r="U39" i="11"/>
  <c r="V39" i="11"/>
  <c r="S40" i="11"/>
  <c r="T40" i="11"/>
  <c r="U40" i="11"/>
  <c r="V40" i="11"/>
  <c r="S41" i="11"/>
  <c r="T41" i="11"/>
  <c r="U41" i="11"/>
  <c r="V41" i="11"/>
  <c r="S42" i="11"/>
  <c r="T42" i="11"/>
  <c r="U42" i="11"/>
  <c r="V42" i="11"/>
  <c r="V2"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C39" i="11"/>
  <c r="F33" i="11"/>
  <c r="F34" i="11"/>
  <c r="F35" i="11"/>
  <c r="F36" i="11"/>
  <c r="F37" i="11"/>
  <c r="C31" i="11"/>
  <c r="F20" i="11"/>
  <c r="F21" i="11"/>
  <c r="F22" i="11"/>
  <c r="F23" i="11"/>
  <c r="F24" i="11"/>
  <c r="F25" i="11"/>
  <c r="F26" i="11"/>
  <c r="F27" i="11"/>
  <c r="F28" i="11"/>
  <c r="F29" i="11"/>
  <c r="C18" i="11"/>
  <c r="F12" i="11"/>
  <c r="F13" i="11"/>
  <c r="F14" i="11"/>
  <c r="F15" i="11"/>
  <c r="F16" i="11"/>
  <c r="C10" i="11"/>
  <c r="T8" i="11"/>
  <c r="S8" i="11"/>
  <c r="R8" i="11"/>
  <c r="T7" i="11"/>
  <c r="S7" i="11"/>
  <c r="R7" i="11"/>
  <c r="T6" i="11"/>
  <c r="S6" i="11"/>
  <c r="R6" i="11"/>
  <c r="F3" i="11"/>
  <c r="F4" i="11"/>
  <c r="F5" i="11"/>
  <c r="F6" i="11"/>
  <c r="T5" i="11"/>
  <c r="S5" i="11"/>
  <c r="R5" i="11"/>
  <c r="T4" i="11"/>
  <c r="S4" i="11"/>
  <c r="R4" i="11"/>
  <c r="T3" i="11"/>
  <c r="S3" i="11"/>
  <c r="R3" i="11"/>
  <c r="T2" i="11"/>
  <c r="S2" i="11"/>
  <c r="R2" i="11"/>
  <c r="F64" i="10"/>
  <c r="F65" i="10"/>
  <c r="F66" i="10"/>
  <c r="C62" i="10"/>
  <c r="F58" i="10"/>
  <c r="F59" i="10"/>
  <c r="F60" i="10"/>
  <c r="C56" i="10"/>
  <c r="F50" i="10"/>
  <c r="F51" i="10"/>
  <c r="F52" i="10"/>
  <c r="F53" i="10"/>
  <c r="F54" i="10"/>
  <c r="C48" i="10"/>
  <c r="F41" i="10"/>
  <c r="F42" i="10"/>
  <c r="F43" i="10"/>
  <c r="F44" i="10"/>
  <c r="F45" i="10"/>
  <c r="F46" i="10"/>
  <c r="S12" i="10"/>
  <c r="T12" i="10"/>
  <c r="U12" i="10"/>
  <c r="V12" i="10"/>
  <c r="S13" i="10"/>
  <c r="T13" i="10"/>
  <c r="U13" i="10"/>
  <c r="V13" i="10"/>
  <c r="S14" i="10"/>
  <c r="T14" i="10"/>
  <c r="U14" i="10"/>
  <c r="V14" i="10"/>
  <c r="S15" i="10"/>
  <c r="T15" i="10"/>
  <c r="U15" i="10"/>
  <c r="V15" i="10"/>
  <c r="S16" i="10"/>
  <c r="T16" i="10"/>
  <c r="U16" i="10"/>
  <c r="V16" i="10"/>
  <c r="S17" i="10"/>
  <c r="T17" i="10"/>
  <c r="U17" i="10"/>
  <c r="V17" i="10"/>
  <c r="S18" i="10"/>
  <c r="T18" i="10"/>
  <c r="U18" i="10"/>
  <c r="V18" i="10"/>
  <c r="S19" i="10"/>
  <c r="T19" i="10"/>
  <c r="U19" i="10"/>
  <c r="V19" i="10"/>
  <c r="S20" i="10"/>
  <c r="T20" i="10"/>
  <c r="U20" i="10"/>
  <c r="V20" i="10"/>
  <c r="S21" i="10"/>
  <c r="T21" i="10"/>
  <c r="U21" i="10"/>
  <c r="V21" i="10"/>
  <c r="S22" i="10"/>
  <c r="T22" i="10"/>
  <c r="U22" i="10"/>
  <c r="V22" i="10"/>
  <c r="S23" i="10"/>
  <c r="T23" i="10"/>
  <c r="U23" i="10"/>
  <c r="V23" i="10"/>
  <c r="S24" i="10"/>
  <c r="T24" i="10"/>
  <c r="U24" i="10"/>
  <c r="V24" i="10"/>
  <c r="S25" i="10"/>
  <c r="T25" i="10"/>
  <c r="U25" i="10"/>
  <c r="V25" i="10"/>
  <c r="S26" i="10"/>
  <c r="T26" i="10"/>
  <c r="U26" i="10"/>
  <c r="V26" i="10"/>
  <c r="S27" i="10"/>
  <c r="T27" i="10"/>
  <c r="U27" i="10"/>
  <c r="V27" i="10"/>
  <c r="S28" i="10"/>
  <c r="T28" i="10"/>
  <c r="U28" i="10"/>
  <c r="V28" i="10"/>
  <c r="S29" i="10"/>
  <c r="T29" i="10"/>
  <c r="U29" i="10"/>
  <c r="V29" i="10"/>
  <c r="S30" i="10"/>
  <c r="T30" i="10"/>
  <c r="U30" i="10"/>
  <c r="V30" i="10"/>
  <c r="S31" i="10"/>
  <c r="T31" i="10"/>
  <c r="U31" i="10"/>
  <c r="V31" i="10"/>
  <c r="S32" i="10"/>
  <c r="T32" i="10"/>
  <c r="U32" i="10"/>
  <c r="V32" i="10"/>
  <c r="S33" i="10"/>
  <c r="T33" i="10"/>
  <c r="U33" i="10"/>
  <c r="V33" i="10"/>
  <c r="S34" i="10"/>
  <c r="T34" i="10"/>
  <c r="U34" i="10"/>
  <c r="V34" i="10"/>
  <c r="S35" i="10"/>
  <c r="T35" i="10"/>
  <c r="U35" i="10"/>
  <c r="V35" i="10"/>
  <c r="S36" i="10"/>
  <c r="T36" i="10"/>
  <c r="U36" i="10"/>
  <c r="V36" i="10"/>
  <c r="S37" i="10"/>
  <c r="T37" i="10"/>
  <c r="U37" i="10"/>
  <c r="V37" i="10"/>
  <c r="S38" i="10"/>
  <c r="T38" i="10"/>
  <c r="U38" i="10"/>
  <c r="V38" i="10"/>
  <c r="S39" i="10"/>
  <c r="T39" i="10"/>
  <c r="U39" i="10"/>
  <c r="V39" i="10"/>
  <c r="S40" i="10"/>
  <c r="T40" i="10"/>
  <c r="U40" i="10"/>
  <c r="V40" i="10"/>
  <c r="S41" i="10"/>
  <c r="T41" i="10"/>
  <c r="U41" i="10"/>
  <c r="V41" i="10"/>
  <c r="S42" i="10"/>
  <c r="T42" i="10"/>
  <c r="U42" i="10"/>
  <c r="V42" i="10"/>
  <c r="V2"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C39" i="10"/>
  <c r="F33" i="10"/>
  <c r="F34" i="10"/>
  <c r="F35" i="10"/>
  <c r="F36" i="10"/>
  <c r="F37" i="10"/>
  <c r="C31" i="10"/>
  <c r="F20" i="10"/>
  <c r="F21" i="10"/>
  <c r="F22" i="10"/>
  <c r="F23" i="10"/>
  <c r="F24" i="10"/>
  <c r="F25" i="10"/>
  <c r="F26" i="10"/>
  <c r="F27" i="10"/>
  <c r="F28" i="10"/>
  <c r="F29" i="10"/>
  <c r="C18" i="10"/>
  <c r="F12" i="10"/>
  <c r="F13" i="10"/>
  <c r="F14" i="10"/>
  <c r="F15" i="10"/>
  <c r="F16" i="10"/>
  <c r="C10" i="10"/>
  <c r="T8" i="10"/>
  <c r="S8" i="10"/>
  <c r="R8" i="10"/>
  <c r="T7" i="10"/>
  <c r="S7" i="10"/>
  <c r="R7" i="10"/>
  <c r="T6" i="10"/>
  <c r="S6" i="10"/>
  <c r="R6" i="10"/>
  <c r="F3" i="10"/>
  <c r="F4" i="10"/>
  <c r="F5" i="10"/>
  <c r="F6" i="10"/>
  <c r="T5" i="10"/>
  <c r="S5" i="10"/>
  <c r="R5" i="10"/>
  <c r="T4" i="10"/>
  <c r="S4" i="10"/>
  <c r="R4" i="10"/>
  <c r="T3" i="10"/>
  <c r="S3" i="10"/>
  <c r="R3" i="10"/>
  <c r="T2" i="10"/>
  <c r="S2" i="10"/>
  <c r="R2" i="10"/>
  <c r="F64" i="9"/>
  <c r="F65" i="9"/>
  <c r="F66" i="9"/>
  <c r="C62" i="9"/>
  <c r="F58" i="9"/>
  <c r="F59" i="9"/>
  <c r="F60" i="9"/>
  <c r="C56" i="9"/>
  <c r="F50" i="9"/>
  <c r="F51" i="9"/>
  <c r="F52" i="9"/>
  <c r="F53" i="9"/>
  <c r="F54" i="9"/>
  <c r="C48" i="9"/>
  <c r="F41" i="9"/>
  <c r="F42" i="9"/>
  <c r="F43" i="9"/>
  <c r="F44" i="9"/>
  <c r="F45" i="9"/>
  <c r="F46" i="9"/>
  <c r="S12" i="9"/>
  <c r="T12" i="9"/>
  <c r="U12" i="9"/>
  <c r="V12" i="9"/>
  <c r="S13" i="9"/>
  <c r="T13" i="9"/>
  <c r="U13" i="9"/>
  <c r="V13" i="9"/>
  <c r="S14" i="9"/>
  <c r="T14" i="9"/>
  <c r="U14" i="9"/>
  <c r="V14" i="9"/>
  <c r="S15" i="9"/>
  <c r="T15" i="9"/>
  <c r="U15" i="9"/>
  <c r="V15" i="9"/>
  <c r="S16" i="9"/>
  <c r="T16" i="9"/>
  <c r="U16" i="9"/>
  <c r="V16" i="9"/>
  <c r="S17" i="9"/>
  <c r="T17" i="9"/>
  <c r="U17" i="9"/>
  <c r="V17" i="9"/>
  <c r="S18" i="9"/>
  <c r="T18" i="9"/>
  <c r="U18" i="9"/>
  <c r="V18" i="9"/>
  <c r="S19" i="9"/>
  <c r="T19" i="9"/>
  <c r="U19" i="9"/>
  <c r="V19" i="9"/>
  <c r="S20" i="9"/>
  <c r="T20" i="9"/>
  <c r="U20" i="9"/>
  <c r="V20" i="9"/>
  <c r="S21" i="9"/>
  <c r="T21" i="9"/>
  <c r="U21" i="9"/>
  <c r="V21" i="9"/>
  <c r="S22" i="9"/>
  <c r="T22" i="9"/>
  <c r="U22" i="9"/>
  <c r="V22" i="9"/>
  <c r="S23" i="9"/>
  <c r="T23" i="9"/>
  <c r="U23" i="9"/>
  <c r="V23" i="9"/>
  <c r="S24" i="9"/>
  <c r="T24" i="9"/>
  <c r="U24" i="9"/>
  <c r="V24" i="9"/>
  <c r="S25" i="9"/>
  <c r="T25" i="9"/>
  <c r="U25" i="9"/>
  <c r="V25" i="9"/>
  <c r="S26" i="9"/>
  <c r="T26" i="9"/>
  <c r="U26" i="9"/>
  <c r="V26" i="9"/>
  <c r="S27" i="9"/>
  <c r="T27" i="9"/>
  <c r="U27" i="9"/>
  <c r="V27" i="9"/>
  <c r="S28" i="9"/>
  <c r="T28" i="9"/>
  <c r="U28" i="9"/>
  <c r="V28" i="9"/>
  <c r="S29" i="9"/>
  <c r="T29" i="9"/>
  <c r="U29" i="9"/>
  <c r="V29" i="9"/>
  <c r="S30" i="9"/>
  <c r="T30" i="9"/>
  <c r="U30" i="9"/>
  <c r="V30" i="9"/>
  <c r="S31" i="9"/>
  <c r="T31" i="9"/>
  <c r="U31" i="9"/>
  <c r="V31" i="9"/>
  <c r="S32" i="9"/>
  <c r="T32" i="9"/>
  <c r="U32" i="9"/>
  <c r="V32" i="9"/>
  <c r="S33" i="9"/>
  <c r="T33" i="9"/>
  <c r="U33" i="9"/>
  <c r="V33" i="9"/>
  <c r="S34" i="9"/>
  <c r="T34" i="9"/>
  <c r="U34" i="9"/>
  <c r="V34" i="9"/>
  <c r="S35" i="9"/>
  <c r="T35" i="9"/>
  <c r="U35" i="9"/>
  <c r="V35" i="9"/>
  <c r="S36" i="9"/>
  <c r="T36" i="9"/>
  <c r="U36" i="9"/>
  <c r="V36" i="9"/>
  <c r="S37" i="9"/>
  <c r="T37" i="9"/>
  <c r="U37" i="9"/>
  <c r="V37" i="9"/>
  <c r="S38" i="9"/>
  <c r="T38" i="9"/>
  <c r="U38" i="9"/>
  <c r="V38" i="9"/>
  <c r="S39" i="9"/>
  <c r="T39" i="9"/>
  <c r="U39" i="9"/>
  <c r="V39" i="9"/>
  <c r="S40" i="9"/>
  <c r="T40" i="9"/>
  <c r="U40" i="9"/>
  <c r="V40" i="9"/>
  <c r="S41" i="9"/>
  <c r="T41" i="9"/>
  <c r="U41" i="9"/>
  <c r="V41" i="9"/>
  <c r="S42" i="9"/>
  <c r="T42" i="9"/>
  <c r="U42" i="9"/>
  <c r="V42" i="9"/>
  <c r="V2"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C39" i="9"/>
  <c r="F33" i="9"/>
  <c r="F34" i="9"/>
  <c r="F35" i="9"/>
  <c r="F36" i="9"/>
  <c r="F37" i="9"/>
  <c r="C31" i="9"/>
  <c r="F20" i="9"/>
  <c r="F21" i="9"/>
  <c r="F22" i="9"/>
  <c r="F23" i="9"/>
  <c r="F24" i="9"/>
  <c r="F25" i="9"/>
  <c r="F26" i="9"/>
  <c r="F27" i="9"/>
  <c r="F28" i="9"/>
  <c r="F29" i="9"/>
  <c r="C18" i="9"/>
  <c r="F12" i="9"/>
  <c r="F13" i="9"/>
  <c r="F14" i="9"/>
  <c r="F15" i="9"/>
  <c r="F16" i="9"/>
  <c r="C10" i="9"/>
  <c r="T8" i="9"/>
  <c r="S8" i="9"/>
  <c r="R8" i="9"/>
  <c r="T7" i="9"/>
  <c r="S7" i="9"/>
  <c r="R7" i="9"/>
  <c r="T6" i="9"/>
  <c r="S6" i="9"/>
  <c r="R6" i="9"/>
  <c r="F3" i="9"/>
  <c r="F4" i="9"/>
  <c r="F5" i="9"/>
  <c r="F6" i="9"/>
  <c r="T5" i="9"/>
  <c r="S5" i="9"/>
  <c r="R5" i="9"/>
  <c r="T4" i="9"/>
  <c r="S4" i="9"/>
  <c r="R4" i="9"/>
  <c r="T3" i="9"/>
  <c r="S3" i="9"/>
  <c r="R3" i="9"/>
  <c r="T2" i="9"/>
  <c r="S2" i="9"/>
  <c r="R2" i="9"/>
  <c r="F64" i="8"/>
  <c r="F65" i="8"/>
  <c r="F66" i="8"/>
  <c r="C62" i="8"/>
  <c r="F58" i="8"/>
  <c r="F59" i="8"/>
  <c r="F60" i="8"/>
  <c r="C56" i="8"/>
  <c r="F50" i="8"/>
  <c r="F51" i="8"/>
  <c r="F52" i="8"/>
  <c r="F53" i="8"/>
  <c r="F54" i="8"/>
  <c r="C48" i="8"/>
  <c r="F41" i="8"/>
  <c r="F42" i="8"/>
  <c r="F43" i="8"/>
  <c r="F44" i="8"/>
  <c r="F45" i="8"/>
  <c r="F46" i="8"/>
  <c r="S12" i="8"/>
  <c r="T12" i="8"/>
  <c r="U12" i="8"/>
  <c r="V12" i="8"/>
  <c r="S13" i="8"/>
  <c r="T13" i="8"/>
  <c r="U13" i="8"/>
  <c r="V13" i="8"/>
  <c r="S14" i="8"/>
  <c r="T14" i="8"/>
  <c r="U14" i="8"/>
  <c r="V14" i="8"/>
  <c r="S15" i="8"/>
  <c r="T15" i="8"/>
  <c r="U15" i="8"/>
  <c r="V15" i="8"/>
  <c r="S16" i="8"/>
  <c r="T16" i="8"/>
  <c r="U16" i="8"/>
  <c r="V16" i="8"/>
  <c r="S17" i="8"/>
  <c r="T17" i="8"/>
  <c r="U17" i="8"/>
  <c r="V17" i="8"/>
  <c r="S18" i="8"/>
  <c r="T18" i="8"/>
  <c r="U18" i="8"/>
  <c r="V18" i="8"/>
  <c r="S19" i="8"/>
  <c r="T19" i="8"/>
  <c r="U19" i="8"/>
  <c r="V19" i="8"/>
  <c r="S20" i="8"/>
  <c r="T20" i="8"/>
  <c r="U20" i="8"/>
  <c r="V20" i="8"/>
  <c r="S21" i="8"/>
  <c r="T21" i="8"/>
  <c r="U21" i="8"/>
  <c r="V21" i="8"/>
  <c r="S22" i="8"/>
  <c r="T22" i="8"/>
  <c r="U22" i="8"/>
  <c r="V22" i="8"/>
  <c r="S23" i="8"/>
  <c r="T23" i="8"/>
  <c r="U23" i="8"/>
  <c r="V23" i="8"/>
  <c r="S24" i="8"/>
  <c r="T24" i="8"/>
  <c r="U24" i="8"/>
  <c r="V24" i="8"/>
  <c r="S25" i="8"/>
  <c r="T25" i="8"/>
  <c r="U25" i="8"/>
  <c r="V25" i="8"/>
  <c r="S26" i="8"/>
  <c r="T26" i="8"/>
  <c r="U26" i="8"/>
  <c r="V26" i="8"/>
  <c r="S27" i="8"/>
  <c r="T27" i="8"/>
  <c r="U27" i="8"/>
  <c r="V27" i="8"/>
  <c r="S28" i="8"/>
  <c r="T28" i="8"/>
  <c r="U28" i="8"/>
  <c r="V28" i="8"/>
  <c r="S29" i="8"/>
  <c r="T29" i="8"/>
  <c r="U29" i="8"/>
  <c r="V29" i="8"/>
  <c r="S30" i="8"/>
  <c r="T30" i="8"/>
  <c r="U30" i="8"/>
  <c r="V30" i="8"/>
  <c r="S31" i="8"/>
  <c r="T31" i="8"/>
  <c r="U31" i="8"/>
  <c r="V31" i="8"/>
  <c r="S32" i="8"/>
  <c r="T32" i="8"/>
  <c r="U32" i="8"/>
  <c r="V32" i="8"/>
  <c r="S33" i="8"/>
  <c r="T33" i="8"/>
  <c r="U33" i="8"/>
  <c r="V33" i="8"/>
  <c r="S34" i="8"/>
  <c r="T34" i="8"/>
  <c r="U34" i="8"/>
  <c r="V34" i="8"/>
  <c r="S35" i="8"/>
  <c r="T35" i="8"/>
  <c r="U35" i="8"/>
  <c r="V35" i="8"/>
  <c r="S36" i="8"/>
  <c r="T36" i="8"/>
  <c r="U36" i="8"/>
  <c r="V36" i="8"/>
  <c r="S37" i="8"/>
  <c r="T37" i="8"/>
  <c r="U37" i="8"/>
  <c r="V37" i="8"/>
  <c r="S38" i="8"/>
  <c r="T38" i="8"/>
  <c r="U38" i="8"/>
  <c r="V38" i="8"/>
  <c r="S39" i="8"/>
  <c r="T39" i="8"/>
  <c r="U39" i="8"/>
  <c r="V39" i="8"/>
  <c r="S40" i="8"/>
  <c r="T40" i="8"/>
  <c r="U40" i="8"/>
  <c r="V40" i="8"/>
  <c r="S41" i="8"/>
  <c r="T41" i="8"/>
  <c r="U41" i="8"/>
  <c r="V41" i="8"/>
  <c r="S42" i="8"/>
  <c r="T42" i="8"/>
  <c r="U42" i="8"/>
  <c r="V42" i="8"/>
  <c r="V2"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C39" i="8"/>
  <c r="F33" i="8"/>
  <c r="F34" i="8"/>
  <c r="F35" i="8"/>
  <c r="F36" i="8"/>
  <c r="F37" i="8"/>
  <c r="C31" i="8"/>
  <c r="F20" i="8"/>
  <c r="F21" i="8"/>
  <c r="F22" i="8"/>
  <c r="F23" i="8"/>
  <c r="F24" i="8"/>
  <c r="F25" i="8"/>
  <c r="F26" i="8"/>
  <c r="F27" i="8"/>
  <c r="F28" i="8"/>
  <c r="F29" i="8"/>
  <c r="C18" i="8"/>
  <c r="F12" i="8"/>
  <c r="F13" i="8"/>
  <c r="F14" i="8"/>
  <c r="F15" i="8"/>
  <c r="F16" i="8"/>
  <c r="C10" i="8"/>
  <c r="T8" i="8"/>
  <c r="S8" i="8"/>
  <c r="R8" i="8"/>
  <c r="T7" i="8"/>
  <c r="S7" i="8"/>
  <c r="R7" i="8"/>
  <c r="T6" i="8"/>
  <c r="S6" i="8"/>
  <c r="R6" i="8"/>
  <c r="F3" i="8"/>
  <c r="F4" i="8"/>
  <c r="F5" i="8"/>
  <c r="F6" i="8"/>
  <c r="T5" i="8"/>
  <c r="S5" i="8"/>
  <c r="R5" i="8"/>
  <c r="T4" i="8"/>
  <c r="S4" i="8"/>
  <c r="R4" i="8"/>
  <c r="T3" i="8"/>
  <c r="S3" i="8"/>
  <c r="R3" i="8"/>
  <c r="T2" i="8"/>
  <c r="S2" i="8"/>
  <c r="R2" i="8"/>
  <c r="F64" i="7"/>
  <c r="F65" i="7"/>
  <c r="F66" i="7"/>
  <c r="C62" i="7"/>
  <c r="F58" i="7"/>
  <c r="F59" i="7"/>
  <c r="F60" i="7"/>
  <c r="C56" i="7"/>
  <c r="F50" i="7"/>
  <c r="F51" i="7"/>
  <c r="F52" i="7"/>
  <c r="F53" i="7"/>
  <c r="F54" i="7"/>
  <c r="C48" i="7"/>
  <c r="F41" i="7"/>
  <c r="F42" i="7"/>
  <c r="F43" i="7"/>
  <c r="F44" i="7"/>
  <c r="F45" i="7"/>
  <c r="F46" i="7"/>
  <c r="S12" i="7"/>
  <c r="T12" i="7"/>
  <c r="U12" i="7"/>
  <c r="V12" i="7"/>
  <c r="S13" i="7"/>
  <c r="T13" i="7"/>
  <c r="U13" i="7"/>
  <c r="V13" i="7"/>
  <c r="S14" i="7"/>
  <c r="T14" i="7"/>
  <c r="U14" i="7"/>
  <c r="V14" i="7"/>
  <c r="S15" i="7"/>
  <c r="T15" i="7"/>
  <c r="U15" i="7"/>
  <c r="V15" i="7"/>
  <c r="S16" i="7"/>
  <c r="T16" i="7"/>
  <c r="U16" i="7"/>
  <c r="V16" i="7"/>
  <c r="S17" i="7"/>
  <c r="T17" i="7"/>
  <c r="U17" i="7"/>
  <c r="V17" i="7"/>
  <c r="S18" i="7"/>
  <c r="T18" i="7"/>
  <c r="U18" i="7"/>
  <c r="V18" i="7"/>
  <c r="S19" i="7"/>
  <c r="T19" i="7"/>
  <c r="U19" i="7"/>
  <c r="V19" i="7"/>
  <c r="S20" i="7"/>
  <c r="T20" i="7"/>
  <c r="U20" i="7"/>
  <c r="V20" i="7"/>
  <c r="S21" i="7"/>
  <c r="T21" i="7"/>
  <c r="U21" i="7"/>
  <c r="V21" i="7"/>
  <c r="S22" i="7"/>
  <c r="T22" i="7"/>
  <c r="U22" i="7"/>
  <c r="V22" i="7"/>
  <c r="S23" i="7"/>
  <c r="T23" i="7"/>
  <c r="U23" i="7"/>
  <c r="V23" i="7"/>
  <c r="S24" i="7"/>
  <c r="T24" i="7"/>
  <c r="U24" i="7"/>
  <c r="V24" i="7"/>
  <c r="S25" i="7"/>
  <c r="T25" i="7"/>
  <c r="U25" i="7"/>
  <c r="V25" i="7"/>
  <c r="S26" i="7"/>
  <c r="T26" i="7"/>
  <c r="U26" i="7"/>
  <c r="V26" i="7"/>
  <c r="S27" i="7"/>
  <c r="T27" i="7"/>
  <c r="U27" i="7"/>
  <c r="V27" i="7"/>
  <c r="S28" i="7"/>
  <c r="T28" i="7"/>
  <c r="U28" i="7"/>
  <c r="V28" i="7"/>
  <c r="S29" i="7"/>
  <c r="T29" i="7"/>
  <c r="U29" i="7"/>
  <c r="V29" i="7"/>
  <c r="S30" i="7"/>
  <c r="T30" i="7"/>
  <c r="U30" i="7"/>
  <c r="V30" i="7"/>
  <c r="S31" i="7"/>
  <c r="T31" i="7"/>
  <c r="U31" i="7"/>
  <c r="V31" i="7"/>
  <c r="S32" i="7"/>
  <c r="T32" i="7"/>
  <c r="U32" i="7"/>
  <c r="V32" i="7"/>
  <c r="S33" i="7"/>
  <c r="T33" i="7"/>
  <c r="U33" i="7"/>
  <c r="V33" i="7"/>
  <c r="S34" i="7"/>
  <c r="T34" i="7"/>
  <c r="U34" i="7"/>
  <c r="V34" i="7"/>
  <c r="S35" i="7"/>
  <c r="T35" i="7"/>
  <c r="U35" i="7"/>
  <c r="V35" i="7"/>
  <c r="S36" i="7"/>
  <c r="T36" i="7"/>
  <c r="U36" i="7"/>
  <c r="V36" i="7"/>
  <c r="S37" i="7"/>
  <c r="T37" i="7"/>
  <c r="U37" i="7"/>
  <c r="V37" i="7"/>
  <c r="S38" i="7"/>
  <c r="T38" i="7"/>
  <c r="U38" i="7"/>
  <c r="V38" i="7"/>
  <c r="S39" i="7"/>
  <c r="T39" i="7"/>
  <c r="U39" i="7"/>
  <c r="V39" i="7"/>
  <c r="S40" i="7"/>
  <c r="T40" i="7"/>
  <c r="U40" i="7"/>
  <c r="V40" i="7"/>
  <c r="S41" i="7"/>
  <c r="T41" i="7"/>
  <c r="U41" i="7"/>
  <c r="V41" i="7"/>
  <c r="S42" i="7"/>
  <c r="T42" i="7"/>
  <c r="U42" i="7"/>
  <c r="V42" i="7"/>
  <c r="V2"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C39" i="7"/>
  <c r="F33" i="7"/>
  <c r="F34" i="7"/>
  <c r="F35" i="7"/>
  <c r="F36" i="7"/>
  <c r="F37" i="7"/>
  <c r="C31" i="7"/>
  <c r="F20" i="7"/>
  <c r="F21" i="7"/>
  <c r="F22" i="7"/>
  <c r="F23" i="7"/>
  <c r="F24" i="7"/>
  <c r="F25" i="7"/>
  <c r="F26" i="7"/>
  <c r="F27" i="7"/>
  <c r="F28" i="7"/>
  <c r="F29" i="7"/>
  <c r="C18" i="7"/>
  <c r="F12" i="7"/>
  <c r="F13" i="7"/>
  <c r="F14" i="7"/>
  <c r="F15" i="7"/>
  <c r="F16" i="7"/>
  <c r="C10" i="7"/>
  <c r="T8" i="7"/>
  <c r="S8" i="7"/>
  <c r="R8" i="7"/>
  <c r="T7" i="7"/>
  <c r="S7" i="7"/>
  <c r="R7" i="7"/>
  <c r="T6" i="7"/>
  <c r="S6" i="7"/>
  <c r="R6" i="7"/>
  <c r="F3" i="7"/>
  <c r="F4" i="7"/>
  <c r="F5" i="7"/>
  <c r="F6" i="7"/>
  <c r="T5" i="7"/>
  <c r="S5" i="7"/>
  <c r="R5" i="7"/>
  <c r="T4" i="7"/>
  <c r="S4" i="7"/>
  <c r="R4" i="7"/>
  <c r="T3" i="7"/>
  <c r="S3" i="7"/>
  <c r="R3" i="7"/>
  <c r="T2" i="7"/>
  <c r="S2" i="7"/>
  <c r="R2" i="7"/>
  <c r="F64" i="6"/>
  <c r="F65" i="6"/>
  <c r="F66" i="6"/>
  <c r="C62" i="6"/>
  <c r="F58" i="6"/>
  <c r="F59" i="6"/>
  <c r="F60" i="6"/>
  <c r="C56" i="6"/>
  <c r="F50" i="6"/>
  <c r="F51" i="6"/>
  <c r="F52" i="6"/>
  <c r="F53" i="6"/>
  <c r="F54" i="6"/>
  <c r="C48" i="6"/>
  <c r="F41" i="6"/>
  <c r="F42" i="6"/>
  <c r="F43" i="6"/>
  <c r="F44" i="6"/>
  <c r="F45" i="6"/>
  <c r="F46" i="6"/>
  <c r="S12" i="6"/>
  <c r="T12" i="6"/>
  <c r="U12" i="6"/>
  <c r="V12" i="6"/>
  <c r="S13" i="6"/>
  <c r="T13" i="6"/>
  <c r="U13" i="6"/>
  <c r="V13" i="6"/>
  <c r="S14" i="6"/>
  <c r="T14" i="6"/>
  <c r="U14" i="6"/>
  <c r="V14" i="6"/>
  <c r="S15" i="6"/>
  <c r="T15" i="6"/>
  <c r="U15" i="6"/>
  <c r="V15" i="6"/>
  <c r="S16" i="6"/>
  <c r="T16" i="6"/>
  <c r="U16" i="6"/>
  <c r="V16" i="6"/>
  <c r="S17" i="6"/>
  <c r="T17" i="6"/>
  <c r="U17" i="6"/>
  <c r="V17" i="6"/>
  <c r="S18" i="6"/>
  <c r="T18" i="6"/>
  <c r="U18" i="6"/>
  <c r="V18" i="6"/>
  <c r="S19" i="6"/>
  <c r="T19" i="6"/>
  <c r="U19" i="6"/>
  <c r="V19" i="6"/>
  <c r="S20" i="6"/>
  <c r="T20" i="6"/>
  <c r="U20" i="6"/>
  <c r="V20" i="6"/>
  <c r="S21" i="6"/>
  <c r="T21" i="6"/>
  <c r="U21" i="6"/>
  <c r="V21" i="6"/>
  <c r="S22" i="6"/>
  <c r="T22" i="6"/>
  <c r="U22" i="6"/>
  <c r="V22" i="6"/>
  <c r="S23" i="6"/>
  <c r="T23" i="6"/>
  <c r="U23" i="6"/>
  <c r="V23" i="6"/>
  <c r="S24" i="6"/>
  <c r="T24" i="6"/>
  <c r="U24" i="6"/>
  <c r="V24" i="6"/>
  <c r="S25" i="6"/>
  <c r="T25" i="6"/>
  <c r="U25" i="6"/>
  <c r="V25" i="6"/>
  <c r="S26" i="6"/>
  <c r="T26" i="6"/>
  <c r="U26" i="6"/>
  <c r="V26" i="6"/>
  <c r="S27" i="6"/>
  <c r="T27" i="6"/>
  <c r="U27" i="6"/>
  <c r="V27" i="6"/>
  <c r="S28" i="6"/>
  <c r="T28" i="6"/>
  <c r="U28" i="6"/>
  <c r="V28" i="6"/>
  <c r="S29" i="6"/>
  <c r="T29" i="6"/>
  <c r="U29" i="6"/>
  <c r="V29" i="6"/>
  <c r="S30" i="6"/>
  <c r="T30" i="6"/>
  <c r="U30" i="6"/>
  <c r="V30" i="6"/>
  <c r="S31" i="6"/>
  <c r="T31" i="6"/>
  <c r="U31" i="6"/>
  <c r="V31" i="6"/>
  <c r="S32" i="6"/>
  <c r="T32" i="6"/>
  <c r="U32" i="6"/>
  <c r="V32" i="6"/>
  <c r="S33" i="6"/>
  <c r="T33" i="6"/>
  <c r="U33" i="6"/>
  <c r="V33" i="6"/>
  <c r="S34" i="6"/>
  <c r="T34" i="6"/>
  <c r="U34" i="6"/>
  <c r="V34" i="6"/>
  <c r="S35" i="6"/>
  <c r="T35" i="6"/>
  <c r="U35" i="6"/>
  <c r="V35" i="6"/>
  <c r="S36" i="6"/>
  <c r="T36" i="6"/>
  <c r="U36" i="6"/>
  <c r="V36" i="6"/>
  <c r="S37" i="6"/>
  <c r="T37" i="6"/>
  <c r="U37" i="6"/>
  <c r="V37" i="6"/>
  <c r="S38" i="6"/>
  <c r="T38" i="6"/>
  <c r="U38" i="6"/>
  <c r="V38" i="6"/>
  <c r="S39" i="6"/>
  <c r="T39" i="6"/>
  <c r="U39" i="6"/>
  <c r="V39" i="6"/>
  <c r="S40" i="6"/>
  <c r="T40" i="6"/>
  <c r="U40" i="6"/>
  <c r="V40" i="6"/>
  <c r="S41" i="6"/>
  <c r="T41" i="6"/>
  <c r="U41" i="6"/>
  <c r="V41" i="6"/>
  <c r="S42" i="6"/>
  <c r="T42" i="6"/>
  <c r="U42" i="6"/>
  <c r="V42" i="6"/>
  <c r="V2"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C39" i="6"/>
  <c r="F33" i="6"/>
  <c r="F34" i="6"/>
  <c r="F35" i="6"/>
  <c r="F36" i="6"/>
  <c r="F37" i="6"/>
  <c r="C31" i="6"/>
  <c r="F20" i="6"/>
  <c r="F21" i="6"/>
  <c r="F22" i="6"/>
  <c r="F23" i="6"/>
  <c r="F24" i="6"/>
  <c r="F25" i="6"/>
  <c r="F26" i="6"/>
  <c r="F27" i="6"/>
  <c r="F28" i="6"/>
  <c r="F29" i="6"/>
  <c r="C18" i="6"/>
  <c r="F12" i="6"/>
  <c r="F13" i="6"/>
  <c r="F14" i="6"/>
  <c r="F15" i="6"/>
  <c r="F16" i="6"/>
  <c r="C10" i="6"/>
  <c r="T8" i="6"/>
  <c r="S8" i="6"/>
  <c r="R8" i="6"/>
  <c r="T7" i="6"/>
  <c r="S7" i="6"/>
  <c r="R7" i="6"/>
  <c r="T6" i="6"/>
  <c r="S6" i="6"/>
  <c r="R6" i="6"/>
  <c r="F3" i="6"/>
  <c r="F4" i="6"/>
  <c r="F5" i="6"/>
  <c r="F6" i="6"/>
  <c r="T5" i="6"/>
  <c r="S5" i="6"/>
  <c r="R5" i="6"/>
  <c r="T4" i="6"/>
  <c r="S4" i="6"/>
  <c r="R4" i="6"/>
  <c r="T3" i="6"/>
  <c r="S3" i="6"/>
  <c r="R3" i="6"/>
  <c r="T2" i="6"/>
  <c r="S2" i="6"/>
  <c r="R2" i="6"/>
  <c r="F64" i="5"/>
  <c r="F65" i="5"/>
  <c r="F66" i="5"/>
  <c r="C62" i="5"/>
  <c r="F58" i="5"/>
  <c r="F59" i="5"/>
  <c r="F60" i="5"/>
  <c r="C56" i="5"/>
  <c r="F50" i="5"/>
  <c r="F51" i="5"/>
  <c r="F52" i="5"/>
  <c r="F53" i="5"/>
  <c r="F54" i="5"/>
  <c r="C48" i="5"/>
  <c r="F41" i="5"/>
  <c r="F42" i="5"/>
  <c r="F43" i="5"/>
  <c r="F44" i="5"/>
  <c r="F45" i="5"/>
  <c r="F46" i="5"/>
  <c r="S12" i="5"/>
  <c r="T12" i="5"/>
  <c r="U12" i="5"/>
  <c r="V12" i="5"/>
  <c r="S13" i="5"/>
  <c r="T13" i="5"/>
  <c r="U13" i="5"/>
  <c r="V13" i="5"/>
  <c r="S14" i="5"/>
  <c r="T14" i="5"/>
  <c r="U14" i="5"/>
  <c r="V14" i="5"/>
  <c r="S15" i="5"/>
  <c r="T15" i="5"/>
  <c r="U15" i="5"/>
  <c r="V15" i="5"/>
  <c r="S16" i="5"/>
  <c r="T16" i="5"/>
  <c r="U16" i="5"/>
  <c r="V16" i="5"/>
  <c r="S17" i="5"/>
  <c r="T17" i="5"/>
  <c r="U17" i="5"/>
  <c r="V17" i="5"/>
  <c r="S18" i="5"/>
  <c r="T18" i="5"/>
  <c r="U18" i="5"/>
  <c r="V18" i="5"/>
  <c r="S19" i="5"/>
  <c r="T19" i="5"/>
  <c r="U19" i="5"/>
  <c r="V19" i="5"/>
  <c r="S20" i="5"/>
  <c r="T20" i="5"/>
  <c r="U20" i="5"/>
  <c r="V20" i="5"/>
  <c r="S21" i="5"/>
  <c r="T21" i="5"/>
  <c r="U21" i="5"/>
  <c r="V21" i="5"/>
  <c r="S22" i="5"/>
  <c r="T22" i="5"/>
  <c r="U22" i="5"/>
  <c r="V22" i="5"/>
  <c r="S23" i="5"/>
  <c r="T23" i="5"/>
  <c r="U23" i="5"/>
  <c r="V23" i="5"/>
  <c r="S24" i="5"/>
  <c r="T24" i="5"/>
  <c r="U24" i="5"/>
  <c r="V24" i="5"/>
  <c r="S25" i="5"/>
  <c r="T25" i="5"/>
  <c r="U25" i="5"/>
  <c r="V25" i="5"/>
  <c r="S26" i="5"/>
  <c r="T26" i="5"/>
  <c r="U26" i="5"/>
  <c r="V26" i="5"/>
  <c r="S27" i="5"/>
  <c r="T27" i="5"/>
  <c r="U27" i="5"/>
  <c r="V27" i="5"/>
  <c r="S28" i="5"/>
  <c r="T28" i="5"/>
  <c r="U28" i="5"/>
  <c r="V28" i="5"/>
  <c r="S29" i="5"/>
  <c r="T29" i="5"/>
  <c r="U29" i="5"/>
  <c r="V29" i="5"/>
  <c r="S30" i="5"/>
  <c r="T30" i="5"/>
  <c r="U30" i="5"/>
  <c r="V30" i="5"/>
  <c r="S31" i="5"/>
  <c r="T31" i="5"/>
  <c r="U31" i="5"/>
  <c r="V31" i="5"/>
  <c r="S32" i="5"/>
  <c r="T32" i="5"/>
  <c r="U32" i="5"/>
  <c r="V32" i="5"/>
  <c r="S33" i="5"/>
  <c r="T33" i="5"/>
  <c r="U33" i="5"/>
  <c r="V33" i="5"/>
  <c r="S34" i="5"/>
  <c r="T34" i="5"/>
  <c r="U34" i="5"/>
  <c r="V34" i="5"/>
  <c r="S35" i="5"/>
  <c r="T35" i="5"/>
  <c r="U35" i="5"/>
  <c r="V35" i="5"/>
  <c r="S36" i="5"/>
  <c r="T36" i="5"/>
  <c r="U36" i="5"/>
  <c r="V36" i="5"/>
  <c r="S37" i="5"/>
  <c r="T37" i="5"/>
  <c r="U37" i="5"/>
  <c r="V37" i="5"/>
  <c r="S38" i="5"/>
  <c r="T38" i="5"/>
  <c r="U38" i="5"/>
  <c r="V38" i="5"/>
  <c r="S39" i="5"/>
  <c r="T39" i="5"/>
  <c r="U39" i="5"/>
  <c r="V39" i="5"/>
  <c r="S40" i="5"/>
  <c r="T40" i="5"/>
  <c r="U40" i="5"/>
  <c r="V40" i="5"/>
  <c r="S41" i="5"/>
  <c r="T41" i="5"/>
  <c r="U41" i="5"/>
  <c r="V41" i="5"/>
  <c r="S42" i="5"/>
  <c r="T42" i="5"/>
  <c r="U42" i="5"/>
  <c r="V42" i="5"/>
  <c r="V2"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C39" i="5"/>
  <c r="F33" i="5"/>
  <c r="F34" i="5"/>
  <c r="F35" i="5"/>
  <c r="F36" i="5"/>
  <c r="F37" i="5"/>
  <c r="C31" i="5"/>
  <c r="F20" i="5"/>
  <c r="F21" i="5"/>
  <c r="F22" i="5"/>
  <c r="F23" i="5"/>
  <c r="F24" i="5"/>
  <c r="F25" i="5"/>
  <c r="F26" i="5"/>
  <c r="F27" i="5"/>
  <c r="F28" i="5"/>
  <c r="F29" i="5"/>
  <c r="C18" i="5"/>
  <c r="F12" i="5"/>
  <c r="F13" i="5"/>
  <c r="F14" i="5"/>
  <c r="F15" i="5"/>
  <c r="F16" i="5"/>
  <c r="C10" i="5"/>
  <c r="T8" i="5"/>
  <c r="S8" i="5"/>
  <c r="R8" i="5"/>
  <c r="T7" i="5"/>
  <c r="S7" i="5"/>
  <c r="R7" i="5"/>
  <c r="T6" i="5"/>
  <c r="S6" i="5"/>
  <c r="R6" i="5"/>
  <c r="F3" i="5"/>
  <c r="F4" i="5"/>
  <c r="F5" i="5"/>
  <c r="F6" i="5"/>
  <c r="T5" i="5"/>
  <c r="S5" i="5"/>
  <c r="R5" i="5"/>
  <c r="T4" i="5"/>
  <c r="S4" i="5"/>
  <c r="R4" i="5"/>
  <c r="T3" i="5"/>
  <c r="S3" i="5"/>
  <c r="R3" i="5"/>
  <c r="T2" i="5"/>
  <c r="S2" i="5"/>
  <c r="R2" i="5"/>
  <c r="D20" i="1"/>
  <c r="D21" i="1"/>
  <c r="D22" i="1"/>
  <c r="D23" i="1"/>
  <c r="D24" i="1"/>
  <c r="D25" i="1"/>
  <c r="D26" i="1"/>
  <c r="D27" i="1"/>
  <c r="D28" i="1"/>
  <c r="D29" i="1"/>
  <c r="D33" i="1"/>
  <c r="D34" i="1"/>
  <c r="D35" i="1"/>
  <c r="D36" i="1"/>
  <c r="D37" i="1"/>
  <c r="D41" i="1"/>
  <c r="D42" i="1"/>
  <c r="D43" i="1"/>
  <c r="D44" i="1"/>
  <c r="D45" i="1"/>
  <c r="D46" i="1"/>
  <c r="D50" i="1"/>
  <c r="D51" i="1"/>
  <c r="D52" i="1"/>
  <c r="D53" i="1"/>
  <c r="D54" i="1"/>
  <c r="D58" i="1"/>
  <c r="D59" i="1"/>
  <c r="D60" i="1"/>
  <c r="D64" i="1"/>
  <c r="D65" i="1"/>
  <c r="D66" i="1"/>
  <c r="D5" i="1"/>
  <c r="D12" i="1"/>
  <c r="D13" i="1"/>
  <c r="D14" i="1"/>
  <c r="D15" i="1"/>
  <c r="D16" i="1"/>
  <c r="D4" i="1"/>
  <c r="D6" i="1"/>
  <c r="E3" i="2"/>
  <c r="E12" i="2"/>
  <c r="E13" i="2"/>
  <c r="E14" i="2"/>
  <c r="E15" i="2"/>
  <c r="E16" i="2"/>
  <c r="E4" i="2"/>
  <c r="E20" i="2"/>
  <c r="E21" i="2"/>
  <c r="E22" i="2"/>
  <c r="E23" i="2"/>
  <c r="E24" i="2"/>
  <c r="E25" i="2"/>
  <c r="E26" i="2"/>
  <c r="E27" i="2"/>
  <c r="E28" i="2"/>
  <c r="E29" i="2"/>
  <c r="E33" i="2"/>
  <c r="E34" i="2"/>
  <c r="E35" i="2"/>
  <c r="E36" i="2"/>
  <c r="E37" i="2"/>
  <c r="E41" i="2"/>
  <c r="E42" i="2"/>
  <c r="E43" i="2"/>
  <c r="E44" i="2"/>
  <c r="E45" i="2"/>
  <c r="E46" i="2"/>
  <c r="E50" i="2"/>
  <c r="E51" i="2"/>
  <c r="E52" i="2"/>
  <c r="E53" i="2"/>
  <c r="E54" i="2"/>
  <c r="E58" i="2"/>
  <c r="E59" i="2"/>
  <c r="E60" i="2"/>
  <c r="E64" i="2"/>
  <c r="E65" i="2"/>
  <c r="E66" i="2"/>
  <c r="E5" i="2"/>
  <c r="E6" i="2"/>
  <c r="E3" i="4"/>
  <c r="C16" i="1"/>
  <c r="C4" i="1"/>
  <c r="C29" i="1"/>
  <c r="C37" i="1"/>
  <c r="C46" i="1"/>
  <c r="C54" i="1"/>
  <c r="C60" i="1"/>
  <c r="C66" i="1"/>
  <c r="C5" i="1"/>
  <c r="C3" i="1"/>
  <c r="C6" i="1"/>
  <c r="D3" i="2"/>
  <c r="D16" i="2"/>
  <c r="D4" i="2"/>
  <c r="D29" i="2"/>
  <c r="D37" i="2"/>
  <c r="D46" i="2"/>
  <c r="D54" i="2"/>
  <c r="D60" i="2"/>
  <c r="D66" i="2"/>
  <c r="D5" i="2"/>
  <c r="D6" i="2"/>
  <c r="D3" i="4"/>
  <c r="E64" i="4"/>
  <c r="F64" i="4"/>
  <c r="E65" i="4"/>
  <c r="F65" i="4"/>
  <c r="F66" i="4"/>
  <c r="E66" i="4"/>
  <c r="D66" i="4"/>
  <c r="C62" i="4"/>
  <c r="E58" i="4"/>
  <c r="F58" i="4"/>
  <c r="E59" i="4"/>
  <c r="F59" i="4"/>
  <c r="F60" i="4"/>
  <c r="E60" i="4"/>
  <c r="D60" i="4"/>
  <c r="C56" i="4"/>
  <c r="E50" i="4"/>
  <c r="F50" i="4"/>
  <c r="E51" i="4"/>
  <c r="F51" i="4"/>
  <c r="E52" i="4"/>
  <c r="F52" i="4"/>
  <c r="E53" i="4"/>
  <c r="F53" i="4"/>
  <c r="F54" i="4"/>
  <c r="E54" i="4"/>
  <c r="D54" i="4"/>
  <c r="C48" i="4"/>
  <c r="E41" i="4"/>
  <c r="F41" i="4"/>
  <c r="E42" i="4"/>
  <c r="F42" i="4"/>
  <c r="E43" i="4"/>
  <c r="F43" i="4"/>
  <c r="E44" i="4"/>
  <c r="F44" i="4"/>
  <c r="E45" i="4"/>
  <c r="F45" i="4"/>
  <c r="F46" i="4"/>
  <c r="E46" i="4"/>
  <c r="D46" i="4"/>
  <c r="S12" i="4"/>
  <c r="T12" i="4"/>
  <c r="U12" i="4"/>
  <c r="V12" i="4"/>
  <c r="S13" i="4"/>
  <c r="T13" i="4"/>
  <c r="U13" i="4"/>
  <c r="V13" i="4"/>
  <c r="S14" i="4"/>
  <c r="T14" i="4"/>
  <c r="U14" i="4"/>
  <c r="V14" i="4"/>
  <c r="S15" i="4"/>
  <c r="T15" i="4"/>
  <c r="U15" i="4"/>
  <c r="V15" i="4"/>
  <c r="S16" i="4"/>
  <c r="T16" i="4"/>
  <c r="U16" i="4"/>
  <c r="V16" i="4"/>
  <c r="S17" i="4"/>
  <c r="T17" i="4"/>
  <c r="U17" i="4"/>
  <c r="V17" i="4"/>
  <c r="S18" i="4"/>
  <c r="T18" i="4"/>
  <c r="U18" i="4"/>
  <c r="V18" i="4"/>
  <c r="S19" i="4"/>
  <c r="T19" i="4"/>
  <c r="U19" i="4"/>
  <c r="V19" i="4"/>
  <c r="S20" i="4"/>
  <c r="T20" i="4"/>
  <c r="U20" i="4"/>
  <c r="V20" i="4"/>
  <c r="S21" i="4"/>
  <c r="T21" i="4"/>
  <c r="U21" i="4"/>
  <c r="V21" i="4"/>
  <c r="S22" i="4"/>
  <c r="T22" i="4"/>
  <c r="U22" i="4"/>
  <c r="V22" i="4"/>
  <c r="S23" i="4"/>
  <c r="T23" i="4"/>
  <c r="U23" i="4"/>
  <c r="V23" i="4"/>
  <c r="S24" i="4"/>
  <c r="T24" i="4"/>
  <c r="U24" i="4"/>
  <c r="V24" i="4"/>
  <c r="S25" i="4"/>
  <c r="T25" i="4"/>
  <c r="U25" i="4"/>
  <c r="V25" i="4"/>
  <c r="S26" i="4"/>
  <c r="T26" i="4"/>
  <c r="U26" i="4"/>
  <c r="V26" i="4"/>
  <c r="S27" i="4"/>
  <c r="T27" i="4"/>
  <c r="U27" i="4"/>
  <c r="V27" i="4"/>
  <c r="S28" i="4"/>
  <c r="T28" i="4"/>
  <c r="U28" i="4"/>
  <c r="V28" i="4"/>
  <c r="S29" i="4"/>
  <c r="T29" i="4"/>
  <c r="U29" i="4"/>
  <c r="V29" i="4"/>
  <c r="S30" i="4"/>
  <c r="T30" i="4"/>
  <c r="U30" i="4"/>
  <c r="V30" i="4"/>
  <c r="S31" i="4"/>
  <c r="T31" i="4"/>
  <c r="U31" i="4"/>
  <c r="V31" i="4"/>
  <c r="S32" i="4"/>
  <c r="T32" i="4"/>
  <c r="U32" i="4"/>
  <c r="V32" i="4"/>
  <c r="S33" i="4"/>
  <c r="T33" i="4"/>
  <c r="U33" i="4"/>
  <c r="V33" i="4"/>
  <c r="S34" i="4"/>
  <c r="T34" i="4"/>
  <c r="U34" i="4"/>
  <c r="V34" i="4"/>
  <c r="S35" i="4"/>
  <c r="T35" i="4"/>
  <c r="U35" i="4"/>
  <c r="V35" i="4"/>
  <c r="S36" i="4"/>
  <c r="T36" i="4"/>
  <c r="U36" i="4"/>
  <c r="V36" i="4"/>
  <c r="S37" i="4"/>
  <c r="T37" i="4"/>
  <c r="U37" i="4"/>
  <c r="V37" i="4"/>
  <c r="S38" i="4"/>
  <c r="T38" i="4"/>
  <c r="U38" i="4"/>
  <c r="V38" i="4"/>
  <c r="S39" i="4"/>
  <c r="T39" i="4"/>
  <c r="U39" i="4"/>
  <c r="V39" i="4"/>
  <c r="S40" i="4"/>
  <c r="T40" i="4"/>
  <c r="U40" i="4"/>
  <c r="V40" i="4"/>
  <c r="S41" i="4"/>
  <c r="T41" i="4"/>
  <c r="U41" i="4"/>
  <c r="V41" i="4"/>
  <c r="S42" i="4"/>
  <c r="T42" i="4"/>
  <c r="U42" i="4"/>
  <c r="V42" i="4"/>
  <c r="V2"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C39" i="4"/>
  <c r="E33" i="4"/>
  <c r="F33" i="4"/>
  <c r="E34" i="4"/>
  <c r="F34" i="4"/>
  <c r="E35" i="4"/>
  <c r="F35" i="4"/>
  <c r="E36" i="4"/>
  <c r="F36" i="4"/>
  <c r="F37" i="4"/>
  <c r="E37" i="4"/>
  <c r="D37" i="4"/>
  <c r="C31" i="4"/>
  <c r="E20" i="4"/>
  <c r="F20" i="4"/>
  <c r="E21" i="4"/>
  <c r="F21" i="4"/>
  <c r="E22" i="4"/>
  <c r="F22" i="4"/>
  <c r="E23" i="4"/>
  <c r="F23" i="4"/>
  <c r="E24" i="4"/>
  <c r="F24" i="4"/>
  <c r="E25" i="4"/>
  <c r="F25" i="4"/>
  <c r="E26" i="4"/>
  <c r="F26" i="4"/>
  <c r="E27" i="4"/>
  <c r="F27" i="4"/>
  <c r="E28" i="4"/>
  <c r="F28" i="4"/>
  <c r="F29" i="4"/>
  <c r="E29" i="4"/>
  <c r="D29" i="4"/>
  <c r="C18" i="4"/>
  <c r="E12" i="4"/>
  <c r="F12" i="4"/>
  <c r="E13" i="4"/>
  <c r="F13" i="4"/>
  <c r="E14" i="4"/>
  <c r="F14" i="4"/>
  <c r="E15" i="4"/>
  <c r="F15" i="4"/>
  <c r="F16" i="4"/>
  <c r="E16" i="4"/>
  <c r="D16" i="4"/>
  <c r="C10" i="4"/>
  <c r="T8" i="4"/>
  <c r="S8" i="4"/>
  <c r="R8" i="4"/>
  <c r="T7" i="4"/>
  <c r="S7" i="4"/>
  <c r="R7" i="4"/>
  <c r="T6" i="4"/>
  <c r="S6" i="4"/>
  <c r="R6" i="4"/>
  <c r="F3" i="4"/>
  <c r="E4" i="4"/>
  <c r="D4" i="4"/>
  <c r="F4" i="4"/>
  <c r="E5" i="4"/>
  <c r="D5" i="4"/>
  <c r="F5" i="4"/>
  <c r="F6" i="4"/>
  <c r="E6" i="4"/>
  <c r="D6" i="4"/>
  <c r="T5" i="4"/>
  <c r="S5" i="4"/>
  <c r="R5" i="4"/>
  <c r="T4" i="4"/>
  <c r="S4" i="4"/>
  <c r="R4" i="4"/>
  <c r="T3" i="4"/>
  <c r="S3" i="4"/>
  <c r="R3" i="4"/>
  <c r="T2" i="4"/>
  <c r="S2" i="4"/>
  <c r="R2" i="4"/>
  <c r="F64" i="2"/>
  <c r="F65" i="2"/>
  <c r="F66" i="2"/>
  <c r="C62" i="2"/>
  <c r="F58" i="2"/>
  <c r="F59" i="2"/>
  <c r="F60" i="2"/>
  <c r="C56" i="2"/>
  <c r="F50" i="2"/>
  <c r="F51" i="2"/>
  <c r="F52" i="2"/>
  <c r="F53" i="2"/>
  <c r="F54" i="2"/>
  <c r="C48" i="2"/>
  <c r="F41" i="2"/>
  <c r="F42" i="2"/>
  <c r="F43" i="2"/>
  <c r="F44" i="2"/>
  <c r="F45" i="2"/>
  <c r="F46" i="2"/>
  <c r="S12" i="2"/>
  <c r="T12" i="2"/>
  <c r="U12" i="2"/>
  <c r="V12" i="2"/>
  <c r="S13" i="2"/>
  <c r="T13" i="2"/>
  <c r="U13" i="2"/>
  <c r="V13" i="2"/>
  <c r="S14" i="2"/>
  <c r="T14" i="2"/>
  <c r="U14" i="2"/>
  <c r="V14" i="2"/>
  <c r="S15" i="2"/>
  <c r="T15" i="2"/>
  <c r="U15" i="2"/>
  <c r="V15" i="2"/>
  <c r="S16" i="2"/>
  <c r="T16" i="2"/>
  <c r="U16" i="2"/>
  <c r="V16" i="2"/>
  <c r="S17" i="2"/>
  <c r="T17" i="2"/>
  <c r="U17" i="2"/>
  <c r="V17" i="2"/>
  <c r="S18" i="2"/>
  <c r="T18" i="2"/>
  <c r="U18" i="2"/>
  <c r="V18" i="2"/>
  <c r="S19" i="2"/>
  <c r="T19" i="2"/>
  <c r="U19" i="2"/>
  <c r="V19" i="2"/>
  <c r="S20" i="2"/>
  <c r="T20" i="2"/>
  <c r="U20" i="2"/>
  <c r="V20" i="2"/>
  <c r="S21" i="2"/>
  <c r="T21" i="2"/>
  <c r="U21" i="2"/>
  <c r="V21" i="2"/>
  <c r="S22" i="2"/>
  <c r="T22" i="2"/>
  <c r="U22" i="2"/>
  <c r="V22" i="2"/>
  <c r="S23" i="2"/>
  <c r="T23" i="2"/>
  <c r="U23" i="2"/>
  <c r="V23" i="2"/>
  <c r="S24" i="2"/>
  <c r="T24" i="2"/>
  <c r="U24" i="2"/>
  <c r="V24" i="2"/>
  <c r="S25" i="2"/>
  <c r="T25" i="2"/>
  <c r="U25" i="2"/>
  <c r="V25" i="2"/>
  <c r="S26" i="2"/>
  <c r="T26" i="2"/>
  <c r="U26" i="2"/>
  <c r="V26" i="2"/>
  <c r="S27" i="2"/>
  <c r="T27" i="2"/>
  <c r="U27" i="2"/>
  <c r="V27" i="2"/>
  <c r="S28" i="2"/>
  <c r="T28" i="2"/>
  <c r="U28" i="2"/>
  <c r="V28" i="2"/>
  <c r="S29" i="2"/>
  <c r="T29" i="2"/>
  <c r="U29" i="2"/>
  <c r="V29" i="2"/>
  <c r="S30" i="2"/>
  <c r="T30" i="2"/>
  <c r="U30" i="2"/>
  <c r="V30" i="2"/>
  <c r="S31" i="2"/>
  <c r="T31" i="2"/>
  <c r="U31" i="2"/>
  <c r="V31" i="2"/>
  <c r="S32" i="2"/>
  <c r="T32" i="2"/>
  <c r="U32" i="2"/>
  <c r="V32" i="2"/>
  <c r="S33" i="2"/>
  <c r="T33" i="2"/>
  <c r="U33" i="2"/>
  <c r="V33" i="2"/>
  <c r="S34" i="2"/>
  <c r="T34" i="2"/>
  <c r="U34" i="2"/>
  <c r="V34" i="2"/>
  <c r="S35" i="2"/>
  <c r="T35" i="2"/>
  <c r="U35" i="2"/>
  <c r="V35" i="2"/>
  <c r="S36" i="2"/>
  <c r="T36" i="2"/>
  <c r="U36" i="2"/>
  <c r="V36" i="2"/>
  <c r="S37" i="2"/>
  <c r="T37" i="2"/>
  <c r="U37" i="2"/>
  <c r="V37" i="2"/>
  <c r="S38" i="2"/>
  <c r="T38" i="2"/>
  <c r="U38" i="2"/>
  <c r="V38" i="2"/>
  <c r="S39" i="2"/>
  <c r="T39" i="2"/>
  <c r="U39" i="2"/>
  <c r="V39" i="2"/>
  <c r="S40" i="2"/>
  <c r="T40" i="2"/>
  <c r="U40" i="2"/>
  <c r="V40" i="2"/>
  <c r="S41" i="2"/>
  <c r="T41" i="2"/>
  <c r="U41" i="2"/>
  <c r="V41" i="2"/>
  <c r="S42" i="2"/>
  <c r="T42" i="2"/>
  <c r="U42" i="2"/>
  <c r="V42" i="2"/>
  <c r="V2"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C39" i="2"/>
  <c r="F33" i="2"/>
  <c r="F34" i="2"/>
  <c r="F35" i="2"/>
  <c r="F36" i="2"/>
  <c r="F37" i="2"/>
  <c r="C31" i="2"/>
  <c r="F20" i="2"/>
  <c r="F21" i="2"/>
  <c r="F22" i="2"/>
  <c r="F23" i="2"/>
  <c r="F24" i="2"/>
  <c r="F25" i="2"/>
  <c r="F26" i="2"/>
  <c r="F27" i="2"/>
  <c r="F28" i="2"/>
  <c r="F29" i="2"/>
  <c r="C18" i="2"/>
  <c r="F12" i="2"/>
  <c r="F13" i="2"/>
  <c r="F14" i="2"/>
  <c r="F15" i="2"/>
  <c r="F16" i="2"/>
  <c r="C10" i="2"/>
  <c r="T8" i="2"/>
  <c r="S8" i="2"/>
  <c r="R8" i="2"/>
  <c r="T7" i="2"/>
  <c r="S7" i="2"/>
  <c r="R7" i="2"/>
  <c r="T6" i="2"/>
  <c r="S6" i="2"/>
  <c r="R6" i="2"/>
  <c r="F3" i="2"/>
  <c r="F4" i="2"/>
  <c r="F5" i="2"/>
  <c r="F6" i="2"/>
  <c r="T5" i="2"/>
  <c r="S5" i="2"/>
  <c r="R5" i="2"/>
  <c r="T4" i="2"/>
  <c r="S4" i="2"/>
  <c r="R4" i="2"/>
  <c r="T3" i="2"/>
  <c r="S3" i="2"/>
  <c r="R3" i="2"/>
  <c r="T2" i="2"/>
  <c r="S2" i="2"/>
  <c r="R2" i="2"/>
  <c r="R12" i="1"/>
  <c r="T12" i="1"/>
  <c r="S12" i="1"/>
  <c r="U12" i="1"/>
  <c r="E65" i="1"/>
  <c r="E45" i="1"/>
  <c r="E44" i="1"/>
  <c r="E43" i="1"/>
  <c r="E53" i="1"/>
  <c r="E52" i="1"/>
  <c r="R13" i="1"/>
  <c r="S13" i="1"/>
  <c r="T13" i="1"/>
  <c r="U13" i="1"/>
  <c r="R14" i="1"/>
  <c r="S14" i="1"/>
  <c r="T14" i="1"/>
  <c r="U14" i="1"/>
  <c r="R15" i="1"/>
  <c r="S15" i="1"/>
  <c r="T15" i="1"/>
  <c r="U15" i="1"/>
  <c r="R16" i="1"/>
  <c r="S16" i="1"/>
  <c r="T16" i="1"/>
  <c r="U16" i="1"/>
  <c r="R17" i="1"/>
  <c r="S17" i="1"/>
  <c r="T17" i="1"/>
  <c r="U17" i="1"/>
  <c r="R18" i="1"/>
  <c r="S18" i="1"/>
  <c r="T18" i="1"/>
  <c r="U18" i="1"/>
  <c r="R19" i="1"/>
  <c r="S19" i="1"/>
  <c r="T19" i="1"/>
  <c r="U19" i="1"/>
  <c r="R20" i="1"/>
  <c r="S20" i="1"/>
  <c r="T20" i="1"/>
  <c r="U20" i="1"/>
  <c r="R21" i="1"/>
  <c r="S21" i="1"/>
  <c r="T21" i="1"/>
  <c r="U21" i="1"/>
  <c r="R22" i="1"/>
  <c r="S22" i="1"/>
  <c r="T22" i="1"/>
  <c r="U22" i="1"/>
  <c r="R23" i="1"/>
  <c r="S23" i="1"/>
  <c r="T23" i="1"/>
  <c r="U23" i="1"/>
  <c r="R24" i="1"/>
  <c r="S24" i="1"/>
  <c r="T24" i="1"/>
  <c r="U24" i="1"/>
  <c r="R25" i="1"/>
  <c r="S25" i="1"/>
  <c r="T25" i="1"/>
  <c r="U25" i="1"/>
  <c r="R26" i="1"/>
  <c r="S26" i="1"/>
  <c r="T26" i="1"/>
  <c r="U26" i="1"/>
  <c r="R27" i="1"/>
  <c r="S27" i="1"/>
  <c r="T27" i="1"/>
  <c r="U27" i="1"/>
  <c r="R28" i="1"/>
  <c r="S28" i="1"/>
  <c r="T28" i="1"/>
  <c r="U28" i="1"/>
  <c r="R29" i="1"/>
  <c r="S29" i="1"/>
  <c r="T29" i="1"/>
  <c r="U29" i="1"/>
  <c r="R30" i="1"/>
  <c r="S30" i="1"/>
  <c r="T30" i="1"/>
  <c r="U30" i="1"/>
  <c r="R31" i="1"/>
  <c r="S31" i="1"/>
  <c r="T31" i="1"/>
  <c r="U31" i="1"/>
  <c r="R32" i="1"/>
  <c r="S32" i="1"/>
  <c r="T32" i="1"/>
  <c r="U32" i="1"/>
  <c r="R33" i="1"/>
  <c r="S33" i="1"/>
  <c r="T33" i="1"/>
  <c r="U33" i="1"/>
  <c r="R34" i="1"/>
  <c r="S34" i="1"/>
  <c r="T34" i="1"/>
  <c r="U34" i="1"/>
  <c r="R35" i="1"/>
  <c r="S35" i="1"/>
  <c r="T35" i="1"/>
  <c r="U35" i="1"/>
  <c r="R36" i="1"/>
  <c r="S36" i="1"/>
  <c r="T36" i="1"/>
  <c r="U36" i="1"/>
  <c r="R37" i="1"/>
  <c r="S37" i="1"/>
  <c r="T37" i="1"/>
  <c r="U37" i="1"/>
  <c r="R38" i="1"/>
  <c r="S38" i="1"/>
  <c r="T38" i="1"/>
  <c r="U38" i="1"/>
  <c r="R39" i="1"/>
  <c r="S39" i="1"/>
  <c r="T39" i="1"/>
  <c r="U39" i="1"/>
  <c r="R40" i="1"/>
  <c r="S40" i="1"/>
  <c r="T40" i="1"/>
  <c r="U40" i="1"/>
  <c r="R41" i="1"/>
  <c r="S41" i="1"/>
  <c r="T41" i="1"/>
  <c r="U41" i="1"/>
  <c r="R42" i="1"/>
  <c r="S42" i="1"/>
  <c r="T42" i="1"/>
  <c r="U42" i="1"/>
  <c r="U2"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S8" i="1"/>
  <c r="R8" i="1"/>
  <c r="S7" i="1"/>
  <c r="R7" i="1"/>
  <c r="S6" i="1"/>
  <c r="R6" i="1"/>
  <c r="S5" i="1"/>
  <c r="R5" i="1"/>
  <c r="S4" i="1"/>
  <c r="R4" i="1"/>
  <c r="S3" i="1"/>
  <c r="R3" i="1"/>
  <c r="S2" i="1"/>
  <c r="R2" i="1"/>
  <c r="B62" i="1"/>
  <c r="B56" i="1"/>
  <c r="B48" i="1"/>
  <c r="B39" i="1"/>
  <c r="B31" i="1"/>
  <c r="B18" i="1"/>
  <c r="B10" i="1"/>
  <c r="E15" i="1"/>
  <c r="E64" i="1"/>
  <c r="E28" i="1"/>
  <c r="E36" i="1"/>
  <c r="E12" i="1"/>
  <c r="E13" i="1"/>
  <c r="E14" i="1"/>
  <c r="Q2" i="1"/>
  <c r="Q3" i="1"/>
  <c r="Q4" i="1"/>
  <c r="Q5" i="1"/>
  <c r="Q6" i="1"/>
  <c r="Q7" i="1"/>
  <c r="Q8" i="1"/>
  <c r="E3" i="1"/>
  <c r="E42" i="1"/>
  <c r="E35" i="1"/>
  <c r="E59" i="1"/>
  <c r="E51" i="1"/>
  <c r="E33" i="1"/>
  <c r="E34" i="1"/>
  <c r="E20" i="1"/>
  <c r="E21" i="1"/>
  <c r="E22" i="1"/>
  <c r="E23" i="1"/>
  <c r="E24" i="1"/>
  <c r="E25" i="1"/>
  <c r="E26" i="1"/>
  <c r="E27" i="1"/>
  <c r="E41" i="1"/>
  <c r="E46" i="1"/>
  <c r="E66" i="1"/>
  <c r="E58" i="1"/>
  <c r="E60" i="1"/>
  <c r="E50" i="1"/>
  <c r="E54" i="1"/>
  <c r="E37" i="1"/>
  <c r="E16" i="1"/>
  <c r="E29" i="1"/>
  <c r="E4" i="1"/>
  <c r="E5" i="1"/>
  <c r="E6" i="1"/>
  <c r="S12" i="12"/>
  <c r="U12" i="12"/>
  <c r="S13" i="12"/>
  <c r="T13" i="12"/>
  <c r="U13" i="12"/>
  <c r="S14" i="12"/>
  <c r="T14" i="12"/>
  <c r="U14" i="12"/>
  <c r="S15" i="12"/>
  <c r="T15" i="12"/>
  <c r="U15" i="12"/>
  <c r="S16" i="12"/>
  <c r="T16" i="12"/>
  <c r="U16" i="12"/>
  <c r="S17" i="12"/>
  <c r="T17" i="12"/>
  <c r="U17" i="12"/>
  <c r="S18" i="12"/>
  <c r="T18" i="12"/>
  <c r="U18" i="12"/>
  <c r="S19" i="12"/>
  <c r="T19" i="12"/>
  <c r="U19" i="12"/>
  <c r="S20" i="12"/>
  <c r="T20" i="12"/>
  <c r="U20" i="12"/>
  <c r="S21" i="12"/>
  <c r="T21" i="12"/>
  <c r="U21" i="12"/>
  <c r="S22" i="12"/>
  <c r="T22" i="12"/>
  <c r="U22" i="12"/>
  <c r="S23" i="12"/>
  <c r="T23" i="12"/>
  <c r="U23" i="12"/>
  <c r="S24" i="12"/>
  <c r="T24" i="12"/>
  <c r="U24" i="12"/>
  <c r="S25" i="12"/>
  <c r="T25" i="12"/>
  <c r="U25" i="12"/>
  <c r="S26" i="12"/>
  <c r="T26" i="12"/>
  <c r="U26" i="12"/>
  <c r="S27" i="12"/>
  <c r="T27" i="12"/>
  <c r="U27" i="12"/>
  <c r="S28" i="12"/>
  <c r="T28" i="12"/>
  <c r="U28" i="12"/>
  <c r="S29" i="12"/>
  <c r="T29" i="12"/>
  <c r="U29" i="12"/>
  <c r="S30" i="12"/>
  <c r="T30" i="12"/>
  <c r="U30" i="12"/>
  <c r="S31" i="12"/>
  <c r="T31" i="12"/>
  <c r="U31" i="12"/>
  <c r="S32" i="12"/>
  <c r="T32" i="12"/>
  <c r="U32" i="12"/>
  <c r="S33" i="12"/>
  <c r="T33" i="12"/>
  <c r="U33" i="12"/>
  <c r="S34" i="12"/>
  <c r="T34" i="12"/>
  <c r="U34" i="12"/>
  <c r="S35" i="12"/>
  <c r="T35" i="12"/>
  <c r="U35" i="12"/>
  <c r="S36" i="12"/>
  <c r="T36" i="12"/>
  <c r="U36" i="12"/>
  <c r="S37" i="12"/>
  <c r="T37" i="12"/>
  <c r="U37" i="12"/>
  <c r="S38" i="12"/>
  <c r="T38" i="12"/>
  <c r="U38" i="12"/>
  <c r="S39" i="12"/>
  <c r="T39" i="12"/>
  <c r="U39" i="12"/>
  <c r="S40" i="12"/>
  <c r="T40" i="12"/>
  <c r="U40" i="12"/>
  <c r="S41" i="12"/>
  <c r="T41" i="12"/>
  <c r="U41" i="12"/>
  <c r="S42" i="12"/>
  <c r="T42" i="12"/>
  <c r="U42" i="12"/>
  <c r="T12"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2"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McQuaig</author>
  </authors>
  <commentList>
    <comment ref="B1" authorId="0" shapeId="0" xr:uid="{00000000-0006-0000-0000-000001000000}">
      <text>
        <r>
          <rPr>
            <sz val="9"/>
            <color indexed="81"/>
            <rFont val="Tahoma"/>
            <family val="2"/>
          </rPr>
          <t>Enter the starting month in M/D/YY format</t>
        </r>
      </text>
    </comment>
    <comment ref="D3" authorId="0" shapeId="0" xr:uid="{00000000-0006-0000-0000-000002000000}">
      <text>
        <r>
          <rPr>
            <sz val="9"/>
            <color indexed="81"/>
            <rFont val="Tahoma"/>
            <family val="2"/>
          </rPr>
          <t>Enter your starting balance</t>
        </r>
      </text>
    </comment>
    <comment ref="B10" authorId="0" shapeId="0" xr:uid="{00000000-0006-0000-0000-000003000000}">
      <text>
        <r>
          <rPr>
            <sz val="9"/>
            <color indexed="81"/>
            <rFont val="Tahoma"/>
            <family val="2"/>
          </rPr>
          <t>Enter information in the description and budget section ONLY. Calculations are default in the 'Actual' and 'Variance' columns
Tip: to add a new budgeted item, simply select the last cell in the last row (in this example 'variance'-&gt;'other' and press the [TAB] button. Presto! A new record is added! To delete a record, simply highlite the table row, right-click, and select delete table row.
Note: You can use this tip for all 7 budgeting sections below.</t>
        </r>
      </text>
    </comment>
    <comment ref="I10" authorId="0" shapeId="0" xr:uid="{00000000-0006-0000-0000-000004000000}">
      <text>
        <r>
          <rPr>
            <sz val="9"/>
            <color indexed="81"/>
            <rFont val="Tahoma"/>
            <family val="2"/>
          </rPr>
          <t xml:space="preserve">Use this section to enter in planned income. To do so, place a planned credit amount and planned date into the sheet. Select the 'income' category and respective sub-category.
NOTE: Do not use any category except for 'income' category here. Doing so will break the template.
You can set status of this item to help keep track of it, and once the actual number is available, enter the actual amount on the line. </t>
        </r>
      </text>
    </comment>
    <comment ref="R10" authorId="0" shapeId="0" xr:uid="{00000000-0006-0000-0000-000005000000}">
      <text>
        <r>
          <rPr>
            <sz val="9"/>
            <color indexed="81"/>
            <rFont val="Tahoma"/>
            <family val="2"/>
          </rPr>
          <t>This section will display your account balance along the way. Ensure that historical dates are accurate so that your forecasted dates are too :-)</t>
        </r>
      </text>
    </comment>
    <comment ref="I17" authorId="0" shapeId="0" xr:uid="{00000000-0006-0000-0000-000006000000}">
      <text>
        <r>
          <rPr>
            <sz val="9"/>
            <color indexed="81"/>
            <rFont val="Tahoma"/>
            <family val="2"/>
          </rPr>
          <t>Use this section to enter in planned debits. To do so, place a planned debit amount and planned date into the table. Select a category and sub category (any category except 'income' category).
You can set status of this item to help keep track of it, and once the actual number is available, enter the actual amount on the line. 
NOTE: Do not select an 'income' category in this table, it will not calculate against this category if selected.</t>
        </r>
      </text>
    </comment>
    <comment ref="B19" authorId="0" shapeId="0" xr:uid="{00000000-0006-0000-0000-000007000000}">
      <text>
        <r>
          <rPr>
            <sz val="9"/>
            <color indexed="81"/>
            <rFont val="Tahoma"/>
            <family val="2"/>
          </rPr>
          <t>Change the budget category name by entering a new name here.
Note: You can do this for all budget categories EXCEPT the income category. Altering the income category will break the template!</t>
        </r>
      </text>
    </comment>
    <comment ref="I33" authorId="0" shapeId="0" xr:uid="{00000000-0006-0000-0000-000008000000}">
      <text>
        <r>
          <rPr>
            <sz val="9"/>
            <color indexed="81"/>
            <rFont val="Tahoma"/>
            <family val="2"/>
          </rPr>
          <t>Use this table to enter in all other transactions to map to your budget items. They can be any transaction (debit or credit) and will map to any category and budget created.
You would use this to enter grocery trips. For instance, you can budget $400 a month for grocery on the left, but not likely you will go to the grocery store only one time that month. So perhaps you plan going and spending $300, which you would enter in the table above. However, you now have $100 balance remaining that you will use to pick up odds and ends along the way. Those odds and ends you would enter in this table.</t>
        </r>
      </text>
    </comment>
  </commentList>
</comments>
</file>

<file path=xl/sharedStrings.xml><?xml version="1.0" encoding="utf-8"?>
<sst xmlns="http://schemas.openxmlformats.org/spreadsheetml/2006/main" count="1034" uniqueCount="76">
  <si>
    <t>Category</t>
  </si>
  <si>
    <t>Budget</t>
  </si>
  <si>
    <t>Actual</t>
  </si>
  <si>
    <t>Mortgage</t>
  </si>
  <si>
    <t>Electricity</t>
  </si>
  <si>
    <t>Water</t>
  </si>
  <si>
    <t>Gas</t>
  </si>
  <si>
    <t>Supplies</t>
  </si>
  <si>
    <t>Housing</t>
  </si>
  <si>
    <t>Description</t>
  </si>
  <si>
    <t>Date</t>
  </si>
  <si>
    <t>Amount</t>
  </si>
  <si>
    <t>Transportation</t>
  </si>
  <si>
    <t>Sub-Category</t>
  </si>
  <si>
    <t>Variance</t>
  </si>
  <si>
    <t>Income</t>
  </si>
  <si>
    <t>Status</t>
  </si>
  <si>
    <t>Scheduled</t>
  </si>
  <si>
    <t>Cleared</t>
  </si>
  <si>
    <t>Pending</t>
  </si>
  <si>
    <t>Total</t>
  </si>
  <si>
    <t>Debit</t>
  </si>
  <si>
    <t>Credit</t>
  </si>
  <si>
    <t>Balance</t>
  </si>
  <si>
    <t>Entertainment</t>
  </si>
  <si>
    <t>Living</t>
  </si>
  <si>
    <t>Dining Out</t>
  </si>
  <si>
    <t>Misc.</t>
  </si>
  <si>
    <t>Fuel</t>
  </si>
  <si>
    <t>Other</t>
  </si>
  <si>
    <t>Bills</t>
  </si>
  <si>
    <t>Grocery</t>
  </si>
  <si>
    <t>Total Inflow</t>
  </si>
  <si>
    <t>Total Outflow</t>
  </si>
  <si>
    <t>Difference</t>
  </si>
  <si>
    <t>BOM Balance</t>
  </si>
  <si>
    <t>Internet</t>
  </si>
  <si>
    <t>Television</t>
  </si>
  <si>
    <t>Telephone</t>
  </si>
  <si>
    <t>Insurance</t>
  </si>
  <si>
    <t>Account Balance / Tracking &amp; Forecast</t>
  </si>
  <si>
    <t>Dry Cleaning</t>
  </si>
  <si>
    <t>Budgeted Credits</t>
  </si>
  <si>
    <t>Budgeted Debits</t>
  </si>
  <si>
    <t>All Other Transactions</t>
  </si>
  <si>
    <t>Min Bal</t>
  </si>
  <si>
    <t>Company A</t>
  </si>
  <si>
    <t>Company B</t>
  </si>
  <si>
    <t>Side Work</t>
  </si>
  <si>
    <t>Phone Company</t>
  </si>
  <si>
    <t>HoA</t>
  </si>
  <si>
    <t>Mortgage Company</t>
  </si>
  <si>
    <t>Water Company</t>
  </si>
  <si>
    <t>Gas Company</t>
  </si>
  <si>
    <t>Electric Company</t>
  </si>
  <si>
    <t>Telephone Company</t>
  </si>
  <si>
    <t>Insurance Company</t>
  </si>
  <si>
    <t>Credit Card Company</t>
  </si>
  <si>
    <t>Auto Finance Company 1</t>
  </si>
  <si>
    <t>Television Company</t>
  </si>
  <si>
    <t>Auto 1</t>
  </si>
  <si>
    <t>Auto 2</t>
  </si>
  <si>
    <t>Credit Card 1</t>
  </si>
  <si>
    <t>Credit Card 2</t>
  </si>
  <si>
    <t>Bill 1</t>
  </si>
  <si>
    <t>Bill 2</t>
  </si>
  <si>
    <t>Bill 3</t>
  </si>
  <si>
    <t>Work Spend 1</t>
  </si>
  <si>
    <t>Work Spend 2</t>
  </si>
  <si>
    <t>Pet Products</t>
  </si>
  <si>
    <t>Home Improvement</t>
  </si>
  <si>
    <t>Lunch @ Subway</t>
  </si>
  <si>
    <t>New Dishes</t>
  </si>
  <si>
    <t>Auto Finance Company 2</t>
  </si>
  <si>
    <t>Paycheck A</t>
  </si>
  <si>
    <t>Paycheck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</si>
</sst>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409]d\-mmm\-yy;@"/>
    <numFmt numFmtId="166" formatCode="ddd\-m/d"/>
    <numFmt numFmtId="167" formatCode="m/d\ \(ddd\)"/>
    <numFmt numFmtId="168" formatCode="mmmm\-yyyy"/>
  </numFmts>
  <fonts count="17">
    <font>
      <sz val="11"/>
      <color theme="1"/>
      <name val="Calibri"/>
      <family val="2"/>
      <scheme val="minor"/>
    </font>
    <font>
      <sz val="11"/>
      <color theme="1"/>
      <name val="Calibri"/>
      <family val="2"/>
      <scheme val="minor"/>
    </font>
    <font>
      <sz val="9"/>
      <color theme="1"/>
      <name val="Segoe UI"/>
      <family val="2"/>
    </font>
    <font>
      <b/>
      <sz val="9"/>
      <color theme="1"/>
      <name val="Segoe UI"/>
      <family val="2"/>
    </font>
    <font>
      <sz val="9"/>
      <color theme="0" tint="-4.9989318521683403E-2"/>
      <name val="Segoe UI"/>
      <family val="2"/>
    </font>
    <font>
      <b/>
      <sz val="9"/>
      <color theme="0" tint="-4.9989318521683403E-2"/>
      <name val="Segoe UI"/>
      <family val="2"/>
    </font>
    <font>
      <b/>
      <sz val="20"/>
      <color theme="1"/>
      <name val="Myriad Pro"/>
      <family val="2"/>
    </font>
    <font>
      <sz val="9"/>
      <color theme="0" tint="-4.9989318521683403E-2"/>
      <name val="Segoe UI"/>
      <family val="2"/>
    </font>
    <font>
      <sz val="9"/>
      <color theme="1"/>
      <name val="Segoe UI"/>
      <family val="2"/>
    </font>
    <font>
      <b/>
      <sz val="9"/>
      <color theme="1" tint="0.249977111117893"/>
      <name val="Segoe UI"/>
      <family val="2"/>
    </font>
    <font>
      <sz val="9"/>
      <color theme="7" tint="0.79998168889431442"/>
      <name val="Segoe UI"/>
      <family val="2"/>
    </font>
    <font>
      <b/>
      <sz val="9"/>
      <color theme="7" tint="0.79998168889431442"/>
      <name val="Segoe UI"/>
      <family val="2"/>
    </font>
    <font>
      <sz val="9"/>
      <name val="Segoe UI"/>
      <family val="2"/>
    </font>
    <font>
      <sz val="9"/>
      <color rgb="FFC00000"/>
      <name val="Segoe UI"/>
      <family val="2"/>
    </font>
    <font>
      <sz val="9"/>
      <color theme="0"/>
      <name val="Calibri"/>
      <family val="2"/>
      <scheme val="minor"/>
    </font>
    <font>
      <sz val="9"/>
      <color indexed="81"/>
      <name val="Tahoma"/>
      <family val="2"/>
    </font>
    <font>
      <sz val="9"/>
      <color theme="1" tint="0.249977111117893"/>
      <name val="Segoe UI"/>
      <family val="2"/>
    </font>
  </fonts>
  <fills count="8">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0" tint="-4.9989318521683403E-2"/>
        <bgColor theme="8" tint="0.79998168889431442"/>
      </patternFill>
    </fill>
    <fill>
      <patternFill patternType="solid">
        <fgColor theme="8" tint="-0.499984740745262"/>
        <bgColor indexed="64"/>
      </patternFill>
    </fill>
    <fill>
      <patternFill patternType="solid">
        <fgColor rgb="FFC00000"/>
        <bgColor indexed="64"/>
      </patternFill>
    </fill>
    <fill>
      <patternFill patternType="solid">
        <fgColor theme="7" tint="0.79998168889431442"/>
        <bgColor indexed="64"/>
      </patternFill>
    </fill>
  </fills>
  <borders count="16">
    <border>
      <left/>
      <right/>
      <top/>
      <bottom/>
      <diagonal/>
    </border>
    <border>
      <left style="thin">
        <color theme="8"/>
      </left>
      <right style="thin">
        <color theme="8"/>
      </right>
      <top style="thin">
        <color theme="8"/>
      </top>
      <bottom style="thin">
        <color theme="8"/>
      </bottom>
      <diagonal/>
    </border>
    <border>
      <left style="thin">
        <color theme="8"/>
      </left>
      <right style="thin">
        <color theme="8"/>
      </right>
      <top/>
      <bottom style="medium">
        <color theme="8"/>
      </bottom>
      <diagonal/>
    </border>
    <border>
      <left style="thin">
        <color theme="8"/>
      </left>
      <right style="thin">
        <color theme="8"/>
      </right>
      <top style="thin">
        <color theme="8"/>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8"/>
      </left>
      <right style="thin">
        <color theme="8"/>
      </right>
      <top/>
      <bottom/>
      <diagonal/>
    </border>
    <border>
      <left style="thin">
        <color theme="7" tint="-0.24994659260841701"/>
      </left>
      <right/>
      <top style="thin">
        <color theme="7" tint="-0.24994659260841701"/>
      </top>
      <bottom style="thin">
        <color theme="7" tint="-0.24994659260841701"/>
      </bottom>
      <diagonal/>
    </border>
    <border>
      <left/>
      <right/>
      <top style="thin">
        <color theme="7" tint="-0.24994659260841701"/>
      </top>
      <bottom style="thin">
        <color theme="7" tint="-0.24994659260841701"/>
      </bottom>
      <diagonal/>
    </border>
    <border>
      <left/>
      <right style="thin">
        <color theme="7" tint="-0.24994659260841701"/>
      </right>
      <top style="thin">
        <color theme="7" tint="-0.24994659260841701"/>
      </top>
      <bottom style="thin">
        <color theme="7" tint="-0.24994659260841701"/>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0" tint="-0.24994659260841701"/>
      </left>
      <right/>
      <top style="thin">
        <color theme="0" tint="-0.24994659260841701"/>
      </top>
      <bottom/>
      <diagonal/>
    </border>
  </borders>
  <cellStyleXfs count="2">
    <xf numFmtId="0" fontId="0" fillId="0" borderId="0"/>
    <xf numFmtId="164" fontId="1" fillId="0" borderId="0" applyFont="0" applyFill="0" applyBorder="0" applyAlignment="0" applyProtection="0"/>
  </cellStyleXfs>
  <cellXfs count="62">
    <xf numFmtId="0" fontId="0" fillId="0" borderId="0" xfId="0"/>
    <xf numFmtId="0" fontId="2" fillId="0" borderId="0" xfId="0" applyFont="1"/>
    <xf numFmtId="164" fontId="2" fillId="0" borderId="0" xfId="1" applyFont="1"/>
    <xf numFmtId="164" fontId="2" fillId="0" borderId="0" xfId="1" applyNumberFormat="1" applyFont="1"/>
    <xf numFmtId="165" fontId="2" fillId="0" borderId="0" xfId="0" applyNumberFormat="1" applyFont="1"/>
    <xf numFmtId="164" fontId="2" fillId="0" borderId="1" xfId="1" applyFont="1" applyBorder="1"/>
    <xf numFmtId="0" fontId="4" fillId="3" borderId="0" xfId="0" applyFont="1" applyFill="1"/>
    <xf numFmtId="164" fontId="4" fillId="3" borderId="0" xfId="0" applyNumberFormat="1" applyFont="1" applyFill="1"/>
    <xf numFmtId="166" fontId="2" fillId="0" borderId="0" xfId="0" applyNumberFormat="1" applyFont="1" applyAlignment="1">
      <alignment horizontal="left"/>
    </xf>
    <xf numFmtId="0" fontId="7" fillId="3" borderId="0" xfId="0" applyFont="1" applyFill="1"/>
    <xf numFmtId="164" fontId="7" fillId="3" borderId="0" xfId="0" applyNumberFormat="1" applyFont="1" applyFill="1"/>
    <xf numFmtId="0" fontId="8" fillId="0" borderId="0" xfId="0" applyFont="1"/>
    <xf numFmtId="164" fontId="8" fillId="0" borderId="0" xfId="1" applyFont="1"/>
    <xf numFmtId="164" fontId="8" fillId="0" borderId="0" xfId="1" applyNumberFormat="1" applyFont="1"/>
    <xf numFmtId="164" fontId="2" fillId="0" borderId="1" xfId="0" applyNumberFormat="1" applyFont="1" applyBorder="1"/>
    <xf numFmtId="0" fontId="5" fillId="3" borderId="1" xfId="0" applyFont="1" applyFill="1" applyBorder="1"/>
    <xf numFmtId="164" fontId="5" fillId="3" borderId="1" xfId="0" applyNumberFormat="1" applyFont="1" applyFill="1" applyBorder="1"/>
    <xf numFmtId="0" fontId="2" fillId="2" borderId="1" xfId="0" applyFont="1" applyFill="1" applyBorder="1"/>
    <xf numFmtId="164" fontId="5" fillId="3" borderId="3" xfId="1" applyFont="1" applyFill="1" applyBorder="1" applyAlignment="1">
      <alignment horizontal="center"/>
    </xf>
    <xf numFmtId="0" fontId="5" fillId="3" borderId="3" xfId="0" applyFont="1" applyFill="1" applyBorder="1" applyAlignment="1">
      <alignment horizontal="center"/>
    </xf>
    <xf numFmtId="0" fontId="4" fillId="0" borderId="0" xfId="0" applyFont="1" applyFill="1"/>
    <xf numFmtId="164" fontId="4" fillId="0" borderId="0" xfId="0" applyNumberFormat="1" applyFont="1" applyFill="1"/>
    <xf numFmtId="164" fontId="4" fillId="0" borderId="0" xfId="1" applyNumberFormat="1" applyFont="1" applyFill="1"/>
    <xf numFmtId="164" fontId="7" fillId="0" borderId="0" xfId="0" applyNumberFormat="1" applyFont="1" applyFill="1"/>
    <xf numFmtId="165" fontId="8" fillId="0" borderId="0" xfId="0" applyNumberFormat="1" applyFont="1"/>
    <xf numFmtId="0" fontId="3" fillId="0" borderId="0" xfId="0" applyFont="1"/>
    <xf numFmtId="0" fontId="7" fillId="0" borderId="0" xfId="0" applyFont="1" applyFill="1"/>
    <xf numFmtId="167" fontId="2" fillId="4" borderId="1" xfId="0" applyNumberFormat="1" applyFont="1" applyFill="1" applyBorder="1" applyAlignment="1">
      <alignment horizontal="left"/>
    </xf>
    <xf numFmtId="164" fontId="2" fillId="0" borderId="1" xfId="1" applyFont="1" applyFill="1" applyBorder="1"/>
    <xf numFmtId="164" fontId="2" fillId="2" borderId="1" xfId="1" applyFont="1" applyFill="1" applyBorder="1"/>
    <xf numFmtId="167" fontId="2" fillId="0" borderId="1" xfId="0" applyNumberFormat="1" applyFont="1" applyFill="1" applyBorder="1" applyAlignment="1">
      <alignment horizontal="left"/>
    </xf>
    <xf numFmtId="0" fontId="10" fillId="5" borderId="0" xfId="0" applyFont="1" applyFill="1"/>
    <xf numFmtId="0" fontId="2" fillId="0" borderId="0" xfId="0" applyFont="1" applyFill="1" applyBorder="1"/>
    <xf numFmtId="0" fontId="12" fillId="0" borderId="0" xfId="0" applyFont="1" applyFill="1" applyBorder="1"/>
    <xf numFmtId="164" fontId="12" fillId="0" borderId="0" xfId="0" applyNumberFormat="1" applyFont="1" applyFill="1" applyBorder="1"/>
    <xf numFmtId="0" fontId="3" fillId="0" borderId="0" xfId="0" applyFont="1" applyFill="1" applyBorder="1"/>
    <xf numFmtId="164" fontId="2" fillId="0" borderId="0" xfId="1" applyFont="1" applyFill="1" applyBorder="1"/>
    <xf numFmtId="0" fontId="9" fillId="2" borderId="4" xfId="0" applyFont="1" applyFill="1" applyBorder="1"/>
    <xf numFmtId="0" fontId="9" fillId="2" borderId="6" xfId="0" applyFont="1" applyFill="1" applyBorder="1"/>
    <xf numFmtId="0" fontId="9" fillId="2" borderId="5" xfId="0" applyFont="1" applyFill="1" applyBorder="1"/>
    <xf numFmtId="0" fontId="11" fillId="5" borderId="2" xfId="0" applyFont="1" applyFill="1" applyBorder="1"/>
    <xf numFmtId="0" fontId="3" fillId="6" borderId="0" xfId="0" applyFont="1" applyFill="1"/>
    <xf numFmtId="0" fontId="2" fillId="6" borderId="0" xfId="0" applyFont="1" applyFill="1"/>
    <xf numFmtId="164" fontId="2" fillId="6" borderId="0" xfId="1" applyFont="1" applyFill="1"/>
    <xf numFmtId="0" fontId="13" fillId="6" borderId="0" xfId="0" applyFont="1" applyFill="1"/>
    <xf numFmtId="0" fontId="14" fillId="0" borderId="0" xfId="0" applyFont="1"/>
    <xf numFmtId="164" fontId="5" fillId="3" borderId="8" xfId="1" applyFont="1" applyFill="1" applyBorder="1" applyAlignment="1">
      <alignment horizontal="center"/>
    </xf>
    <xf numFmtId="0" fontId="5" fillId="3" borderId="8" xfId="0" applyFont="1" applyFill="1" applyBorder="1" applyAlignment="1">
      <alignment horizontal="center"/>
    </xf>
    <xf numFmtId="164" fontId="2" fillId="0" borderId="12" xfId="1" applyFont="1" applyBorder="1"/>
    <xf numFmtId="164" fontId="2" fillId="0" borderId="13" xfId="0" applyNumberFormat="1" applyFont="1" applyBorder="1"/>
    <xf numFmtId="164" fontId="2" fillId="0" borderId="14" xfId="1" applyFont="1" applyBorder="1"/>
    <xf numFmtId="164" fontId="2" fillId="7" borderId="7" xfId="0" applyNumberFormat="1" applyFont="1" applyFill="1" applyBorder="1"/>
    <xf numFmtId="0" fontId="16" fillId="7" borderId="7" xfId="0" applyFont="1" applyFill="1" applyBorder="1"/>
    <xf numFmtId="0" fontId="9" fillId="2" borderId="15" xfId="0" applyFont="1" applyFill="1" applyBorder="1"/>
    <xf numFmtId="0" fontId="2" fillId="0" borderId="0" xfId="0" applyFont="1" applyFill="1"/>
    <xf numFmtId="168" fontId="6" fillId="7" borderId="9" xfId="0" applyNumberFormat="1" applyFont="1" applyFill="1" applyBorder="1" applyAlignment="1">
      <alignment horizontal="left"/>
    </xf>
    <xf numFmtId="168" fontId="6" fillId="7" borderId="10" xfId="0" applyNumberFormat="1" applyFont="1" applyFill="1" applyBorder="1" applyAlignment="1">
      <alignment horizontal="left"/>
    </xf>
    <xf numFmtId="168" fontId="6" fillId="7" borderId="11" xfId="0" applyNumberFormat="1" applyFont="1" applyFill="1" applyBorder="1" applyAlignment="1">
      <alignment horizontal="left"/>
    </xf>
    <xf numFmtId="0" fontId="9" fillId="7" borderId="9" xfId="0" applyFont="1" applyFill="1" applyBorder="1" applyAlignment="1">
      <alignment horizontal="left"/>
    </xf>
    <xf numFmtId="0" fontId="9" fillId="7" borderId="10" xfId="0" applyFont="1" applyFill="1" applyBorder="1" applyAlignment="1">
      <alignment horizontal="left"/>
    </xf>
    <xf numFmtId="0" fontId="9" fillId="7" borderId="11" xfId="0" applyFont="1" applyFill="1" applyBorder="1" applyAlignment="1">
      <alignment horizontal="left"/>
    </xf>
    <xf numFmtId="168" fontId="6" fillId="0" borderId="0" xfId="0" applyNumberFormat="1" applyFont="1" applyAlignment="1">
      <alignment horizontal="left"/>
    </xf>
  </cellXfs>
  <cellStyles count="2">
    <cellStyle name="Currency" xfId="1" builtinId="4"/>
    <cellStyle name="Normal" xfId="0" builtinId="0"/>
  </cellStyles>
  <dxfs count="1620">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ill>
        <patternFill patternType="solid">
          <bgColor theme="9" tint="0.59996337778862885"/>
        </patternFill>
      </fill>
      <border>
        <right style="thin">
          <color rgb="FFC00000"/>
        </right>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top style="thin">
          <color rgb="FFC00000"/>
        </top>
        <bottom style="thin">
          <color rgb="FFC00000"/>
        </bottom>
      </border>
    </dxf>
    <dxf>
      <fill>
        <patternFill patternType="solid">
          <bgColor theme="9" tint="0.59996337778862885"/>
        </patternFill>
      </fill>
      <border>
        <left style="thin">
          <color rgb="FFC00000"/>
        </left>
        <top style="thin">
          <color rgb="FFC00000"/>
        </top>
        <bottom style="thin">
          <color rgb="FFC00000"/>
        </bottom>
      </border>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rgb="FFF2F2F2"/>
        <name val="Segoe UI"/>
        <scheme val="none"/>
      </font>
      <fill>
        <patternFill patternType="solid">
          <fgColor rgb="FF000000"/>
          <bgColor rgb="FF404040"/>
        </patternFill>
      </fill>
    </dxf>
    <dxf>
      <font>
        <strike val="0"/>
        <outline val="0"/>
        <shadow val="0"/>
        <u val="none"/>
        <vertAlign val="baseline"/>
        <sz val="9"/>
        <color rgb="FF000000"/>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strike val="0"/>
        <outline val="0"/>
        <shadow val="0"/>
        <u val="none"/>
        <vertAlign val="baseline"/>
        <sz val="9"/>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numFmt numFmtId="165" formatCode="[$-409]d\-mmm\-yy;@"/>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10"/>
        <color theme="1"/>
        <name val="Calibri"/>
        <scheme val="minor"/>
      </font>
    </dxf>
    <dxf>
      <font>
        <strike val="0"/>
        <outline val="0"/>
        <shadow val="0"/>
        <u val="none"/>
        <vertAlign val="baseline"/>
        <sz val="9"/>
        <name val="Segoe UI"/>
        <scheme val="none"/>
      </font>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numFmt numFmtId="164" formatCode="_(&quot;$&quot;* #,##0.00_);_(&quot;$&quot;* \(#,##0.00\);_(&quot;$&quot;* &quot;-&quot;??_);_(@_)"/>
    </dxf>
    <dxf>
      <font>
        <b val="0"/>
        <i val="0"/>
        <strike val="0"/>
        <condense val="0"/>
        <extend val="0"/>
        <outline val="0"/>
        <shadow val="0"/>
        <u val="none"/>
        <vertAlign val="baseline"/>
        <sz val="9"/>
        <color theme="0" tint="-4.9989318521683403E-2"/>
        <name val="Segoe UI"/>
        <scheme val="none"/>
      </font>
      <numFmt numFmtId="164" formatCode="_(&quot;$&quot;* #,##0.00_);_(&quot;$&quot;* \(#,##0.00\);_(&quot;$&quot;* &quot;-&quot;??_);_(@_)"/>
      <fill>
        <patternFill patternType="solid">
          <fgColor indexed="64"/>
          <bgColor theme="1" tint="0.249977111117893"/>
        </patternFill>
      </fill>
    </dxf>
    <dxf>
      <font>
        <b val="0"/>
        <i val="0"/>
        <strike val="0"/>
        <condense val="0"/>
        <extend val="0"/>
        <outline val="0"/>
        <shadow val="0"/>
        <u val="none"/>
        <vertAlign val="baseline"/>
        <sz val="9"/>
        <color theme="1"/>
        <name val="Segoe UI"/>
        <scheme val="none"/>
      </font>
    </dxf>
    <dxf>
      <font>
        <b val="0"/>
        <i val="0"/>
        <strike val="0"/>
        <condense val="0"/>
        <extend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strike val="0"/>
        <outline val="0"/>
        <shadow val="0"/>
        <u val="none"/>
        <vertAlign val="baseline"/>
        <sz val="9"/>
        <color theme="0" tint="-4.9989318521683403E-2"/>
        <name val="Segoe UI"/>
        <scheme val="none"/>
      </font>
      <fill>
        <patternFill patternType="solid">
          <fgColor indexed="64"/>
          <bgColor theme="1" tint="0.249977111117893"/>
        </patternFill>
      </fill>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7" tint="0.79998168889431442"/>
        <name val="Segoe UI"/>
        <scheme val="none"/>
      </font>
      <fill>
        <patternFill patternType="solid">
          <fgColor indexed="64"/>
          <bgColor theme="8" tint="-0.499984740745262"/>
        </patternFill>
      </fill>
    </dxf>
  </dxfs>
  <tableStyles count="0" defaultTableStyle="TableStyleMedium2" defaultPivotStyle="PivotStyleLight16"/>
  <colors>
    <mruColors>
      <color rgb="FFCC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Mo.1!$R$1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Mo.1!$Q$3:$Q$8</c:f>
              <c:strCache>
                <c:ptCount val="6"/>
                <c:pt idx="0">
                  <c:v>Housing</c:v>
                </c:pt>
                <c:pt idx="1">
                  <c:v>Transportation</c:v>
                </c:pt>
                <c:pt idx="2">
                  <c:v>Bills</c:v>
                </c:pt>
                <c:pt idx="3">
                  <c:v>Living</c:v>
                </c:pt>
                <c:pt idx="4">
                  <c:v>Entertainment</c:v>
                </c:pt>
                <c:pt idx="5">
                  <c:v>Misc.</c:v>
                </c:pt>
              </c:strCache>
            </c:strRef>
          </c:cat>
          <c:val>
            <c:numRef>
              <c:f>Mo.1!$R$3:$R$8</c:f>
              <c:numCache>
                <c:formatCode>General</c:formatCode>
                <c:ptCount val="6"/>
                <c:pt idx="0">
                  <c:v>1650</c:v>
                </c:pt>
                <c:pt idx="1">
                  <c:v>1000</c:v>
                </c:pt>
                <c:pt idx="2">
                  <c:v>385</c:v>
                </c:pt>
                <c:pt idx="3">
                  <c:v>800</c:v>
                </c:pt>
                <c:pt idx="4">
                  <c:v>300</c:v>
                </c:pt>
                <c:pt idx="5">
                  <c:v>150</c:v>
                </c:pt>
              </c:numCache>
            </c:numRef>
          </c:val>
          <c:extLst>
            <c:ext xmlns:c16="http://schemas.microsoft.com/office/drawing/2014/chart" uri="{C3380CC4-5D6E-409C-BE32-E72D297353CC}">
              <c16:uniqueId val="{00000000-D53F-4CA6-97B1-9C25D5DA14B5}"/>
            </c:ext>
          </c:extLst>
        </c:ser>
        <c:ser>
          <c:idx val="1"/>
          <c:order val="1"/>
          <c:tx>
            <c:strRef>
              <c:f>Mo.1!$S$1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Mo.1!$Q$3:$Q$8</c:f>
              <c:strCache>
                <c:ptCount val="6"/>
                <c:pt idx="0">
                  <c:v>Housing</c:v>
                </c:pt>
                <c:pt idx="1">
                  <c:v>Transportation</c:v>
                </c:pt>
                <c:pt idx="2">
                  <c:v>Bills</c:v>
                </c:pt>
                <c:pt idx="3">
                  <c:v>Living</c:v>
                </c:pt>
                <c:pt idx="4">
                  <c:v>Entertainment</c:v>
                </c:pt>
                <c:pt idx="5">
                  <c:v>Misc.</c:v>
                </c:pt>
              </c:strCache>
            </c:strRef>
          </c:cat>
          <c:val>
            <c:numRef>
              <c:f>Mo.1!$S$3:$S$8</c:f>
              <c:numCache>
                <c:formatCode>General</c:formatCode>
                <c:ptCount val="6"/>
                <c:pt idx="0">
                  <c:v>1549.15</c:v>
                </c:pt>
                <c:pt idx="1">
                  <c:v>1168.79</c:v>
                </c:pt>
                <c:pt idx="2">
                  <c:v>275</c:v>
                </c:pt>
                <c:pt idx="3">
                  <c:v>21.39</c:v>
                </c:pt>
                <c:pt idx="4">
                  <c:v>10.88</c:v>
                </c:pt>
                <c:pt idx="5">
                  <c:v>0</c:v>
                </c:pt>
              </c:numCache>
            </c:numRef>
          </c:val>
          <c:extLst>
            <c:ext xmlns:c16="http://schemas.microsoft.com/office/drawing/2014/chart" uri="{C3380CC4-5D6E-409C-BE32-E72D297353CC}">
              <c16:uniqueId val="{00000001-D53F-4CA6-97B1-9C25D5DA14B5}"/>
            </c:ext>
          </c:extLst>
        </c:ser>
        <c:dLbls>
          <c:showLegendKey val="0"/>
          <c:showVal val="0"/>
          <c:showCatName val="0"/>
          <c:showSerName val="0"/>
          <c:showPercent val="0"/>
          <c:showBubbleSize val="0"/>
        </c:dLbls>
        <c:gapWidth val="20"/>
        <c:overlap val="100"/>
        <c:axId val="240490504"/>
        <c:axId val="239370984"/>
      </c:barChart>
      <c:catAx>
        <c:axId val="240490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9370984"/>
        <c:crosses val="autoZero"/>
        <c:auto val="1"/>
        <c:lblAlgn val="ctr"/>
        <c:lblOffset val="100"/>
        <c:noMultiLvlLbl val="0"/>
      </c:catAx>
      <c:valAx>
        <c:axId val="239370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40490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Mo.5!$V$11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Mo.5!$S$12:$S$42</c:f>
              <c:numCache>
                <c:formatCode>m/d\ \(ddd\)</c:formatCode>
                <c:ptCount val="31"/>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numCache>
            </c:numRef>
          </c:cat>
          <c:val>
            <c:numRef>
              <c:f>Mo.5!$V$12:$V$42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A1FF-4636-9927-D9AB400CC8F3}"/>
            </c:ext>
          </c:extLst>
        </c:ser>
        <c:dLbls>
          <c:showLegendKey val="0"/>
          <c:showVal val="0"/>
          <c:showCatName val="0"/>
          <c:showSerName val="0"/>
          <c:showPercent val="0"/>
          <c:showBubbleSize val="0"/>
        </c:dLbls>
        <c:axId val="238512464"/>
        <c:axId val="238512856"/>
      </c:areaChart>
      <c:lineChart>
        <c:grouping val="standard"/>
        <c:varyColors val="0"/>
        <c:ser>
          <c:idx val="1"/>
          <c:order val="1"/>
          <c:tx>
            <c:v>Target</c:v>
          </c:tx>
          <c:spPr>
            <a:ln w="22225" cap="rnd" cmpd="sng" algn="ctr">
              <a:solidFill>
                <a:srgbClr val="C00000"/>
              </a:solidFill>
              <a:round/>
            </a:ln>
            <a:effectLst/>
          </c:spPr>
          <c:marker>
            <c:symbol val="none"/>
          </c:marker>
          <c:val>
            <c:numRef>
              <c:f>Mo.5!$W$12:$W$42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A1FF-4636-9927-D9AB400CC8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38512464"/>
        <c:axId val="238512856"/>
      </c:lineChart>
      <c:dateAx>
        <c:axId val="238512464"/>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12856"/>
        <c:crosses val="autoZero"/>
        <c:auto val="1"/>
        <c:lblOffset val="100"/>
        <c:baseTimeUnit val="days"/>
        <c:majorUnit val="5"/>
        <c:majorTimeUnit val="days"/>
      </c:dateAx>
      <c:valAx>
        <c:axId val="2385128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12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Mo.6!$S$1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Mo.6!$R$3:$R$8</c:f>
              <c:strCache>
                <c:ptCount val="6"/>
                <c:pt idx="0">
                  <c:v>Housing</c:v>
                </c:pt>
                <c:pt idx="1">
                  <c:v>Transportation</c:v>
                </c:pt>
                <c:pt idx="2">
                  <c:v>Bills</c:v>
                </c:pt>
                <c:pt idx="3">
                  <c:v>Living</c:v>
                </c:pt>
                <c:pt idx="4">
                  <c:v>Entertainment</c:v>
                </c:pt>
                <c:pt idx="5">
                  <c:v>Misc.</c:v>
                </c:pt>
              </c:strCache>
            </c:strRef>
          </c:cat>
          <c:val>
            <c:numRef>
              <c:f>Mo.6!$S$3:$S$8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8AFC-40BD-9CCA-5CE266FED9C6}"/>
            </c:ext>
          </c:extLst>
        </c:ser>
        <c:ser>
          <c:idx val="1"/>
          <c:order val="1"/>
          <c:tx>
            <c:strRef>
              <c:f>Mo.6!$T$1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Mo.6!$R$3:$R$8</c:f>
              <c:strCache>
                <c:ptCount val="6"/>
                <c:pt idx="0">
                  <c:v>Housing</c:v>
                </c:pt>
                <c:pt idx="1">
                  <c:v>Transportation</c:v>
                </c:pt>
                <c:pt idx="2">
                  <c:v>Bills</c:v>
                </c:pt>
                <c:pt idx="3">
                  <c:v>Living</c:v>
                </c:pt>
                <c:pt idx="4">
                  <c:v>Entertainment</c:v>
                </c:pt>
                <c:pt idx="5">
                  <c:v>Misc.</c:v>
                </c:pt>
              </c:strCache>
            </c:strRef>
          </c:cat>
          <c:val>
            <c:numRef>
              <c:f>Mo.6!$T$3:$T$8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8AFC-40BD-9CCA-5CE266FED9C6}"/>
            </c:ext>
          </c:extLst>
        </c:ser>
        <c:dLbls>
          <c:showLegendKey val="0"/>
          <c:showVal val="0"/>
          <c:showCatName val="0"/>
          <c:showSerName val="0"/>
          <c:showPercent val="0"/>
          <c:showBubbleSize val="0"/>
        </c:dLbls>
        <c:gapWidth val="20"/>
        <c:overlap val="100"/>
        <c:axId val="365449712"/>
        <c:axId val="365450104"/>
      </c:barChart>
      <c:catAx>
        <c:axId val="36544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5450104"/>
        <c:crosses val="autoZero"/>
        <c:auto val="1"/>
        <c:lblAlgn val="ctr"/>
        <c:lblOffset val="100"/>
        <c:noMultiLvlLbl val="0"/>
      </c:catAx>
      <c:valAx>
        <c:axId val="365450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544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Mo.6!$V$11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Mo.6!$S$12:$S$42</c:f>
              <c:numCache>
                <c:formatCode>m/d\ \(ddd\)</c:formatCode>
                <c:ptCount val="31"/>
                <c:pt idx="0">
                  <c:v>45170</c:v>
                </c:pt>
                <c:pt idx="1">
                  <c:v>45171</c:v>
                </c:pt>
                <c:pt idx="2">
                  <c:v>45172</c:v>
                </c:pt>
                <c:pt idx="3">
                  <c:v>45173</c:v>
                </c:pt>
                <c:pt idx="4">
                  <c:v>45174</c:v>
                </c:pt>
                <c:pt idx="5">
                  <c:v>45175</c:v>
                </c:pt>
                <c:pt idx="6">
                  <c:v>45176</c:v>
                </c:pt>
                <c:pt idx="7">
                  <c:v>45177</c:v>
                </c:pt>
                <c:pt idx="8">
                  <c:v>45178</c:v>
                </c:pt>
                <c:pt idx="9">
                  <c:v>45179</c:v>
                </c:pt>
                <c:pt idx="10">
                  <c:v>45180</c:v>
                </c:pt>
                <c:pt idx="11">
                  <c:v>45181</c:v>
                </c:pt>
                <c:pt idx="12">
                  <c:v>45182</c:v>
                </c:pt>
                <c:pt idx="13">
                  <c:v>45183</c:v>
                </c:pt>
                <c:pt idx="14">
                  <c:v>45184</c:v>
                </c:pt>
                <c:pt idx="15">
                  <c:v>45185</c:v>
                </c:pt>
                <c:pt idx="16">
                  <c:v>45186</c:v>
                </c:pt>
                <c:pt idx="17">
                  <c:v>45187</c:v>
                </c:pt>
                <c:pt idx="18">
                  <c:v>45188</c:v>
                </c:pt>
                <c:pt idx="19">
                  <c:v>45189</c:v>
                </c:pt>
                <c:pt idx="20">
                  <c:v>45190</c:v>
                </c:pt>
                <c:pt idx="21">
                  <c:v>45191</c:v>
                </c:pt>
                <c:pt idx="22">
                  <c:v>45192</c:v>
                </c:pt>
                <c:pt idx="23">
                  <c:v>45193</c:v>
                </c:pt>
                <c:pt idx="24">
                  <c:v>45194</c:v>
                </c:pt>
                <c:pt idx="25">
                  <c:v>45195</c:v>
                </c:pt>
                <c:pt idx="26">
                  <c:v>45196</c:v>
                </c:pt>
                <c:pt idx="27">
                  <c:v>45197</c:v>
                </c:pt>
                <c:pt idx="28">
                  <c:v>45198</c:v>
                </c:pt>
                <c:pt idx="29">
                  <c:v>45199</c:v>
                </c:pt>
                <c:pt idx="30">
                  <c:v>45200</c:v>
                </c:pt>
              </c:numCache>
            </c:numRef>
          </c:cat>
          <c:val>
            <c:numRef>
              <c:f>Mo.6!$V$12:$V$42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A173-4AED-8046-6BA95D1B814B}"/>
            </c:ext>
          </c:extLst>
        </c:ser>
        <c:dLbls>
          <c:showLegendKey val="0"/>
          <c:showVal val="0"/>
          <c:showCatName val="0"/>
          <c:showSerName val="0"/>
          <c:showPercent val="0"/>
          <c:showBubbleSize val="0"/>
        </c:dLbls>
        <c:axId val="365450888"/>
        <c:axId val="365451280"/>
      </c:areaChart>
      <c:lineChart>
        <c:grouping val="standard"/>
        <c:varyColors val="0"/>
        <c:ser>
          <c:idx val="1"/>
          <c:order val="1"/>
          <c:tx>
            <c:v>Target</c:v>
          </c:tx>
          <c:spPr>
            <a:ln w="22225" cap="rnd" cmpd="sng" algn="ctr">
              <a:solidFill>
                <a:srgbClr val="C00000"/>
              </a:solidFill>
              <a:round/>
            </a:ln>
            <a:effectLst/>
          </c:spPr>
          <c:marker>
            <c:symbol val="none"/>
          </c:marker>
          <c:val>
            <c:numRef>
              <c:f>Mo.6!$W$12:$W$42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A173-4AED-8046-6BA95D1B814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5450888"/>
        <c:axId val="365451280"/>
      </c:lineChart>
      <c:dateAx>
        <c:axId val="365450888"/>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1280"/>
        <c:crosses val="autoZero"/>
        <c:auto val="1"/>
        <c:lblOffset val="100"/>
        <c:baseTimeUnit val="days"/>
        <c:majorUnit val="5"/>
        <c:majorTimeUnit val="days"/>
      </c:dateAx>
      <c:valAx>
        <c:axId val="36545128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08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Mo.7!$S$1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Mo.7!$R$3:$R$8</c:f>
              <c:strCache>
                <c:ptCount val="6"/>
                <c:pt idx="0">
                  <c:v>Housing</c:v>
                </c:pt>
                <c:pt idx="1">
                  <c:v>Transportation</c:v>
                </c:pt>
                <c:pt idx="2">
                  <c:v>Bills</c:v>
                </c:pt>
                <c:pt idx="3">
                  <c:v>Living</c:v>
                </c:pt>
                <c:pt idx="4">
                  <c:v>Entertainment</c:v>
                </c:pt>
                <c:pt idx="5">
                  <c:v>Misc.</c:v>
                </c:pt>
              </c:strCache>
            </c:strRef>
          </c:cat>
          <c:val>
            <c:numRef>
              <c:f>Mo.7!$S$3:$S$8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9A01-415A-98A7-36A617A32F67}"/>
            </c:ext>
          </c:extLst>
        </c:ser>
        <c:ser>
          <c:idx val="1"/>
          <c:order val="1"/>
          <c:tx>
            <c:strRef>
              <c:f>Mo.7!$T$1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Mo.7!$R$3:$R$8</c:f>
              <c:strCache>
                <c:ptCount val="6"/>
                <c:pt idx="0">
                  <c:v>Housing</c:v>
                </c:pt>
                <c:pt idx="1">
                  <c:v>Transportation</c:v>
                </c:pt>
                <c:pt idx="2">
                  <c:v>Bills</c:v>
                </c:pt>
                <c:pt idx="3">
                  <c:v>Living</c:v>
                </c:pt>
                <c:pt idx="4">
                  <c:v>Entertainment</c:v>
                </c:pt>
                <c:pt idx="5">
                  <c:v>Misc.</c:v>
                </c:pt>
              </c:strCache>
            </c:strRef>
          </c:cat>
          <c:val>
            <c:numRef>
              <c:f>Mo.7!$T$3:$T$8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9A01-415A-98A7-36A617A32F67}"/>
            </c:ext>
          </c:extLst>
        </c:ser>
        <c:dLbls>
          <c:showLegendKey val="0"/>
          <c:showVal val="0"/>
          <c:showCatName val="0"/>
          <c:showSerName val="0"/>
          <c:showPercent val="0"/>
          <c:showBubbleSize val="0"/>
        </c:dLbls>
        <c:gapWidth val="20"/>
        <c:overlap val="100"/>
        <c:axId val="365452064"/>
        <c:axId val="365452456"/>
      </c:barChart>
      <c:catAx>
        <c:axId val="3654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5452456"/>
        <c:crosses val="autoZero"/>
        <c:auto val="1"/>
        <c:lblAlgn val="ctr"/>
        <c:lblOffset val="100"/>
        <c:noMultiLvlLbl val="0"/>
      </c:catAx>
      <c:valAx>
        <c:axId val="365452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54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Mo.7!$V$11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Mo.7!$S$12:$S$42</c:f>
              <c:numCache>
                <c:formatCode>m/d\ \(ddd\)</c:formatCode>
                <c:ptCount val="31"/>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numCache>
            </c:numRef>
          </c:cat>
          <c:val>
            <c:numRef>
              <c:f>Mo.7!$V$12:$V$42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EAB9-4099-9D29-72782E8F9944}"/>
            </c:ext>
          </c:extLst>
        </c:ser>
        <c:dLbls>
          <c:showLegendKey val="0"/>
          <c:showVal val="0"/>
          <c:showCatName val="0"/>
          <c:showSerName val="0"/>
          <c:showPercent val="0"/>
          <c:showBubbleSize val="0"/>
        </c:dLbls>
        <c:axId val="365453240"/>
        <c:axId val="365453632"/>
      </c:areaChart>
      <c:lineChart>
        <c:grouping val="standard"/>
        <c:varyColors val="0"/>
        <c:ser>
          <c:idx val="1"/>
          <c:order val="1"/>
          <c:tx>
            <c:v>Target</c:v>
          </c:tx>
          <c:spPr>
            <a:ln w="22225" cap="rnd" cmpd="sng" algn="ctr">
              <a:solidFill>
                <a:srgbClr val="C00000"/>
              </a:solidFill>
              <a:round/>
            </a:ln>
            <a:effectLst/>
          </c:spPr>
          <c:marker>
            <c:symbol val="none"/>
          </c:marker>
          <c:val>
            <c:numRef>
              <c:f>Mo.7!$W$12:$W$42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EAB9-4099-9D29-72782E8F994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5453240"/>
        <c:axId val="365453632"/>
      </c:lineChart>
      <c:dateAx>
        <c:axId val="36545324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3632"/>
        <c:crosses val="autoZero"/>
        <c:auto val="1"/>
        <c:lblOffset val="100"/>
        <c:baseTimeUnit val="days"/>
        <c:majorUnit val="5"/>
        <c:majorTimeUnit val="days"/>
      </c:dateAx>
      <c:valAx>
        <c:axId val="36545363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32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Mo.8!$S$1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Mo.8!$R$3:$R$8</c:f>
              <c:strCache>
                <c:ptCount val="6"/>
                <c:pt idx="0">
                  <c:v>Housing</c:v>
                </c:pt>
                <c:pt idx="1">
                  <c:v>Transportation</c:v>
                </c:pt>
                <c:pt idx="2">
                  <c:v>Bills</c:v>
                </c:pt>
                <c:pt idx="3">
                  <c:v>Living</c:v>
                </c:pt>
                <c:pt idx="4">
                  <c:v>Entertainment</c:v>
                </c:pt>
                <c:pt idx="5">
                  <c:v>Misc.</c:v>
                </c:pt>
              </c:strCache>
            </c:strRef>
          </c:cat>
          <c:val>
            <c:numRef>
              <c:f>Mo.8!$S$3:$S$8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8246-46EF-8DB4-ACBF0A099463}"/>
            </c:ext>
          </c:extLst>
        </c:ser>
        <c:ser>
          <c:idx val="1"/>
          <c:order val="1"/>
          <c:tx>
            <c:strRef>
              <c:f>Mo.8!$T$1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Mo.8!$R$3:$R$8</c:f>
              <c:strCache>
                <c:ptCount val="6"/>
                <c:pt idx="0">
                  <c:v>Housing</c:v>
                </c:pt>
                <c:pt idx="1">
                  <c:v>Transportation</c:v>
                </c:pt>
                <c:pt idx="2">
                  <c:v>Bills</c:v>
                </c:pt>
                <c:pt idx="3">
                  <c:v>Living</c:v>
                </c:pt>
                <c:pt idx="4">
                  <c:v>Entertainment</c:v>
                </c:pt>
                <c:pt idx="5">
                  <c:v>Misc.</c:v>
                </c:pt>
              </c:strCache>
            </c:strRef>
          </c:cat>
          <c:val>
            <c:numRef>
              <c:f>Mo.8!$T$3:$T$8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8246-46EF-8DB4-ACBF0A099463}"/>
            </c:ext>
          </c:extLst>
        </c:ser>
        <c:dLbls>
          <c:showLegendKey val="0"/>
          <c:showVal val="0"/>
          <c:showCatName val="0"/>
          <c:showSerName val="0"/>
          <c:showPercent val="0"/>
          <c:showBubbleSize val="0"/>
        </c:dLbls>
        <c:gapWidth val="20"/>
        <c:overlap val="100"/>
        <c:axId val="365454024"/>
        <c:axId val="365454416"/>
      </c:barChart>
      <c:catAx>
        <c:axId val="365454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5454416"/>
        <c:crosses val="autoZero"/>
        <c:auto val="1"/>
        <c:lblAlgn val="ctr"/>
        <c:lblOffset val="100"/>
        <c:noMultiLvlLbl val="0"/>
      </c:catAx>
      <c:valAx>
        <c:axId val="365454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5454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Mo.8!$V$11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Mo.8!$S$12:$S$42</c:f>
              <c:numCache>
                <c:formatCode>m/d\ \(ddd\)</c:formatCode>
                <c:ptCount val="31"/>
                <c:pt idx="0">
                  <c:v>45231</c:v>
                </c:pt>
                <c:pt idx="1">
                  <c:v>45232</c:v>
                </c:pt>
                <c:pt idx="2">
                  <c:v>45233</c:v>
                </c:pt>
                <c:pt idx="3">
                  <c:v>45234</c:v>
                </c:pt>
                <c:pt idx="4">
                  <c:v>45235</c:v>
                </c:pt>
                <c:pt idx="5">
                  <c:v>45236</c:v>
                </c:pt>
                <c:pt idx="6">
                  <c:v>45237</c:v>
                </c:pt>
                <c:pt idx="7">
                  <c:v>45238</c:v>
                </c:pt>
                <c:pt idx="8">
                  <c:v>45239</c:v>
                </c:pt>
                <c:pt idx="9">
                  <c:v>45240</c:v>
                </c:pt>
                <c:pt idx="10">
                  <c:v>45241</c:v>
                </c:pt>
                <c:pt idx="11">
                  <c:v>45242</c:v>
                </c:pt>
                <c:pt idx="12">
                  <c:v>45243</c:v>
                </c:pt>
                <c:pt idx="13">
                  <c:v>45244</c:v>
                </c:pt>
                <c:pt idx="14">
                  <c:v>45245</c:v>
                </c:pt>
                <c:pt idx="15">
                  <c:v>45246</c:v>
                </c:pt>
                <c:pt idx="16">
                  <c:v>45247</c:v>
                </c:pt>
                <c:pt idx="17">
                  <c:v>45248</c:v>
                </c:pt>
                <c:pt idx="18">
                  <c:v>45249</c:v>
                </c:pt>
                <c:pt idx="19">
                  <c:v>45250</c:v>
                </c:pt>
                <c:pt idx="20">
                  <c:v>45251</c:v>
                </c:pt>
                <c:pt idx="21">
                  <c:v>45252</c:v>
                </c:pt>
                <c:pt idx="22">
                  <c:v>45253</c:v>
                </c:pt>
                <c:pt idx="23">
                  <c:v>45254</c:v>
                </c:pt>
                <c:pt idx="24">
                  <c:v>45255</c:v>
                </c:pt>
                <c:pt idx="25">
                  <c:v>45256</c:v>
                </c:pt>
                <c:pt idx="26">
                  <c:v>45257</c:v>
                </c:pt>
                <c:pt idx="27">
                  <c:v>45258</c:v>
                </c:pt>
                <c:pt idx="28">
                  <c:v>45259</c:v>
                </c:pt>
                <c:pt idx="29">
                  <c:v>45260</c:v>
                </c:pt>
                <c:pt idx="30">
                  <c:v>45261</c:v>
                </c:pt>
              </c:numCache>
            </c:numRef>
          </c:cat>
          <c:val>
            <c:numRef>
              <c:f>Mo.8!$V$12:$V$42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7AFC-4DAC-B17B-D777CC54219F}"/>
            </c:ext>
          </c:extLst>
        </c:ser>
        <c:dLbls>
          <c:showLegendKey val="0"/>
          <c:showVal val="0"/>
          <c:showCatName val="0"/>
          <c:showSerName val="0"/>
          <c:showPercent val="0"/>
          <c:showBubbleSize val="0"/>
        </c:dLbls>
        <c:axId val="365455200"/>
        <c:axId val="365455592"/>
      </c:areaChart>
      <c:lineChart>
        <c:grouping val="standard"/>
        <c:varyColors val="0"/>
        <c:ser>
          <c:idx val="1"/>
          <c:order val="1"/>
          <c:tx>
            <c:v>Target</c:v>
          </c:tx>
          <c:spPr>
            <a:ln w="22225" cap="rnd" cmpd="sng" algn="ctr">
              <a:solidFill>
                <a:srgbClr val="C00000"/>
              </a:solidFill>
              <a:round/>
            </a:ln>
            <a:effectLst/>
          </c:spPr>
          <c:marker>
            <c:symbol val="none"/>
          </c:marker>
          <c:val>
            <c:numRef>
              <c:f>Mo.8!$W$12:$W$42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7AFC-4DAC-B17B-D777CC5421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5455200"/>
        <c:axId val="365455592"/>
      </c:lineChart>
      <c:dateAx>
        <c:axId val="36545520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5592"/>
        <c:crosses val="autoZero"/>
        <c:auto val="1"/>
        <c:lblOffset val="100"/>
        <c:baseTimeUnit val="days"/>
        <c:majorUnit val="5"/>
        <c:majorTimeUnit val="days"/>
      </c:dateAx>
      <c:valAx>
        <c:axId val="36545559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54552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Mo.9!$S$1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Mo.9!$R$3:$R$8</c:f>
              <c:strCache>
                <c:ptCount val="6"/>
                <c:pt idx="0">
                  <c:v>Housing</c:v>
                </c:pt>
                <c:pt idx="1">
                  <c:v>Transportation</c:v>
                </c:pt>
                <c:pt idx="2">
                  <c:v>Bills</c:v>
                </c:pt>
                <c:pt idx="3">
                  <c:v>Living</c:v>
                </c:pt>
                <c:pt idx="4">
                  <c:v>Entertainment</c:v>
                </c:pt>
                <c:pt idx="5">
                  <c:v>Misc.</c:v>
                </c:pt>
              </c:strCache>
            </c:strRef>
          </c:cat>
          <c:val>
            <c:numRef>
              <c:f>Mo.9!$S$3:$S$8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399-4A51-B516-113FAC43B28F}"/>
            </c:ext>
          </c:extLst>
        </c:ser>
        <c:ser>
          <c:idx val="1"/>
          <c:order val="1"/>
          <c:tx>
            <c:strRef>
              <c:f>Mo.9!$T$1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Mo.9!$R$3:$R$8</c:f>
              <c:strCache>
                <c:ptCount val="6"/>
                <c:pt idx="0">
                  <c:v>Housing</c:v>
                </c:pt>
                <c:pt idx="1">
                  <c:v>Transportation</c:v>
                </c:pt>
                <c:pt idx="2">
                  <c:v>Bills</c:v>
                </c:pt>
                <c:pt idx="3">
                  <c:v>Living</c:v>
                </c:pt>
                <c:pt idx="4">
                  <c:v>Entertainment</c:v>
                </c:pt>
                <c:pt idx="5">
                  <c:v>Misc.</c:v>
                </c:pt>
              </c:strCache>
            </c:strRef>
          </c:cat>
          <c:val>
            <c:numRef>
              <c:f>Mo.9!$T$3:$T$8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399-4A51-B516-113FAC43B28F}"/>
            </c:ext>
          </c:extLst>
        </c:ser>
        <c:dLbls>
          <c:showLegendKey val="0"/>
          <c:showVal val="0"/>
          <c:showCatName val="0"/>
          <c:showSerName val="0"/>
          <c:showPercent val="0"/>
          <c:showBubbleSize val="0"/>
        </c:dLbls>
        <c:gapWidth val="20"/>
        <c:overlap val="100"/>
        <c:axId val="365456376"/>
        <c:axId val="366373976"/>
      </c:barChart>
      <c:catAx>
        <c:axId val="365456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6373976"/>
        <c:crosses val="autoZero"/>
        <c:auto val="1"/>
        <c:lblAlgn val="ctr"/>
        <c:lblOffset val="100"/>
        <c:noMultiLvlLbl val="0"/>
      </c:catAx>
      <c:valAx>
        <c:axId val="366373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545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Mo.9!$V$11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Mo.9!$S$12:$S$42</c:f>
              <c:numCache>
                <c:formatCode>m/d\ \(ddd\)</c:formatCode>
                <c:ptCount val="31"/>
                <c:pt idx="0">
                  <c:v>45261</c:v>
                </c:pt>
                <c:pt idx="1">
                  <c:v>45262</c:v>
                </c:pt>
                <c:pt idx="2">
                  <c:v>45263</c:v>
                </c:pt>
                <c:pt idx="3">
                  <c:v>45264</c:v>
                </c:pt>
                <c:pt idx="4">
                  <c:v>45265</c:v>
                </c:pt>
                <c:pt idx="5">
                  <c:v>45266</c:v>
                </c:pt>
                <c:pt idx="6">
                  <c:v>45267</c:v>
                </c:pt>
                <c:pt idx="7">
                  <c:v>45268</c:v>
                </c:pt>
                <c:pt idx="8">
                  <c:v>45269</c:v>
                </c:pt>
                <c:pt idx="9">
                  <c:v>45270</c:v>
                </c:pt>
                <c:pt idx="10">
                  <c:v>45271</c:v>
                </c:pt>
                <c:pt idx="11">
                  <c:v>45272</c:v>
                </c:pt>
                <c:pt idx="12">
                  <c:v>45273</c:v>
                </c:pt>
                <c:pt idx="13">
                  <c:v>45274</c:v>
                </c:pt>
                <c:pt idx="14">
                  <c:v>45275</c:v>
                </c:pt>
                <c:pt idx="15">
                  <c:v>45276</c:v>
                </c:pt>
                <c:pt idx="16">
                  <c:v>45277</c:v>
                </c:pt>
                <c:pt idx="17">
                  <c:v>45278</c:v>
                </c:pt>
                <c:pt idx="18">
                  <c:v>45279</c:v>
                </c:pt>
                <c:pt idx="19">
                  <c:v>45280</c:v>
                </c:pt>
                <c:pt idx="20">
                  <c:v>45281</c:v>
                </c:pt>
                <c:pt idx="21">
                  <c:v>45282</c:v>
                </c:pt>
                <c:pt idx="22">
                  <c:v>45283</c:v>
                </c:pt>
                <c:pt idx="23">
                  <c:v>45284</c:v>
                </c:pt>
                <c:pt idx="24">
                  <c:v>45285</c:v>
                </c:pt>
                <c:pt idx="25">
                  <c:v>45286</c:v>
                </c:pt>
                <c:pt idx="26">
                  <c:v>45287</c:v>
                </c:pt>
                <c:pt idx="27">
                  <c:v>45288</c:v>
                </c:pt>
                <c:pt idx="28">
                  <c:v>45289</c:v>
                </c:pt>
                <c:pt idx="29">
                  <c:v>45290</c:v>
                </c:pt>
                <c:pt idx="30">
                  <c:v>45291</c:v>
                </c:pt>
              </c:numCache>
            </c:numRef>
          </c:cat>
          <c:val>
            <c:numRef>
              <c:f>Mo.9!$V$12:$V$42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3DEE-4244-A6B0-C5D57751BF28}"/>
            </c:ext>
          </c:extLst>
        </c:ser>
        <c:dLbls>
          <c:showLegendKey val="0"/>
          <c:showVal val="0"/>
          <c:showCatName val="0"/>
          <c:showSerName val="0"/>
          <c:showPercent val="0"/>
          <c:showBubbleSize val="0"/>
        </c:dLbls>
        <c:axId val="366374760"/>
        <c:axId val="366375152"/>
      </c:areaChart>
      <c:lineChart>
        <c:grouping val="standard"/>
        <c:varyColors val="0"/>
        <c:ser>
          <c:idx val="1"/>
          <c:order val="1"/>
          <c:tx>
            <c:v>Target</c:v>
          </c:tx>
          <c:spPr>
            <a:ln w="22225" cap="rnd" cmpd="sng" algn="ctr">
              <a:solidFill>
                <a:srgbClr val="C00000"/>
              </a:solidFill>
              <a:round/>
            </a:ln>
            <a:effectLst/>
          </c:spPr>
          <c:marker>
            <c:symbol val="none"/>
          </c:marker>
          <c:val>
            <c:numRef>
              <c:f>Mo.9!$W$12:$W$42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3DEE-4244-A6B0-C5D57751BF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6374760"/>
        <c:axId val="366375152"/>
      </c:lineChart>
      <c:dateAx>
        <c:axId val="36637476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5152"/>
        <c:crosses val="autoZero"/>
        <c:auto val="1"/>
        <c:lblOffset val="100"/>
        <c:baseTimeUnit val="days"/>
        <c:majorUnit val="5"/>
        <c:majorTimeUnit val="days"/>
      </c:dateAx>
      <c:valAx>
        <c:axId val="36637515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476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Mo.10!$S$1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Mo.10!$R$3:$R$8</c:f>
              <c:strCache>
                <c:ptCount val="6"/>
                <c:pt idx="0">
                  <c:v>Housing</c:v>
                </c:pt>
                <c:pt idx="1">
                  <c:v>Transportation</c:v>
                </c:pt>
                <c:pt idx="2">
                  <c:v>Bills</c:v>
                </c:pt>
                <c:pt idx="3">
                  <c:v>Living</c:v>
                </c:pt>
                <c:pt idx="4">
                  <c:v>Entertainment</c:v>
                </c:pt>
                <c:pt idx="5">
                  <c:v>Misc.</c:v>
                </c:pt>
              </c:strCache>
            </c:strRef>
          </c:cat>
          <c:val>
            <c:numRef>
              <c:f>Mo.10!$S$3:$S$8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F6D-4E10-B51B-C675D19E1497}"/>
            </c:ext>
          </c:extLst>
        </c:ser>
        <c:ser>
          <c:idx val="1"/>
          <c:order val="1"/>
          <c:tx>
            <c:strRef>
              <c:f>Mo.10!$T$1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Mo.10!$R$3:$R$8</c:f>
              <c:strCache>
                <c:ptCount val="6"/>
                <c:pt idx="0">
                  <c:v>Housing</c:v>
                </c:pt>
                <c:pt idx="1">
                  <c:v>Transportation</c:v>
                </c:pt>
                <c:pt idx="2">
                  <c:v>Bills</c:v>
                </c:pt>
                <c:pt idx="3">
                  <c:v>Living</c:v>
                </c:pt>
                <c:pt idx="4">
                  <c:v>Entertainment</c:v>
                </c:pt>
                <c:pt idx="5">
                  <c:v>Misc.</c:v>
                </c:pt>
              </c:strCache>
            </c:strRef>
          </c:cat>
          <c:val>
            <c:numRef>
              <c:f>Mo.10!$T$3:$T$8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F6D-4E10-B51B-C675D19E1497}"/>
            </c:ext>
          </c:extLst>
        </c:ser>
        <c:dLbls>
          <c:showLegendKey val="0"/>
          <c:showVal val="0"/>
          <c:showCatName val="0"/>
          <c:showSerName val="0"/>
          <c:showPercent val="0"/>
          <c:showBubbleSize val="0"/>
        </c:dLbls>
        <c:gapWidth val="20"/>
        <c:overlap val="100"/>
        <c:axId val="366375936"/>
        <c:axId val="366376328"/>
      </c:barChart>
      <c:catAx>
        <c:axId val="36637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6376328"/>
        <c:crosses val="autoZero"/>
        <c:auto val="1"/>
        <c:lblAlgn val="ctr"/>
        <c:lblOffset val="100"/>
        <c:noMultiLvlLbl val="0"/>
      </c:catAx>
      <c:valAx>
        <c:axId val="366376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637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Mo.1!$U$11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Mo.1!$R$12:$R$42</c:f>
              <c:numCache>
                <c:formatCode>m/d\ \(ddd\)</c:formatCode>
                <c:ptCount val="31"/>
                <c:pt idx="0">
                  <c:v>45017</c:v>
                </c:pt>
                <c:pt idx="1">
                  <c:v>45018</c:v>
                </c:pt>
                <c:pt idx="2">
                  <c:v>45019</c:v>
                </c:pt>
                <c:pt idx="3">
                  <c:v>45020</c:v>
                </c:pt>
                <c:pt idx="4">
                  <c:v>45021</c:v>
                </c:pt>
                <c:pt idx="5">
                  <c:v>45022</c:v>
                </c:pt>
                <c:pt idx="6">
                  <c:v>45023</c:v>
                </c:pt>
                <c:pt idx="7">
                  <c:v>45024</c:v>
                </c:pt>
                <c:pt idx="8">
                  <c:v>45025</c:v>
                </c:pt>
                <c:pt idx="9">
                  <c:v>45026</c:v>
                </c:pt>
                <c:pt idx="10">
                  <c:v>45027</c:v>
                </c:pt>
                <c:pt idx="11">
                  <c:v>45028</c:v>
                </c:pt>
                <c:pt idx="12">
                  <c:v>45029</c:v>
                </c:pt>
                <c:pt idx="13">
                  <c:v>45030</c:v>
                </c:pt>
                <c:pt idx="14">
                  <c:v>45031</c:v>
                </c:pt>
                <c:pt idx="15">
                  <c:v>45032</c:v>
                </c:pt>
                <c:pt idx="16">
                  <c:v>45033</c:v>
                </c:pt>
                <c:pt idx="17">
                  <c:v>45034</c:v>
                </c:pt>
                <c:pt idx="18">
                  <c:v>45035</c:v>
                </c:pt>
                <c:pt idx="19">
                  <c:v>45036</c:v>
                </c:pt>
                <c:pt idx="20">
                  <c:v>45037</c:v>
                </c:pt>
                <c:pt idx="21">
                  <c:v>45038</c:v>
                </c:pt>
                <c:pt idx="22">
                  <c:v>45039</c:v>
                </c:pt>
                <c:pt idx="23">
                  <c:v>45040</c:v>
                </c:pt>
                <c:pt idx="24">
                  <c:v>45041</c:v>
                </c:pt>
                <c:pt idx="25">
                  <c:v>45042</c:v>
                </c:pt>
                <c:pt idx="26">
                  <c:v>45043</c:v>
                </c:pt>
                <c:pt idx="27">
                  <c:v>45044</c:v>
                </c:pt>
                <c:pt idx="28">
                  <c:v>45045</c:v>
                </c:pt>
                <c:pt idx="29">
                  <c:v>45046</c:v>
                </c:pt>
                <c:pt idx="30">
                  <c:v>45047</c:v>
                </c:pt>
              </c:numCache>
            </c:numRef>
          </c:cat>
          <c:val>
            <c:numRef>
              <c:f>Mo.1!$U$12:$U$42</c:f>
              <c:numCache>
                <c:formatCode>_("$"* #,##0.00_);_("$"* \(#,##0.00\);_("$"* "-"??_);_(@_)</c:formatCode>
                <c:ptCount val="31"/>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numCache>
            </c:numRef>
          </c:val>
          <c:extLst>
            <c:ext xmlns:c16="http://schemas.microsoft.com/office/drawing/2014/chart" uri="{C3380CC4-5D6E-409C-BE32-E72D297353CC}">
              <c16:uniqueId val="{00000000-4B2C-483D-8DCA-A823EAC22B92}"/>
            </c:ext>
          </c:extLst>
        </c:ser>
        <c:dLbls>
          <c:showLegendKey val="0"/>
          <c:showVal val="0"/>
          <c:showCatName val="0"/>
          <c:showSerName val="0"/>
          <c:showPercent val="0"/>
          <c:showBubbleSize val="0"/>
        </c:dLbls>
        <c:axId val="4534112"/>
        <c:axId val="4173496"/>
      </c:areaChart>
      <c:lineChart>
        <c:grouping val="standard"/>
        <c:varyColors val="0"/>
        <c:ser>
          <c:idx val="1"/>
          <c:order val="1"/>
          <c:tx>
            <c:v>Target</c:v>
          </c:tx>
          <c:spPr>
            <a:ln w="22225" cap="rnd" cmpd="sng" algn="ctr">
              <a:solidFill>
                <a:srgbClr val="C00000"/>
              </a:solidFill>
              <a:round/>
            </a:ln>
            <a:effectLst/>
          </c:spPr>
          <c:marker>
            <c:symbol val="none"/>
          </c:marker>
          <c:val>
            <c:numRef>
              <c:f>Mo.1!$V$12:$V$42</c:f>
              <c:numCache>
                <c:formatCode>General</c:formatCode>
                <c:ptCount val="31"/>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numCache>
            </c:numRef>
          </c:val>
          <c:smooth val="0"/>
          <c:extLst>
            <c:ext xmlns:c16="http://schemas.microsoft.com/office/drawing/2014/chart" uri="{C3380CC4-5D6E-409C-BE32-E72D297353CC}">
              <c16:uniqueId val="{00000001-4B2C-483D-8DCA-A823EAC22B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34112"/>
        <c:axId val="4173496"/>
      </c:lineChart>
      <c:dateAx>
        <c:axId val="4534112"/>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4173496"/>
        <c:crosses val="autoZero"/>
        <c:auto val="1"/>
        <c:lblOffset val="100"/>
        <c:baseTimeUnit val="days"/>
        <c:majorUnit val="5"/>
        <c:majorTimeUnit val="days"/>
      </c:dateAx>
      <c:valAx>
        <c:axId val="417349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45341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Mo.10!$V$11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Mo.10!$S$12:$S$42</c:f>
              <c:numCache>
                <c:formatCode>m/d\ \(ddd\)</c:formatCode>
                <c:ptCount val="31"/>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numCache>
            </c:numRef>
          </c:cat>
          <c:val>
            <c:numRef>
              <c:f>Mo.10!$V$12:$V$42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BFC2-44CE-BFE5-0E1B44C76E09}"/>
            </c:ext>
          </c:extLst>
        </c:ser>
        <c:dLbls>
          <c:showLegendKey val="0"/>
          <c:showVal val="0"/>
          <c:showCatName val="0"/>
          <c:showSerName val="0"/>
          <c:showPercent val="0"/>
          <c:showBubbleSize val="0"/>
        </c:dLbls>
        <c:axId val="366377112"/>
        <c:axId val="366377504"/>
      </c:areaChart>
      <c:lineChart>
        <c:grouping val="standard"/>
        <c:varyColors val="0"/>
        <c:ser>
          <c:idx val="1"/>
          <c:order val="1"/>
          <c:tx>
            <c:v>Target</c:v>
          </c:tx>
          <c:spPr>
            <a:ln w="22225" cap="rnd" cmpd="sng" algn="ctr">
              <a:solidFill>
                <a:srgbClr val="C00000"/>
              </a:solidFill>
              <a:round/>
            </a:ln>
            <a:effectLst/>
          </c:spPr>
          <c:marker>
            <c:symbol val="none"/>
          </c:marker>
          <c:val>
            <c:numRef>
              <c:f>Mo.10!$W$12:$W$42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BFC2-44CE-BFE5-0E1B44C76E0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6377112"/>
        <c:axId val="366377504"/>
      </c:lineChart>
      <c:dateAx>
        <c:axId val="366377112"/>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7504"/>
        <c:crosses val="autoZero"/>
        <c:auto val="1"/>
        <c:lblOffset val="100"/>
        <c:baseTimeUnit val="days"/>
        <c:majorUnit val="5"/>
        <c:majorTimeUnit val="days"/>
      </c:dateAx>
      <c:valAx>
        <c:axId val="3663775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71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Mo.11!$S$1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Mo.11!$R$3:$R$8</c:f>
              <c:strCache>
                <c:ptCount val="6"/>
                <c:pt idx="0">
                  <c:v>Housing</c:v>
                </c:pt>
                <c:pt idx="1">
                  <c:v>Transportation</c:v>
                </c:pt>
                <c:pt idx="2">
                  <c:v>Bills</c:v>
                </c:pt>
                <c:pt idx="3">
                  <c:v>Living</c:v>
                </c:pt>
                <c:pt idx="4">
                  <c:v>Entertainment</c:v>
                </c:pt>
                <c:pt idx="5">
                  <c:v>Misc.</c:v>
                </c:pt>
              </c:strCache>
            </c:strRef>
          </c:cat>
          <c:val>
            <c:numRef>
              <c:f>Mo.11!$S$3:$S$8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53BD-4E52-A0D4-6EBF18CF72FC}"/>
            </c:ext>
          </c:extLst>
        </c:ser>
        <c:ser>
          <c:idx val="1"/>
          <c:order val="1"/>
          <c:tx>
            <c:strRef>
              <c:f>Mo.11!$T$1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Mo.11!$R$3:$R$8</c:f>
              <c:strCache>
                <c:ptCount val="6"/>
                <c:pt idx="0">
                  <c:v>Housing</c:v>
                </c:pt>
                <c:pt idx="1">
                  <c:v>Transportation</c:v>
                </c:pt>
                <c:pt idx="2">
                  <c:v>Bills</c:v>
                </c:pt>
                <c:pt idx="3">
                  <c:v>Living</c:v>
                </c:pt>
                <c:pt idx="4">
                  <c:v>Entertainment</c:v>
                </c:pt>
                <c:pt idx="5">
                  <c:v>Misc.</c:v>
                </c:pt>
              </c:strCache>
            </c:strRef>
          </c:cat>
          <c:val>
            <c:numRef>
              <c:f>Mo.11!$T$3:$T$8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53BD-4E52-A0D4-6EBF18CF72FC}"/>
            </c:ext>
          </c:extLst>
        </c:ser>
        <c:dLbls>
          <c:showLegendKey val="0"/>
          <c:showVal val="0"/>
          <c:showCatName val="0"/>
          <c:showSerName val="0"/>
          <c:showPercent val="0"/>
          <c:showBubbleSize val="0"/>
        </c:dLbls>
        <c:gapWidth val="20"/>
        <c:overlap val="100"/>
        <c:axId val="366378288"/>
        <c:axId val="366378680"/>
      </c:barChart>
      <c:catAx>
        <c:axId val="36637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6378680"/>
        <c:crosses val="autoZero"/>
        <c:auto val="1"/>
        <c:lblAlgn val="ctr"/>
        <c:lblOffset val="100"/>
        <c:noMultiLvlLbl val="0"/>
      </c:catAx>
      <c:valAx>
        <c:axId val="366378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637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Mo.11!$V$11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Mo.11!$S$12:$S$42</c:f>
              <c:numCache>
                <c:formatCode>m/d\ \(ddd\)</c:formatCode>
                <c:ptCount val="31"/>
                <c:pt idx="0">
                  <c:v>45323</c:v>
                </c:pt>
                <c:pt idx="1">
                  <c:v>45324</c:v>
                </c:pt>
                <c:pt idx="2">
                  <c:v>45325</c:v>
                </c:pt>
                <c:pt idx="3">
                  <c:v>45326</c:v>
                </c:pt>
                <c:pt idx="4">
                  <c:v>45327</c:v>
                </c:pt>
                <c:pt idx="5">
                  <c:v>45328</c:v>
                </c:pt>
                <c:pt idx="6">
                  <c:v>45329</c:v>
                </c:pt>
                <c:pt idx="7">
                  <c:v>45330</c:v>
                </c:pt>
                <c:pt idx="8">
                  <c:v>45331</c:v>
                </c:pt>
                <c:pt idx="9">
                  <c:v>45332</c:v>
                </c:pt>
                <c:pt idx="10">
                  <c:v>45333</c:v>
                </c:pt>
                <c:pt idx="11">
                  <c:v>45334</c:v>
                </c:pt>
                <c:pt idx="12">
                  <c:v>45335</c:v>
                </c:pt>
                <c:pt idx="13">
                  <c:v>45336</c:v>
                </c:pt>
                <c:pt idx="14">
                  <c:v>45337</c:v>
                </c:pt>
                <c:pt idx="15">
                  <c:v>45338</c:v>
                </c:pt>
                <c:pt idx="16">
                  <c:v>45339</c:v>
                </c:pt>
                <c:pt idx="17">
                  <c:v>45340</c:v>
                </c:pt>
                <c:pt idx="18">
                  <c:v>45341</c:v>
                </c:pt>
                <c:pt idx="19">
                  <c:v>45342</c:v>
                </c:pt>
                <c:pt idx="20">
                  <c:v>45343</c:v>
                </c:pt>
                <c:pt idx="21">
                  <c:v>45344</c:v>
                </c:pt>
                <c:pt idx="22">
                  <c:v>45345</c:v>
                </c:pt>
                <c:pt idx="23">
                  <c:v>45346</c:v>
                </c:pt>
                <c:pt idx="24">
                  <c:v>45347</c:v>
                </c:pt>
                <c:pt idx="25">
                  <c:v>45348</c:v>
                </c:pt>
                <c:pt idx="26">
                  <c:v>45349</c:v>
                </c:pt>
                <c:pt idx="27">
                  <c:v>45350</c:v>
                </c:pt>
                <c:pt idx="28">
                  <c:v>45351</c:v>
                </c:pt>
                <c:pt idx="29">
                  <c:v>45352</c:v>
                </c:pt>
                <c:pt idx="30">
                  <c:v>45353</c:v>
                </c:pt>
              </c:numCache>
            </c:numRef>
          </c:cat>
          <c:val>
            <c:numRef>
              <c:f>Mo.11!$V$12:$V$42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F1DF-4594-9DBF-58D6B7FAEAA5}"/>
            </c:ext>
          </c:extLst>
        </c:ser>
        <c:dLbls>
          <c:showLegendKey val="0"/>
          <c:showVal val="0"/>
          <c:showCatName val="0"/>
          <c:showSerName val="0"/>
          <c:showPercent val="0"/>
          <c:showBubbleSize val="0"/>
        </c:dLbls>
        <c:axId val="366379464"/>
        <c:axId val="366379856"/>
      </c:areaChart>
      <c:lineChart>
        <c:grouping val="standard"/>
        <c:varyColors val="0"/>
        <c:ser>
          <c:idx val="1"/>
          <c:order val="1"/>
          <c:tx>
            <c:v>Target</c:v>
          </c:tx>
          <c:spPr>
            <a:ln w="22225" cap="rnd" cmpd="sng" algn="ctr">
              <a:solidFill>
                <a:srgbClr val="C00000"/>
              </a:solidFill>
              <a:round/>
            </a:ln>
            <a:effectLst/>
          </c:spPr>
          <c:marker>
            <c:symbol val="none"/>
          </c:marker>
          <c:val>
            <c:numRef>
              <c:f>Mo.11!$W$12:$W$42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F1DF-4594-9DBF-58D6B7FAEAA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6379464"/>
        <c:axId val="366379856"/>
      </c:lineChart>
      <c:dateAx>
        <c:axId val="366379464"/>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9856"/>
        <c:crosses val="autoZero"/>
        <c:auto val="1"/>
        <c:lblOffset val="100"/>
        <c:baseTimeUnit val="days"/>
        <c:majorUnit val="5"/>
        <c:majorTimeUnit val="days"/>
      </c:dateAx>
      <c:valAx>
        <c:axId val="3663798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6379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Mo.12!$S$1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Mo.12!$R$3:$R$8</c:f>
              <c:strCache>
                <c:ptCount val="6"/>
                <c:pt idx="0">
                  <c:v>Housing</c:v>
                </c:pt>
                <c:pt idx="1">
                  <c:v>Transportation</c:v>
                </c:pt>
                <c:pt idx="2">
                  <c:v>Bills</c:v>
                </c:pt>
                <c:pt idx="3">
                  <c:v>Living</c:v>
                </c:pt>
                <c:pt idx="4">
                  <c:v>Entertainment</c:v>
                </c:pt>
                <c:pt idx="5">
                  <c:v>Misc.</c:v>
                </c:pt>
              </c:strCache>
            </c:strRef>
          </c:cat>
          <c:val>
            <c:numRef>
              <c:f>Mo.12!$S$3:$S$8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D9B-40A8-B307-599759B5559F}"/>
            </c:ext>
          </c:extLst>
        </c:ser>
        <c:ser>
          <c:idx val="1"/>
          <c:order val="1"/>
          <c:tx>
            <c:strRef>
              <c:f>Mo.12!$T$1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Mo.12!$R$3:$R$8</c:f>
              <c:strCache>
                <c:ptCount val="6"/>
                <c:pt idx="0">
                  <c:v>Housing</c:v>
                </c:pt>
                <c:pt idx="1">
                  <c:v>Transportation</c:v>
                </c:pt>
                <c:pt idx="2">
                  <c:v>Bills</c:v>
                </c:pt>
                <c:pt idx="3">
                  <c:v>Living</c:v>
                </c:pt>
                <c:pt idx="4">
                  <c:v>Entertainment</c:v>
                </c:pt>
                <c:pt idx="5">
                  <c:v>Misc.</c:v>
                </c:pt>
              </c:strCache>
            </c:strRef>
          </c:cat>
          <c:val>
            <c:numRef>
              <c:f>Mo.12!$T$3:$T$8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1D9B-40A8-B307-599759B5559F}"/>
            </c:ext>
          </c:extLst>
        </c:ser>
        <c:dLbls>
          <c:showLegendKey val="0"/>
          <c:showVal val="0"/>
          <c:showCatName val="0"/>
          <c:showSerName val="0"/>
          <c:showPercent val="0"/>
          <c:showBubbleSize val="0"/>
        </c:dLbls>
        <c:gapWidth val="20"/>
        <c:overlap val="100"/>
        <c:axId val="366380640"/>
        <c:axId val="366381032"/>
      </c:barChart>
      <c:catAx>
        <c:axId val="36638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66381032"/>
        <c:crosses val="autoZero"/>
        <c:auto val="1"/>
        <c:lblAlgn val="ctr"/>
        <c:lblOffset val="100"/>
        <c:noMultiLvlLbl val="0"/>
      </c:catAx>
      <c:valAx>
        <c:axId val="366381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36638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Mo.12!$V$11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Mo.12!$S$12:$S$42</c:f>
              <c:numCache>
                <c:formatCode>m/d\ \(ddd\)</c:formatCode>
                <c:ptCount val="31"/>
                <c:pt idx="0">
                  <c:v>45352</c:v>
                </c:pt>
                <c:pt idx="1">
                  <c:v>45353</c:v>
                </c:pt>
                <c:pt idx="2">
                  <c:v>45354</c:v>
                </c:pt>
                <c:pt idx="3">
                  <c:v>45355</c:v>
                </c:pt>
                <c:pt idx="4">
                  <c:v>45356</c:v>
                </c:pt>
                <c:pt idx="5">
                  <c:v>45357</c:v>
                </c:pt>
                <c:pt idx="6">
                  <c:v>45358</c:v>
                </c:pt>
                <c:pt idx="7">
                  <c:v>45359</c:v>
                </c:pt>
                <c:pt idx="8">
                  <c:v>45360</c:v>
                </c:pt>
                <c:pt idx="9">
                  <c:v>45361</c:v>
                </c:pt>
                <c:pt idx="10">
                  <c:v>45362</c:v>
                </c:pt>
                <c:pt idx="11">
                  <c:v>45363</c:v>
                </c:pt>
                <c:pt idx="12">
                  <c:v>45364</c:v>
                </c:pt>
                <c:pt idx="13">
                  <c:v>45365</c:v>
                </c:pt>
                <c:pt idx="14">
                  <c:v>45366</c:v>
                </c:pt>
                <c:pt idx="15">
                  <c:v>45367</c:v>
                </c:pt>
                <c:pt idx="16">
                  <c:v>45368</c:v>
                </c:pt>
                <c:pt idx="17">
                  <c:v>45369</c:v>
                </c:pt>
                <c:pt idx="18">
                  <c:v>45370</c:v>
                </c:pt>
                <c:pt idx="19">
                  <c:v>45371</c:v>
                </c:pt>
                <c:pt idx="20">
                  <c:v>45372</c:v>
                </c:pt>
                <c:pt idx="21">
                  <c:v>45373</c:v>
                </c:pt>
                <c:pt idx="22">
                  <c:v>45374</c:v>
                </c:pt>
                <c:pt idx="23">
                  <c:v>45375</c:v>
                </c:pt>
                <c:pt idx="24">
                  <c:v>45376</c:v>
                </c:pt>
                <c:pt idx="25">
                  <c:v>45377</c:v>
                </c:pt>
                <c:pt idx="26">
                  <c:v>45378</c:v>
                </c:pt>
                <c:pt idx="27">
                  <c:v>45379</c:v>
                </c:pt>
                <c:pt idx="28">
                  <c:v>45380</c:v>
                </c:pt>
                <c:pt idx="29">
                  <c:v>45381</c:v>
                </c:pt>
                <c:pt idx="30">
                  <c:v>45382</c:v>
                </c:pt>
              </c:numCache>
            </c:numRef>
          </c:cat>
          <c:val>
            <c:numRef>
              <c:f>Mo.12!$V$12:$V$42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476D-4659-89A6-382F43ABA5D5}"/>
            </c:ext>
          </c:extLst>
        </c:ser>
        <c:dLbls>
          <c:showLegendKey val="0"/>
          <c:showVal val="0"/>
          <c:showCatName val="0"/>
          <c:showSerName val="0"/>
          <c:showPercent val="0"/>
          <c:showBubbleSize val="0"/>
        </c:dLbls>
        <c:axId val="369671000"/>
        <c:axId val="369671392"/>
      </c:areaChart>
      <c:lineChart>
        <c:grouping val="standard"/>
        <c:varyColors val="0"/>
        <c:ser>
          <c:idx val="1"/>
          <c:order val="1"/>
          <c:tx>
            <c:v>Target</c:v>
          </c:tx>
          <c:spPr>
            <a:ln w="22225" cap="rnd" cmpd="sng" algn="ctr">
              <a:solidFill>
                <a:srgbClr val="C00000"/>
              </a:solidFill>
              <a:round/>
            </a:ln>
            <a:effectLst/>
          </c:spPr>
          <c:marker>
            <c:symbol val="none"/>
          </c:marker>
          <c:val>
            <c:numRef>
              <c:f>Mo.12!$W$12:$W$42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476D-4659-89A6-382F43ABA5D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9671000"/>
        <c:axId val="369671392"/>
      </c:lineChart>
      <c:dateAx>
        <c:axId val="36967100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9671392"/>
        <c:crosses val="autoZero"/>
        <c:auto val="1"/>
        <c:lblOffset val="100"/>
        <c:baseTimeUnit val="days"/>
        <c:majorUnit val="5"/>
        <c:majorTimeUnit val="days"/>
      </c:dateAx>
      <c:valAx>
        <c:axId val="36967139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3696710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Mo.2!$S$1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Mo.2!$R$3:$R$8</c:f>
              <c:strCache>
                <c:ptCount val="6"/>
                <c:pt idx="0">
                  <c:v>Housing</c:v>
                </c:pt>
                <c:pt idx="1">
                  <c:v>Transportation</c:v>
                </c:pt>
                <c:pt idx="2">
                  <c:v>Bills</c:v>
                </c:pt>
                <c:pt idx="3">
                  <c:v>Living</c:v>
                </c:pt>
                <c:pt idx="4">
                  <c:v>Entertainment</c:v>
                </c:pt>
                <c:pt idx="5">
                  <c:v>Misc.</c:v>
                </c:pt>
              </c:strCache>
            </c:strRef>
          </c:cat>
          <c:val>
            <c:numRef>
              <c:f>Mo.2!$S$3:$S$8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8974-4BB3-8C25-9FA63D07601D}"/>
            </c:ext>
          </c:extLst>
        </c:ser>
        <c:ser>
          <c:idx val="1"/>
          <c:order val="1"/>
          <c:tx>
            <c:strRef>
              <c:f>Mo.2!$T$1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Mo.2!$R$3:$R$8</c:f>
              <c:strCache>
                <c:ptCount val="6"/>
                <c:pt idx="0">
                  <c:v>Housing</c:v>
                </c:pt>
                <c:pt idx="1">
                  <c:v>Transportation</c:v>
                </c:pt>
                <c:pt idx="2">
                  <c:v>Bills</c:v>
                </c:pt>
                <c:pt idx="3">
                  <c:v>Living</c:v>
                </c:pt>
                <c:pt idx="4">
                  <c:v>Entertainment</c:v>
                </c:pt>
                <c:pt idx="5">
                  <c:v>Misc.</c:v>
                </c:pt>
              </c:strCache>
            </c:strRef>
          </c:cat>
          <c:val>
            <c:numRef>
              <c:f>Mo.2!$T$3:$T$8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8974-4BB3-8C25-9FA63D07601D}"/>
            </c:ext>
          </c:extLst>
        </c:ser>
        <c:dLbls>
          <c:showLegendKey val="0"/>
          <c:showVal val="0"/>
          <c:showCatName val="0"/>
          <c:showSerName val="0"/>
          <c:showPercent val="0"/>
          <c:showBubbleSize val="0"/>
        </c:dLbls>
        <c:gapWidth val="20"/>
        <c:overlap val="100"/>
        <c:axId val="241316440"/>
        <c:axId val="241015008"/>
      </c:barChart>
      <c:catAx>
        <c:axId val="241316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1015008"/>
        <c:crosses val="autoZero"/>
        <c:auto val="1"/>
        <c:lblAlgn val="ctr"/>
        <c:lblOffset val="100"/>
        <c:noMultiLvlLbl val="0"/>
      </c:catAx>
      <c:valAx>
        <c:axId val="241015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41316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Mo.2!$V$11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Mo.2!$S$12:$S$42</c:f>
              <c:numCache>
                <c:formatCode>m/d\ \(ddd\)</c:formatCode>
                <c:ptCount val="31"/>
                <c:pt idx="0">
                  <c:v>45047</c:v>
                </c:pt>
                <c:pt idx="1">
                  <c:v>45048</c:v>
                </c:pt>
                <c:pt idx="2">
                  <c:v>45049</c:v>
                </c:pt>
                <c:pt idx="3">
                  <c:v>45050</c:v>
                </c:pt>
                <c:pt idx="4">
                  <c:v>45051</c:v>
                </c:pt>
                <c:pt idx="5">
                  <c:v>45052</c:v>
                </c:pt>
                <c:pt idx="6">
                  <c:v>45053</c:v>
                </c:pt>
                <c:pt idx="7">
                  <c:v>45054</c:v>
                </c:pt>
                <c:pt idx="8">
                  <c:v>45055</c:v>
                </c:pt>
                <c:pt idx="9">
                  <c:v>45056</c:v>
                </c:pt>
                <c:pt idx="10">
                  <c:v>45057</c:v>
                </c:pt>
                <c:pt idx="11">
                  <c:v>45058</c:v>
                </c:pt>
                <c:pt idx="12">
                  <c:v>45059</c:v>
                </c:pt>
                <c:pt idx="13">
                  <c:v>45060</c:v>
                </c:pt>
                <c:pt idx="14">
                  <c:v>45061</c:v>
                </c:pt>
                <c:pt idx="15">
                  <c:v>45062</c:v>
                </c:pt>
                <c:pt idx="16">
                  <c:v>45063</c:v>
                </c:pt>
                <c:pt idx="17">
                  <c:v>45064</c:v>
                </c:pt>
                <c:pt idx="18">
                  <c:v>45065</c:v>
                </c:pt>
                <c:pt idx="19">
                  <c:v>45066</c:v>
                </c:pt>
                <c:pt idx="20">
                  <c:v>45067</c:v>
                </c:pt>
                <c:pt idx="21">
                  <c:v>45068</c:v>
                </c:pt>
                <c:pt idx="22">
                  <c:v>45069</c:v>
                </c:pt>
                <c:pt idx="23">
                  <c:v>45070</c:v>
                </c:pt>
                <c:pt idx="24">
                  <c:v>45071</c:v>
                </c:pt>
                <c:pt idx="25">
                  <c:v>45072</c:v>
                </c:pt>
                <c:pt idx="26">
                  <c:v>45073</c:v>
                </c:pt>
                <c:pt idx="27">
                  <c:v>45074</c:v>
                </c:pt>
                <c:pt idx="28">
                  <c:v>45075</c:v>
                </c:pt>
                <c:pt idx="29">
                  <c:v>45076</c:v>
                </c:pt>
                <c:pt idx="30">
                  <c:v>45077</c:v>
                </c:pt>
              </c:numCache>
            </c:numRef>
          </c:cat>
          <c:val>
            <c:numRef>
              <c:f>Mo.2!$V$12:$V$42</c:f>
              <c:numCache>
                <c:formatCode>_("$"* #,##0.00_);_("$"* \(#,##0.00\);_("$"* "-"??_);_(@_)</c:formatCode>
                <c:ptCount val="31"/>
                <c:pt idx="0">
                  <c:v>12142.14</c:v>
                </c:pt>
                <c:pt idx="1">
                  <c:v>12142.14</c:v>
                </c:pt>
                <c:pt idx="2">
                  <c:v>12142.14</c:v>
                </c:pt>
                <c:pt idx="3">
                  <c:v>12142.14</c:v>
                </c:pt>
                <c:pt idx="4">
                  <c:v>12142.14</c:v>
                </c:pt>
                <c:pt idx="5">
                  <c:v>12142.14</c:v>
                </c:pt>
                <c:pt idx="6">
                  <c:v>12142.14</c:v>
                </c:pt>
                <c:pt idx="7">
                  <c:v>12142.14</c:v>
                </c:pt>
                <c:pt idx="8">
                  <c:v>12142.14</c:v>
                </c:pt>
                <c:pt idx="9">
                  <c:v>12142.14</c:v>
                </c:pt>
                <c:pt idx="10">
                  <c:v>12142.14</c:v>
                </c:pt>
                <c:pt idx="11">
                  <c:v>12142.14</c:v>
                </c:pt>
                <c:pt idx="12">
                  <c:v>12142.14</c:v>
                </c:pt>
                <c:pt idx="13">
                  <c:v>12142.14</c:v>
                </c:pt>
                <c:pt idx="14">
                  <c:v>12142.14</c:v>
                </c:pt>
                <c:pt idx="15">
                  <c:v>12142.14</c:v>
                </c:pt>
                <c:pt idx="16">
                  <c:v>12142.14</c:v>
                </c:pt>
                <c:pt idx="17">
                  <c:v>12142.14</c:v>
                </c:pt>
                <c:pt idx="18">
                  <c:v>12142.14</c:v>
                </c:pt>
                <c:pt idx="19">
                  <c:v>12142.14</c:v>
                </c:pt>
                <c:pt idx="20">
                  <c:v>12142.14</c:v>
                </c:pt>
                <c:pt idx="21">
                  <c:v>12142.14</c:v>
                </c:pt>
                <c:pt idx="22">
                  <c:v>12142.14</c:v>
                </c:pt>
                <c:pt idx="23">
                  <c:v>12142.14</c:v>
                </c:pt>
                <c:pt idx="24">
                  <c:v>12142.14</c:v>
                </c:pt>
                <c:pt idx="25">
                  <c:v>12142.14</c:v>
                </c:pt>
                <c:pt idx="26">
                  <c:v>12142.14</c:v>
                </c:pt>
                <c:pt idx="27">
                  <c:v>12142.14</c:v>
                </c:pt>
                <c:pt idx="28">
                  <c:v>12142.14</c:v>
                </c:pt>
                <c:pt idx="29">
                  <c:v>12142.14</c:v>
                </c:pt>
                <c:pt idx="30">
                  <c:v>12142.14</c:v>
                </c:pt>
              </c:numCache>
            </c:numRef>
          </c:val>
          <c:extLst>
            <c:ext xmlns:c16="http://schemas.microsoft.com/office/drawing/2014/chart" uri="{C3380CC4-5D6E-409C-BE32-E72D297353CC}">
              <c16:uniqueId val="{00000000-59A7-47CB-9BCF-B226E7461E2B}"/>
            </c:ext>
          </c:extLst>
        </c:ser>
        <c:dLbls>
          <c:showLegendKey val="0"/>
          <c:showVal val="0"/>
          <c:showCatName val="0"/>
          <c:showSerName val="0"/>
          <c:showPercent val="0"/>
          <c:showBubbleSize val="0"/>
        </c:dLbls>
        <c:axId val="241315032"/>
        <c:axId val="241433840"/>
      </c:areaChart>
      <c:lineChart>
        <c:grouping val="standard"/>
        <c:varyColors val="0"/>
        <c:ser>
          <c:idx val="1"/>
          <c:order val="1"/>
          <c:tx>
            <c:v>Target</c:v>
          </c:tx>
          <c:spPr>
            <a:ln w="22225" cap="rnd" cmpd="sng" algn="ctr">
              <a:solidFill>
                <a:srgbClr val="C00000"/>
              </a:solidFill>
              <a:round/>
            </a:ln>
            <a:effectLst/>
          </c:spPr>
          <c:marker>
            <c:symbol val="none"/>
          </c:marker>
          <c:val>
            <c:numRef>
              <c:f>Mo.2!$W$12:$W$42</c:f>
              <c:numCache>
                <c:formatCode>General</c:formatCode>
                <c:ptCount val="31"/>
                <c:pt idx="0">
                  <c:v>12142.140000000009</c:v>
                </c:pt>
                <c:pt idx="1">
                  <c:v>12142.140000000009</c:v>
                </c:pt>
                <c:pt idx="2">
                  <c:v>12142.140000000009</c:v>
                </c:pt>
                <c:pt idx="3">
                  <c:v>12142.140000000009</c:v>
                </c:pt>
                <c:pt idx="4">
                  <c:v>12142.140000000009</c:v>
                </c:pt>
                <c:pt idx="5">
                  <c:v>12142.140000000009</c:v>
                </c:pt>
                <c:pt idx="6">
                  <c:v>12142.140000000009</c:v>
                </c:pt>
                <c:pt idx="7">
                  <c:v>12142.140000000009</c:v>
                </c:pt>
                <c:pt idx="8">
                  <c:v>12142.140000000009</c:v>
                </c:pt>
                <c:pt idx="9">
                  <c:v>12142.140000000009</c:v>
                </c:pt>
                <c:pt idx="10">
                  <c:v>12142.140000000009</c:v>
                </c:pt>
                <c:pt idx="11">
                  <c:v>12142.140000000009</c:v>
                </c:pt>
                <c:pt idx="12">
                  <c:v>12142.140000000009</c:v>
                </c:pt>
                <c:pt idx="13">
                  <c:v>12142.140000000009</c:v>
                </c:pt>
                <c:pt idx="14">
                  <c:v>12142.140000000009</c:v>
                </c:pt>
                <c:pt idx="15">
                  <c:v>12142.140000000009</c:v>
                </c:pt>
                <c:pt idx="16">
                  <c:v>12142.140000000009</c:v>
                </c:pt>
                <c:pt idx="17">
                  <c:v>12142.140000000009</c:v>
                </c:pt>
                <c:pt idx="18">
                  <c:v>12142.140000000009</c:v>
                </c:pt>
                <c:pt idx="19">
                  <c:v>12142.140000000009</c:v>
                </c:pt>
                <c:pt idx="20">
                  <c:v>12142.140000000009</c:v>
                </c:pt>
                <c:pt idx="21">
                  <c:v>12142.140000000009</c:v>
                </c:pt>
                <c:pt idx="22">
                  <c:v>12142.140000000009</c:v>
                </c:pt>
                <c:pt idx="23">
                  <c:v>12142.140000000009</c:v>
                </c:pt>
                <c:pt idx="24">
                  <c:v>12142.140000000009</c:v>
                </c:pt>
                <c:pt idx="25">
                  <c:v>12142.140000000009</c:v>
                </c:pt>
                <c:pt idx="26">
                  <c:v>12142.140000000009</c:v>
                </c:pt>
                <c:pt idx="27">
                  <c:v>12142.140000000009</c:v>
                </c:pt>
                <c:pt idx="28">
                  <c:v>12142.140000000009</c:v>
                </c:pt>
                <c:pt idx="29">
                  <c:v>12142.140000000009</c:v>
                </c:pt>
                <c:pt idx="30">
                  <c:v>12142.140000000009</c:v>
                </c:pt>
              </c:numCache>
            </c:numRef>
          </c:val>
          <c:smooth val="0"/>
          <c:extLst>
            <c:ext xmlns:c16="http://schemas.microsoft.com/office/drawing/2014/chart" uri="{C3380CC4-5D6E-409C-BE32-E72D297353CC}">
              <c16:uniqueId val="{00000001-59A7-47CB-9BCF-B226E7461E2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41315032"/>
        <c:axId val="241433840"/>
      </c:lineChart>
      <c:dateAx>
        <c:axId val="241315032"/>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41433840"/>
        <c:crosses val="autoZero"/>
        <c:auto val="1"/>
        <c:lblOffset val="100"/>
        <c:baseTimeUnit val="days"/>
        <c:majorUnit val="5"/>
        <c:majorTimeUnit val="days"/>
      </c:dateAx>
      <c:valAx>
        <c:axId val="24143384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413150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Mo.3!$S$1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Mo.3!$R$3:$R$8</c:f>
              <c:strCache>
                <c:ptCount val="6"/>
                <c:pt idx="0">
                  <c:v>Housing</c:v>
                </c:pt>
                <c:pt idx="1">
                  <c:v>Transportation</c:v>
                </c:pt>
                <c:pt idx="2">
                  <c:v>Bills</c:v>
                </c:pt>
                <c:pt idx="3">
                  <c:v>Living</c:v>
                </c:pt>
                <c:pt idx="4">
                  <c:v>Entertainment</c:v>
                </c:pt>
                <c:pt idx="5">
                  <c:v>Misc.</c:v>
                </c:pt>
              </c:strCache>
            </c:strRef>
          </c:cat>
          <c:val>
            <c:numRef>
              <c:f>Mo.3!$S$3:$S$8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3A33-46DA-96C5-CE66CF239091}"/>
            </c:ext>
          </c:extLst>
        </c:ser>
        <c:ser>
          <c:idx val="1"/>
          <c:order val="1"/>
          <c:tx>
            <c:strRef>
              <c:f>Mo.3!$T$1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Mo.3!$R$3:$R$8</c:f>
              <c:strCache>
                <c:ptCount val="6"/>
                <c:pt idx="0">
                  <c:v>Housing</c:v>
                </c:pt>
                <c:pt idx="1">
                  <c:v>Transportation</c:v>
                </c:pt>
                <c:pt idx="2">
                  <c:v>Bills</c:v>
                </c:pt>
                <c:pt idx="3">
                  <c:v>Living</c:v>
                </c:pt>
                <c:pt idx="4">
                  <c:v>Entertainment</c:v>
                </c:pt>
                <c:pt idx="5">
                  <c:v>Misc.</c:v>
                </c:pt>
              </c:strCache>
            </c:strRef>
          </c:cat>
          <c:val>
            <c:numRef>
              <c:f>Mo.3!$T$3:$T$8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3A33-46DA-96C5-CE66CF239091}"/>
            </c:ext>
          </c:extLst>
        </c:ser>
        <c:dLbls>
          <c:showLegendKey val="0"/>
          <c:showVal val="0"/>
          <c:showCatName val="0"/>
          <c:showSerName val="0"/>
          <c:showPercent val="0"/>
          <c:showBubbleSize val="0"/>
        </c:dLbls>
        <c:gapWidth val="20"/>
        <c:overlap val="100"/>
        <c:axId val="241039776"/>
        <c:axId val="238508936"/>
      </c:barChart>
      <c:catAx>
        <c:axId val="24103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8508936"/>
        <c:crosses val="autoZero"/>
        <c:auto val="1"/>
        <c:lblAlgn val="ctr"/>
        <c:lblOffset val="100"/>
        <c:noMultiLvlLbl val="0"/>
      </c:catAx>
      <c:valAx>
        <c:axId val="238508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4103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Mo.3!$V$11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Mo.3!$S$12:$S$42</c:f>
              <c:numCache>
                <c:formatCode>m/d\ \(ddd\)</c:formatCode>
                <c:ptCount val="31"/>
                <c:pt idx="0">
                  <c:v>45078</c:v>
                </c:pt>
                <c:pt idx="1">
                  <c:v>45079</c:v>
                </c:pt>
                <c:pt idx="2">
                  <c:v>45080</c:v>
                </c:pt>
                <c:pt idx="3">
                  <c:v>45081</c:v>
                </c:pt>
                <c:pt idx="4">
                  <c:v>45082</c:v>
                </c:pt>
                <c:pt idx="5">
                  <c:v>45083</c:v>
                </c:pt>
                <c:pt idx="6">
                  <c:v>45084</c:v>
                </c:pt>
                <c:pt idx="7">
                  <c:v>45085</c:v>
                </c:pt>
                <c:pt idx="8">
                  <c:v>45086</c:v>
                </c:pt>
                <c:pt idx="9">
                  <c:v>45087</c:v>
                </c:pt>
                <c:pt idx="10">
                  <c:v>45088</c:v>
                </c:pt>
                <c:pt idx="11">
                  <c:v>45089</c:v>
                </c:pt>
                <c:pt idx="12">
                  <c:v>45090</c:v>
                </c:pt>
                <c:pt idx="13">
                  <c:v>45091</c:v>
                </c:pt>
                <c:pt idx="14">
                  <c:v>45092</c:v>
                </c:pt>
                <c:pt idx="15">
                  <c:v>45093</c:v>
                </c:pt>
                <c:pt idx="16">
                  <c:v>45094</c:v>
                </c:pt>
                <c:pt idx="17">
                  <c:v>45095</c:v>
                </c:pt>
                <c:pt idx="18">
                  <c:v>45096</c:v>
                </c:pt>
                <c:pt idx="19">
                  <c:v>45097</c:v>
                </c:pt>
                <c:pt idx="20">
                  <c:v>45098</c:v>
                </c:pt>
                <c:pt idx="21">
                  <c:v>45099</c:v>
                </c:pt>
                <c:pt idx="22">
                  <c:v>45100</c:v>
                </c:pt>
                <c:pt idx="23">
                  <c:v>45101</c:v>
                </c:pt>
                <c:pt idx="24">
                  <c:v>45102</c:v>
                </c:pt>
                <c:pt idx="25">
                  <c:v>45103</c:v>
                </c:pt>
                <c:pt idx="26">
                  <c:v>45104</c:v>
                </c:pt>
                <c:pt idx="27">
                  <c:v>45105</c:v>
                </c:pt>
                <c:pt idx="28">
                  <c:v>45106</c:v>
                </c:pt>
                <c:pt idx="29">
                  <c:v>45107</c:v>
                </c:pt>
                <c:pt idx="30">
                  <c:v>45108</c:v>
                </c:pt>
              </c:numCache>
            </c:numRef>
          </c:cat>
          <c:val>
            <c:numRef>
              <c:f>Mo.3!$V$12:$V$42</c:f>
              <c:numCache>
                <c:formatCode>_("$"* #,##0.00_);_("$"* \(#,##0.00\);_("$"* "-"??_);_(@_)</c:formatCode>
                <c:ptCount val="31"/>
                <c:pt idx="0">
                  <c:v>12142.14</c:v>
                </c:pt>
                <c:pt idx="1">
                  <c:v>12142.14</c:v>
                </c:pt>
                <c:pt idx="2">
                  <c:v>12142.14</c:v>
                </c:pt>
                <c:pt idx="3">
                  <c:v>12142.14</c:v>
                </c:pt>
                <c:pt idx="4">
                  <c:v>12142.14</c:v>
                </c:pt>
                <c:pt idx="5">
                  <c:v>12142.14</c:v>
                </c:pt>
                <c:pt idx="6">
                  <c:v>12142.14</c:v>
                </c:pt>
                <c:pt idx="7">
                  <c:v>12142.14</c:v>
                </c:pt>
                <c:pt idx="8">
                  <c:v>12142.14</c:v>
                </c:pt>
                <c:pt idx="9">
                  <c:v>12142.14</c:v>
                </c:pt>
                <c:pt idx="10">
                  <c:v>12142.14</c:v>
                </c:pt>
                <c:pt idx="11">
                  <c:v>12142.14</c:v>
                </c:pt>
                <c:pt idx="12">
                  <c:v>12142.14</c:v>
                </c:pt>
                <c:pt idx="13">
                  <c:v>12142.14</c:v>
                </c:pt>
                <c:pt idx="14">
                  <c:v>12142.14</c:v>
                </c:pt>
                <c:pt idx="15">
                  <c:v>12142.14</c:v>
                </c:pt>
                <c:pt idx="16">
                  <c:v>12142.14</c:v>
                </c:pt>
                <c:pt idx="17">
                  <c:v>12142.14</c:v>
                </c:pt>
                <c:pt idx="18">
                  <c:v>12142.14</c:v>
                </c:pt>
                <c:pt idx="19">
                  <c:v>12142.14</c:v>
                </c:pt>
                <c:pt idx="20">
                  <c:v>12142.14</c:v>
                </c:pt>
                <c:pt idx="21">
                  <c:v>12142.14</c:v>
                </c:pt>
                <c:pt idx="22">
                  <c:v>12142.14</c:v>
                </c:pt>
                <c:pt idx="23">
                  <c:v>12142.14</c:v>
                </c:pt>
                <c:pt idx="24">
                  <c:v>12142.14</c:v>
                </c:pt>
                <c:pt idx="25">
                  <c:v>12142.14</c:v>
                </c:pt>
                <c:pt idx="26">
                  <c:v>12142.14</c:v>
                </c:pt>
                <c:pt idx="27">
                  <c:v>12142.14</c:v>
                </c:pt>
                <c:pt idx="28">
                  <c:v>12142.14</c:v>
                </c:pt>
                <c:pt idx="29">
                  <c:v>12142.14</c:v>
                </c:pt>
                <c:pt idx="30">
                  <c:v>12142.14</c:v>
                </c:pt>
              </c:numCache>
            </c:numRef>
          </c:val>
          <c:extLst>
            <c:ext xmlns:c16="http://schemas.microsoft.com/office/drawing/2014/chart" uri="{C3380CC4-5D6E-409C-BE32-E72D297353CC}">
              <c16:uniqueId val="{00000000-D802-4FF7-AA35-E326DC61E96E}"/>
            </c:ext>
          </c:extLst>
        </c:ser>
        <c:dLbls>
          <c:showLegendKey val="0"/>
          <c:showVal val="0"/>
          <c:showCatName val="0"/>
          <c:showSerName val="0"/>
          <c:showPercent val="0"/>
          <c:showBubbleSize val="0"/>
        </c:dLbls>
        <c:axId val="238509720"/>
        <c:axId val="238510112"/>
      </c:areaChart>
      <c:lineChart>
        <c:grouping val="standard"/>
        <c:varyColors val="0"/>
        <c:ser>
          <c:idx val="1"/>
          <c:order val="1"/>
          <c:tx>
            <c:v>Target</c:v>
          </c:tx>
          <c:spPr>
            <a:ln w="22225" cap="rnd" cmpd="sng" algn="ctr">
              <a:solidFill>
                <a:srgbClr val="C00000"/>
              </a:solidFill>
              <a:round/>
            </a:ln>
            <a:effectLst/>
          </c:spPr>
          <c:marker>
            <c:symbol val="none"/>
          </c:marker>
          <c:val>
            <c:numRef>
              <c:f>Mo.3!$W$12:$W$42</c:f>
              <c:numCache>
                <c:formatCode>General</c:formatCode>
                <c:ptCount val="31"/>
                <c:pt idx="0">
                  <c:v>12142.140000000009</c:v>
                </c:pt>
                <c:pt idx="1">
                  <c:v>12142.140000000009</c:v>
                </c:pt>
                <c:pt idx="2">
                  <c:v>12142.140000000009</c:v>
                </c:pt>
                <c:pt idx="3">
                  <c:v>12142.140000000009</c:v>
                </c:pt>
                <c:pt idx="4">
                  <c:v>12142.140000000009</c:v>
                </c:pt>
                <c:pt idx="5">
                  <c:v>12142.140000000009</c:v>
                </c:pt>
                <c:pt idx="6">
                  <c:v>12142.140000000009</c:v>
                </c:pt>
                <c:pt idx="7">
                  <c:v>12142.140000000009</c:v>
                </c:pt>
                <c:pt idx="8">
                  <c:v>12142.140000000009</c:v>
                </c:pt>
                <c:pt idx="9">
                  <c:v>12142.140000000009</c:v>
                </c:pt>
                <c:pt idx="10">
                  <c:v>12142.140000000009</c:v>
                </c:pt>
                <c:pt idx="11">
                  <c:v>12142.140000000009</c:v>
                </c:pt>
                <c:pt idx="12">
                  <c:v>12142.140000000009</c:v>
                </c:pt>
                <c:pt idx="13">
                  <c:v>12142.140000000009</c:v>
                </c:pt>
                <c:pt idx="14">
                  <c:v>12142.140000000009</c:v>
                </c:pt>
                <c:pt idx="15">
                  <c:v>12142.140000000009</c:v>
                </c:pt>
                <c:pt idx="16">
                  <c:v>12142.140000000009</c:v>
                </c:pt>
                <c:pt idx="17">
                  <c:v>12142.140000000009</c:v>
                </c:pt>
                <c:pt idx="18">
                  <c:v>12142.140000000009</c:v>
                </c:pt>
                <c:pt idx="19">
                  <c:v>12142.140000000009</c:v>
                </c:pt>
                <c:pt idx="20">
                  <c:v>12142.140000000009</c:v>
                </c:pt>
                <c:pt idx="21">
                  <c:v>12142.140000000009</c:v>
                </c:pt>
                <c:pt idx="22">
                  <c:v>12142.140000000009</c:v>
                </c:pt>
                <c:pt idx="23">
                  <c:v>12142.140000000009</c:v>
                </c:pt>
                <c:pt idx="24">
                  <c:v>12142.140000000009</c:v>
                </c:pt>
                <c:pt idx="25">
                  <c:v>12142.140000000009</c:v>
                </c:pt>
                <c:pt idx="26">
                  <c:v>12142.140000000009</c:v>
                </c:pt>
                <c:pt idx="27">
                  <c:v>12142.140000000009</c:v>
                </c:pt>
                <c:pt idx="28">
                  <c:v>12142.140000000009</c:v>
                </c:pt>
                <c:pt idx="29">
                  <c:v>12142.140000000009</c:v>
                </c:pt>
                <c:pt idx="30">
                  <c:v>12142.140000000009</c:v>
                </c:pt>
              </c:numCache>
            </c:numRef>
          </c:val>
          <c:smooth val="0"/>
          <c:extLst>
            <c:ext xmlns:c16="http://schemas.microsoft.com/office/drawing/2014/chart" uri="{C3380CC4-5D6E-409C-BE32-E72D297353CC}">
              <c16:uniqueId val="{00000001-D802-4FF7-AA35-E326DC61E9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38509720"/>
        <c:axId val="238510112"/>
      </c:lineChart>
      <c:dateAx>
        <c:axId val="23850972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10112"/>
        <c:crosses val="autoZero"/>
        <c:auto val="1"/>
        <c:lblOffset val="100"/>
        <c:baseTimeUnit val="days"/>
        <c:majorUnit val="5"/>
        <c:majorTimeUnit val="days"/>
      </c:dateAx>
      <c:valAx>
        <c:axId val="23851011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0972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Mo.4!$S$1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Mo.4!$R$3:$R$8</c:f>
              <c:strCache>
                <c:ptCount val="6"/>
                <c:pt idx="0">
                  <c:v>Housing</c:v>
                </c:pt>
                <c:pt idx="1">
                  <c:v>Transportation</c:v>
                </c:pt>
                <c:pt idx="2">
                  <c:v>Bills</c:v>
                </c:pt>
                <c:pt idx="3">
                  <c:v>Living</c:v>
                </c:pt>
                <c:pt idx="4">
                  <c:v>Entertainment</c:v>
                </c:pt>
                <c:pt idx="5">
                  <c:v>Misc.</c:v>
                </c:pt>
              </c:strCache>
            </c:strRef>
          </c:cat>
          <c:val>
            <c:numRef>
              <c:f>Mo.4!$S$3:$S$8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53E-4283-B8AC-D6A6BD9E034D}"/>
            </c:ext>
          </c:extLst>
        </c:ser>
        <c:ser>
          <c:idx val="1"/>
          <c:order val="1"/>
          <c:tx>
            <c:strRef>
              <c:f>Mo.4!$T$1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Mo.4!$R$3:$R$8</c:f>
              <c:strCache>
                <c:ptCount val="6"/>
                <c:pt idx="0">
                  <c:v>Housing</c:v>
                </c:pt>
                <c:pt idx="1">
                  <c:v>Transportation</c:v>
                </c:pt>
                <c:pt idx="2">
                  <c:v>Bills</c:v>
                </c:pt>
                <c:pt idx="3">
                  <c:v>Living</c:v>
                </c:pt>
                <c:pt idx="4">
                  <c:v>Entertainment</c:v>
                </c:pt>
                <c:pt idx="5">
                  <c:v>Misc.</c:v>
                </c:pt>
              </c:strCache>
            </c:strRef>
          </c:cat>
          <c:val>
            <c:numRef>
              <c:f>Mo.4!$T$3:$T$8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53E-4283-B8AC-D6A6BD9E034D}"/>
            </c:ext>
          </c:extLst>
        </c:ser>
        <c:dLbls>
          <c:showLegendKey val="0"/>
          <c:showVal val="0"/>
          <c:showCatName val="0"/>
          <c:showSerName val="0"/>
          <c:showPercent val="0"/>
          <c:showBubbleSize val="0"/>
        </c:dLbls>
        <c:gapWidth val="20"/>
        <c:overlap val="100"/>
        <c:axId val="238508544"/>
        <c:axId val="238508152"/>
      </c:barChart>
      <c:catAx>
        <c:axId val="23850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8508152"/>
        <c:crosses val="autoZero"/>
        <c:auto val="1"/>
        <c:lblAlgn val="ctr"/>
        <c:lblOffset val="100"/>
        <c:noMultiLvlLbl val="0"/>
      </c:catAx>
      <c:valAx>
        <c:axId val="238508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3850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9195972389572"/>
          <c:y val="9.5238095238095233E-2"/>
          <c:w val="0.80822820634965109"/>
          <c:h val="0.68640794900637425"/>
        </c:manualLayout>
      </c:layout>
      <c:areaChart>
        <c:grouping val="standard"/>
        <c:varyColors val="0"/>
        <c:ser>
          <c:idx val="0"/>
          <c:order val="0"/>
          <c:tx>
            <c:strRef>
              <c:f>Mo.4!$V$11</c:f>
              <c:strCache>
                <c:ptCount val="1"/>
                <c:pt idx="0">
                  <c:v>Balance</c:v>
                </c:pt>
              </c:strCache>
            </c:strRef>
          </c:tx>
          <c:spPr>
            <a:solidFill>
              <a:schemeClr val="accent6">
                <a:lumMod val="60000"/>
                <a:lumOff val="40000"/>
              </a:schemeClr>
            </a:solidFill>
            <a:ln w="9525" cap="flat" cmpd="sng" algn="ctr">
              <a:solidFill>
                <a:schemeClr val="accent6">
                  <a:lumMod val="50000"/>
                </a:schemeClr>
              </a:solidFill>
              <a:round/>
            </a:ln>
            <a:effectLst/>
          </c:spPr>
          <c:cat>
            <c:numRef>
              <c:f>Mo.4!$S$12:$S$42</c:f>
              <c:numCache>
                <c:formatCode>m/d\ \(ddd\)</c:formatCode>
                <c:ptCount val="31"/>
                <c:pt idx="0">
                  <c:v>45108</c:v>
                </c:pt>
                <c:pt idx="1">
                  <c:v>45109</c:v>
                </c:pt>
                <c:pt idx="2">
                  <c:v>45110</c:v>
                </c:pt>
                <c:pt idx="3">
                  <c:v>45111</c:v>
                </c:pt>
                <c:pt idx="4">
                  <c:v>45112</c:v>
                </c:pt>
                <c:pt idx="5">
                  <c:v>45113</c:v>
                </c:pt>
                <c:pt idx="6">
                  <c:v>45114</c:v>
                </c:pt>
                <c:pt idx="7">
                  <c:v>45115</c:v>
                </c:pt>
                <c:pt idx="8">
                  <c:v>45116</c:v>
                </c:pt>
                <c:pt idx="9">
                  <c:v>45117</c:v>
                </c:pt>
                <c:pt idx="10">
                  <c:v>45118</c:v>
                </c:pt>
                <c:pt idx="11">
                  <c:v>45119</c:v>
                </c:pt>
                <c:pt idx="12">
                  <c:v>45120</c:v>
                </c:pt>
                <c:pt idx="13">
                  <c:v>45121</c:v>
                </c:pt>
                <c:pt idx="14">
                  <c:v>45122</c:v>
                </c:pt>
                <c:pt idx="15">
                  <c:v>45123</c:v>
                </c:pt>
                <c:pt idx="16">
                  <c:v>45124</c:v>
                </c:pt>
                <c:pt idx="17">
                  <c:v>45125</c:v>
                </c:pt>
                <c:pt idx="18">
                  <c:v>45126</c:v>
                </c:pt>
                <c:pt idx="19">
                  <c:v>45127</c:v>
                </c:pt>
                <c:pt idx="20">
                  <c:v>45128</c:v>
                </c:pt>
                <c:pt idx="21">
                  <c:v>45129</c:v>
                </c:pt>
                <c:pt idx="22">
                  <c:v>45130</c:v>
                </c:pt>
                <c:pt idx="23">
                  <c:v>45131</c:v>
                </c:pt>
                <c:pt idx="24">
                  <c:v>45132</c:v>
                </c:pt>
                <c:pt idx="25">
                  <c:v>45133</c:v>
                </c:pt>
                <c:pt idx="26">
                  <c:v>45134</c:v>
                </c:pt>
                <c:pt idx="27">
                  <c:v>45135</c:v>
                </c:pt>
                <c:pt idx="28">
                  <c:v>45136</c:v>
                </c:pt>
                <c:pt idx="29">
                  <c:v>45137</c:v>
                </c:pt>
                <c:pt idx="30">
                  <c:v>45138</c:v>
                </c:pt>
              </c:numCache>
            </c:numRef>
          </c:cat>
          <c:val>
            <c:numRef>
              <c:f>Mo.4!$V$12:$V$42</c:f>
              <c:numCache>
                <c:formatCode>_("$"* #,##0.00_);_("$"* \(#,##0.00\);_("$"* "-"??_);_(@_)</c:formatCode>
                <c:ptCount val="31"/>
                <c:pt idx="0">
                  <c:v>1156.74</c:v>
                </c:pt>
                <c:pt idx="1">
                  <c:v>1156.74</c:v>
                </c:pt>
                <c:pt idx="2">
                  <c:v>1156.74</c:v>
                </c:pt>
                <c:pt idx="3">
                  <c:v>1156.74</c:v>
                </c:pt>
                <c:pt idx="4">
                  <c:v>1156.74</c:v>
                </c:pt>
                <c:pt idx="5">
                  <c:v>1156.74</c:v>
                </c:pt>
                <c:pt idx="6">
                  <c:v>1156.74</c:v>
                </c:pt>
                <c:pt idx="7">
                  <c:v>1156.74</c:v>
                </c:pt>
                <c:pt idx="8">
                  <c:v>1156.74</c:v>
                </c:pt>
                <c:pt idx="9">
                  <c:v>1156.74</c:v>
                </c:pt>
                <c:pt idx="10">
                  <c:v>1156.74</c:v>
                </c:pt>
                <c:pt idx="11">
                  <c:v>1156.74</c:v>
                </c:pt>
                <c:pt idx="12">
                  <c:v>1156.74</c:v>
                </c:pt>
                <c:pt idx="13">
                  <c:v>1156.74</c:v>
                </c:pt>
                <c:pt idx="14">
                  <c:v>1156.74</c:v>
                </c:pt>
                <c:pt idx="15">
                  <c:v>1156.74</c:v>
                </c:pt>
                <c:pt idx="16">
                  <c:v>1156.74</c:v>
                </c:pt>
                <c:pt idx="17">
                  <c:v>1156.74</c:v>
                </c:pt>
                <c:pt idx="18">
                  <c:v>1156.74</c:v>
                </c:pt>
                <c:pt idx="19">
                  <c:v>1156.74</c:v>
                </c:pt>
                <c:pt idx="20">
                  <c:v>1156.74</c:v>
                </c:pt>
                <c:pt idx="21">
                  <c:v>1156.74</c:v>
                </c:pt>
                <c:pt idx="22">
                  <c:v>1156.74</c:v>
                </c:pt>
                <c:pt idx="23">
                  <c:v>1156.74</c:v>
                </c:pt>
                <c:pt idx="24">
                  <c:v>1156.74</c:v>
                </c:pt>
                <c:pt idx="25">
                  <c:v>1156.74</c:v>
                </c:pt>
                <c:pt idx="26">
                  <c:v>1156.74</c:v>
                </c:pt>
                <c:pt idx="27">
                  <c:v>1156.74</c:v>
                </c:pt>
                <c:pt idx="28">
                  <c:v>1156.74</c:v>
                </c:pt>
                <c:pt idx="29">
                  <c:v>1156.74</c:v>
                </c:pt>
                <c:pt idx="30">
                  <c:v>1156.74</c:v>
                </c:pt>
              </c:numCache>
            </c:numRef>
          </c:val>
          <c:extLst>
            <c:ext xmlns:c16="http://schemas.microsoft.com/office/drawing/2014/chart" uri="{C3380CC4-5D6E-409C-BE32-E72D297353CC}">
              <c16:uniqueId val="{00000000-5D52-44E6-AEF7-091912B06A04}"/>
            </c:ext>
          </c:extLst>
        </c:ser>
        <c:dLbls>
          <c:showLegendKey val="0"/>
          <c:showVal val="0"/>
          <c:showCatName val="0"/>
          <c:showSerName val="0"/>
          <c:showPercent val="0"/>
          <c:showBubbleSize val="0"/>
        </c:dLbls>
        <c:axId val="238507760"/>
        <c:axId val="238506976"/>
      </c:areaChart>
      <c:lineChart>
        <c:grouping val="standard"/>
        <c:varyColors val="0"/>
        <c:ser>
          <c:idx val="1"/>
          <c:order val="1"/>
          <c:tx>
            <c:v>Target</c:v>
          </c:tx>
          <c:spPr>
            <a:ln w="22225" cap="rnd" cmpd="sng" algn="ctr">
              <a:solidFill>
                <a:srgbClr val="C00000"/>
              </a:solidFill>
              <a:round/>
            </a:ln>
            <a:effectLst/>
          </c:spPr>
          <c:marker>
            <c:symbol val="none"/>
          </c:marker>
          <c:val>
            <c:numRef>
              <c:f>Mo.4!$W$12:$W$42</c:f>
              <c:numCache>
                <c:formatCode>General</c:formatCode>
                <c:ptCount val="31"/>
                <c:pt idx="0">
                  <c:v>1156.7400000000005</c:v>
                </c:pt>
                <c:pt idx="1">
                  <c:v>1156.7400000000005</c:v>
                </c:pt>
                <c:pt idx="2">
                  <c:v>1156.7400000000005</c:v>
                </c:pt>
                <c:pt idx="3">
                  <c:v>1156.7400000000005</c:v>
                </c:pt>
                <c:pt idx="4">
                  <c:v>1156.7400000000005</c:v>
                </c:pt>
                <c:pt idx="5">
                  <c:v>1156.7400000000005</c:v>
                </c:pt>
                <c:pt idx="6">
                  <c:v>1156.7400000000005</c:v>
                </c:pt>
                <c:pt idx="7">
                  <c:v>1156.7400000000005</c:v>
                </c:pt>
                <c:pt idx="8">
                  <c:v>1156.7400000000005</c:v>
                </c:pt>
                <c:pt idx="9">
                  <c:v>1156.7400000000005</c:v>
                </c:pt>
                <c:pt idx="10">
                  <c:v>1156.7400000000005</c:v>
                </c:pt>
                <c:pt idx="11">
                  <c:v>1156.7400000000005</c:v>
                </c:pt>
                <c:pt idx="12">
                  <c:v>1156.7400000000005</c:v>
                </c:pt>
                <c:pt idx="13">
                  <c:v>1156.7400000000005</c:v>
                </c:pt>
                <c:pt idx="14">
                  <c:v>1156.7400000000005</c:v>
                </c:pt>
                <c:pt idx="15">
                  <c:v>1156.7400000000005</c:v>
                </c:pt>
                <c:pt idx="16">
                  <c:v>1156.7400000000005</c:v>
                </c:pt>
                <c:pt idx="17">
                  <c:v>1156.7400000000005</c:v>
                </c:pt>
                <c:pt idx="18">
                  <c:v>1156.7400000000005</c:v>
                </c:pt>
                <c:pt idx="19">
                  <c:v>1156.7400000000005</c:v>
                </c:pt>
                <c:pt idx="20">
                  <c:v>1156.7400000000005</c:v>
                </c:pt>
                <c:pt idx="21">
                  <c:v>1156.7400000000005</c:v>
                </c:pt>
                <c:pt idx="22">
                  <c:v>1156.7400000000005</c:v>
                </c:pt>
                <c:pt idx="23">
                  <c:v>1156.7400000000005</c:v>
                </c:pt>
                <c:pt idx="24">
                  <c:v>1156.7400000000005</c:v>
                </c:pt>
                <c:pt idx="25">
                  <c:v>1156.7400000000005</c:v>
                </c:pt>
                <c:pt idx="26">
                  <c:v>1156.7400000000005</c:v>
                </c:pt>
                <c:pt idx="27">
                  <c:v>1156.7400000000005</c:v>
                </c:pt>
                <c:pt idx="28">
                  <c:v>1156.7400000000005</c:v>
                </c:pt>
                <c:pt idx="29">
                  <c:v>1156.7400000000005</c:v>
                </c:pt>
                <c:pt idx="30">
                  <c:v>1156.7400000000005</c:v>
                </c:pt>
              </c:numCache>
            </c:numRef>
          </c:val>
          <c:smooth val="0"/>
          <c:extLst>
            <c:ext xmlns:c16="http://schemas.microsoft.com/office/drawing/2014/chart" uri="{C3380CC4-5D6E-409C-BE32-E72D297353CC}">
              <c16:uniqueId val="{00000001-5D52-44E6-AEF7-091912B06A0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38507760"/>
        <c:axId val="238506976"/>
      </c:lineChart>
      <c:dateAx>
        <c:axId val="238507760"/>
        <c:scaling>
          <c:orientation val="minMax"/>
        </c:scaling>
        <c:delete val="0"/>
        <c:axPos val="b"/>
        <c:numFmt formatCode="m/d"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06976"/>
        <c:crosses val="autoZero"/>
        <c:auto val="1"/>
        <c:lblOffset val="100"/>
        <c:baseTimeUnit val="days"/>
        <c:majorUnit val="5"/>
        <c:majorTimeUnit val="days"/>
      </c:dateAx>
      <c:valAx>
        <c:axId val="23850697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bg1">
                    <a:lumMod val="50000"/>
                  </a:schemeClr>
                </a:solidFill>
                <a:latin typeface="+mn-lt"/>
                <a:ea typeface="+mn-ea"/>
                <a:cs typeface="+mn-cs"/>
              </a:defRPr>
            </a:pPr>
            <a:endParaRPr lang="en-US"/>
          </a:p>
        </c:txPr>
        <c:crossAx val="23850776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322072631526647E-2"/>
          <c:y val="0.10714305801098239"/>
          <c:w val="0.87456763252024439"/>
          <c:h val="0.67621049158322377"/>
        </c:manualLayout>
      </c:layout>
      <c:barChart>
        <c:barDir val="col"/>
        <c:grouping val="clustered"/>
        <c:varyColors val="0"/>
        <c:ser>
          <c:idx val="0"/>
          <c:order val="0"/>
          <c:tx>
            <c:strRef>
              <c:f>Mo.5!$S$1</c:f>
              <c:strCache>
                <c:ptCount val="1"/>
                <c:pt idx="0">
                  <c:v>Budget</c:v>
                </c:pt>
              </c:strCache>
            </c:strRef>
          </c:tx>
          <c:spPr>
            <a:solidFill>
              <a:srgbClr val="CCFF99"/>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Mo.5!$R$3:$R$8</c:f>
              <c:strCache>
                <c:ptCount val="6"/>
                <c:pt idx="0">
                  <c:v>Housing</c:v>
                </c:pt>
                <c:pt idx="1">
                  <c:v>Transportation</c:v>
                </c:pt>
                <c:pt idx="2">
                  <c:v>Bills</c:v>
                </c:pt>
                <c:pt idx="3">
                  <c:v>Living</c:v>
                </c:pt>
                <c:pt idx="4">
                  <c:v>Entertainment</c:v>
                </c:pt>
                <c:pt idx="5">
                  <c:v>Misc.</c:v>
                </c:pt>
              </c:strCache>
            </c:strRef>
          </c:cat>
          <c:val>
            <c:numRef>
              <c:f>Mo.5!$S$3:$S$8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CB4-4364-AF8A-FC57336FBEB3}"/>
            </c:ext>
          </c:extLst>
        </c:ser>
        <c:ser>
          <c:idx val="1"/>
          <c:order val="1"/>
          <c:tx>
            <c:strRef>
              <c:f>Mo.5!$T$1</c:f>
              <c:strCache>
                <c:ptCount val="1"/>
                <c:pt idx="0">
                  <c:v>Actual</c:v>
                </c:pt>
              </c:strCache>
            </c:strRef>
          </c:tx>
          <c:spPr>
            <a:solidFill>
              <a:srgbClr val="FF5050">
                <a:alpha val="50000"/>
              </a:srgbClr>
            </a:solidFill>
            <a:ln w="9525" cap="flat" cmpd="sng" algn="ctr">
              <a:solidFill>
                <a:schemeClr val="bg1">
                  <a:lumMod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Mo.5!$R$3:$R$8</c:f>
              <c:strCache>
                <c:ptCount val="6"/>
                <c:pt idx="0">
                  <c:v>Housing</c:v>
                </c:pt>
                <c:pt idx="1">
                  <c:v>Transportation</c:v>
                </c:pt>
                <c:pt idx="2">
                  <c:v>Bills</c:v>
                </c:pt>
                <c:pt idx="3">
                  <c:v>Living</c:v>
                </c:pt>
                <c:pt idx="4">
                  <c:v>Entertainment</c:v>
                </c:pt>
                <c:pt idx="5">
                  <c:v>Misc.</c:v>
                </c:pt>
              </c:strCache>
            </c:strRef>
          </c:cat>
          <c:val>
            <c:numRef>
              <c:f>Mo.5!$T$3:$T$8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1CB4-4364-AF8A-FC57336FBEB3}"/>
            </c:ext>
          </c:extLst>
        </c:ser>
        <c:dLbls>
          <c:showLegendKey val="0"/>
          <c:showVal val="0"/>
          <c:showCatName val="0"/>
          <c:showSerName val="0"/>
          <c:showPercent val="0"/>
          <c:showBubbleSize val="0"/>
        </c:dLbls>
        <c:gapWidth val="20"/>
        <c:overlap val="100"/>
        <c:axId val="238511288"/>
        <c:axId val="238511680"/>
      </c:barChart>
      <c:catAx>
        <c:axId val="238511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8511680"/>
        <c:crosses val="autoZero"/>
        <c:auto val="1"/>
        <c:lblAlgn val="ctr"/>
        <c:lblOffset val="100"/>
        <c:noMultiLvlLbl val="0"/>
      </c:catAx>
      <c:valAx>
        <c:axId val="238511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238511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28577</xdr:rowOff>
    </xdr:from>
    <xdr:to>
      <xdr:col>15</xdr:col>
      <xdr:colOff>0</xdr:colOff>
      <xdr:row>6</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0</xdr:row>
      <xdr:rowOff>28576</xdr:rowOff>
    </xdr:from>
    <xdr:to>
      <xdr:col>21</xdr:col>
      <xdr:colOff>0</xdr:colOff>
      <xdr:row>6</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28577</xdr:rowOff>
    </xdr:from>
    <xdr:to>
      <xdr:col>16</xdr:col>
      <xdr:colOff>0</xdr:colOff>
      <xdr:row>6</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28576</xdr:rowOff>
    </xdr:from>
    <xdr:to>
      <xdr:col>22</xdr:col>
      <xdr:colOff>0</xdr:colOff>
      <xdr:row>6</xdr:row>
      <xdr:rowOff>1</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9:E29" totalsRowCount="1" headerRowDxfId="1619" dataDxfId="1618" totalsRowDxfId="1617">
  <autoFilter ref="B19:E28" xr:uid="{00000000-0009-0000-0100-000001000000}"/>
  <tableColumns count="4">
    <tableColumn id="1" xr3:uid="{00000000-0010-0000-0000-000001000000}" name="Housing" totalsRowLabel="Total" dataDxfId="1616" totalsRowDxfId="1615"/>
    <tableColumn id="2" xr3:uid="{00000000-0010-0000-0000-000002000000}" name="Budget" totalsRowFunction="sum" dataDxfId="1614" totalsRowDxfId="1613" dataCellStyle="Currency"/>
    <tableColumn id="3" xr3:uid="{00000000-0010-0000-0000-000003000000}" name="Actual" totalsRowFunction="sum" dataDxfId="1612" totalsRowDxfId="1611" dataCellStyle="Currency">
      <calculatedColumnFormula>SUMIFS(Table4[Amount],Table4[Category],Table1[[#Headers],[Housing]],Table4[Sub-Category],Table1[[#This Row],[Housing]])+SUMIFS(Table44[Amount],Table44[Category],Table1[[#Headers],[Housing]],Table44[Sub-Category],Table1[[#This Row],[Housing]])</calculatedColumnFormula>
    </tableColumn>
    <tableColumn id="6" xr3:uid="{00000000-0010-0000-0000-000006000000}" name="Variance" totalsRowFunction="sum" dataDxfId="1610" totalsRowDxfId="1609" dataCellStyle="Currency">
      <calculatedColumnFormula>Table1[[#This Row],[Budget]]-Table1[[#This Row],[Actual]]</calculatedColumnFormula>
    </tableColumn>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9000000}" name="Table4420" displayName="Table4420" ref="I11:N15" totalsRowShown="0" headerRowDxfId="1514" dataDxfId="1513">
  <autoFilter ref="I11:N15" xr:uid="{00000000-0009-0000-0100-000013000000}"/>
  <sortState xmlns:xlrd2="http://schemas.microsoft.com/office/spreadsheetml/2017/richdata2" ref="I12:N15">
    <sortCondition ref="L11:L15"/>
  </sortState>
  <tableColumns count="6">
    <tableColumn id="1" xr3:uid="{00000000-0010-0000-0900-000001000000}" name="Description" dataDxfId="1512" totalsRowDxfId="1511"/>
    <tableColumn id="2" xr3:uid="{00000000-0010-0000-0900-000002000000}" name="Category" dataDxfId="1510" totalsRowDxfId="1509"/>
    <tableColumn id="3" xr3:uid="{00000000-0010-0000-0900-000003000000}" name="Sub-Category" dataDxfId="1508" totalsRowDxfId="1507"/>
    <tableColumn id="4" xr3:uid="{00000000-0010-0000-0900-000004000000}" name="Date" dataDxfId="1506" totalsRowDxfId="1505"/>
    <tableColumn id="5" xr3:uid="{00000000-0010-0000-0900-000005000000}" name="Amount" dataDxfId="1504" totalsRowDxfId="1503" dataCellStyle="Currency"/>
    <tableColumn id="6" xr3:uid="{00000000-0010-0000-0900-000006000000}" name="Status" dataDxfId="1502" totalsRowDxfId="1501"/>
  </tableColumns>
  <tableStyleInfo name="TableStyleLight20"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3000000}" name="Table4420111" displayName="Table4420111" ref="J11:O15" totalsRowShown="0" headerRowDxfId="443" dataDxfId="442">
  <autoFilter ref="J11:O15" xr:uid="{00000000-0009-0000-0100-00006E000000}"/>
  <sortState xmlns:xlrd2="http://schemas.microsoft.com/office/spreadsheetml/2017/richdata2" ref="J12:O15">
    <sortCondition ref="M11:M15"/>
  </sortState>
  <tableColumns count="6">
    <tableColumn id="1" xr3:uid="{00000000-0010-0000-6300-000001000000}" name="Description" dataDxfId="441" totalsRowDxfId="440"/>
    <tableColumn id="2" xr3:uid="{00000000-0010-0000-6300-000002000000}" name="Category" dataDxfId="439" totalsRowDxfId="438"/>
    <tableColumn id="3" xr3:uid="{00000000-0010-0000-6300-000003000000}" name="Sub-Category" dataDxfId="437" totalsRowDxfId="436"/>
    <tableColumn id="4" xr3:uid="{00000000-0010-0000-6300-000004000000}" name="Date" dataDxfId="435" totalsRowDxfId="434"/>
    <tableColumn id="5" xr3:uid="{00000000-0010-0000-6300-000005000000}" name="Amount" dataDxfId="433" totalsRowDxfId="432" dataCellStyle="Currency"/>
    <tableColumn id="6" xr3:uid="{00000000-0010-0000-6300-000006000000}" name="Status" dataDxfId="431" totalsRowDxfId="430"/>
  </tableColumns>
  <tableStyleInfo name="TableStyleLight20"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4000000}" name="Table1112" displayName="Table1112" ref="C19:F29" totalsRowCount="1" headerRowDxfId="429" dataDxfId="428" totalsRowDxfId="427">
  <autoFilter ref="C19:F28" xr:uid="{00000000-0009-0000-0100-00006F000000}"/>
  <tableColumns count="4">
    <tableColumn id="1" xr3:uid="{00000000-0010-0000-6400-000001000000}" name="Housing" totalsRowLabel="Total" dataDxfId="426" totalsRowDxfId="425"/>
    <tableColumn id="2" xr3:uid="{00000000-0010-0000-6400-000002000000}" name="Budget" totalsRowFunction="sum" dataDxfId="424" totalsRowDxfId="423" dataCellStyle="Currency"/>
    <tableColumn id="3" xr3:uid="{00000000-0010-0000-6400-000003000000}" name="Actual" totalsRowFunction="sum" dataDxfId="422" totalsRowDxfId="421" dataCellStyle="Currency">
      <calculatedColumnFormula>SUMIFS(Table4114[Amount],Table4114[Category],Table1112[[#Headers],[Housing]],Table4114[Sub-Category],Table1112[[#This Row],[Housing]])+SUMIFS(Table44120[Amount],Table44120[Category],Table1112[[#Headers],[Housing]],Table44120[Sub-Category],Table1112[[#This Row],[Housing]])</calculatedColumnFormula>
    </tableColumn>
    <tableColumn id="6" xr3:uid="{00000000-0010-0000-6400-000006000000}" name="Variance" totalsRowFunction="sum" dataDxfId="420" totalsRowDxfId="419" dataCellStyle="Currency">
      <calculatedColumnFormula>Table1112[[#This Row],[Budget]]-Table1112[[#This Row],[Actual]]</calculatedColumnFormula>
    </tableColumn>
  </tableColumns>
  <tableStyleInfo name="TableStyleLight20"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5000000}" name="Table13113" displayName="Table13113" ref="C32:F37" totalsRowCount="1" headerRowDxfId="418" dataDxfId="417" totalsRowDxfId="416">
  <autoFilter ref="C32:F36" xr:uid="{00000000-0009-0000-0100-000070000000}"/>
  <tableColumns count="4">
    <tableColumn id="1" xr3:uid="{00000000-0010-0000-6500-000001000000}" name="Transportation" totalsRowLabel="Total" dataDxfId="415" totalsRowDxfId="414"/>
    <tableColumn id="2" xr3:uid="{00000000-0010-0000-6500-000002000000}" name="Budget" totalsRowFunction="sum" dataDxfId="413" totalsRowDxfId="412" dataCellStyle="Currency"/>
    <tableColumn id="3" xr3:uid="{00000000-0010-0000-6500-000003000000}" name="Actual" totalsRowFunction="sum" dataDxfId="411" totalsRowDxfId="410" dataCellStyle="Currency">
      <calculatedColumnFormula>SUMIFS(Table4114[Amount],Table4114[Category],Table13113[[#Headers],[Transportation]],Table4114[Sub-Category],Table13113[[#This Row],[Transportation]])+SUMIFS(Table44120[Amount],Table44120[Category],Table13113[[#Headers],[Transportation]],Table44120[Sub-Category],Table13113[[#This Row],[Transportation]])</calculatedColumnFormula>
    </tableColumn>
    <tableColumn id="4" xr3:uid="{00000000-0010-0000-6500-000004000000}" name="Variance" totalsRowFunction="sum" dataDxfId="409" totalsRowDxfId="408" dataCellStyle="Currency">
      <calculatedColumnFormula>Table13113[[#This Row],[Budget]]-Table13113[[#This Row],[Actual]]</calculatedColumnFormula>
    </tableColumn>
  </tableColumns>
  <tableStyleInfo name="TableStyleLight20"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66000000}" name="Table4114" displayName="Table4114" ref="J18:O31" totalsRowShown="0" headerRowDxfId="407" dataDxfId="406">
  <autoFilter ref="J18:O31" xr:uid="{00000000-0009-0000-0100-000071000000}"/>
  <sortState xmlns:xlrd2="http://schemas.microsoft.com/office/spreadsheetml/2017/richdata2" ref="J19:O31">
    <sortCondition ref="M18:M31"/>
  </sortState>
  <tableColumns count="6">
    <tableColumn id="1" xr3:uid="{00000000-0010-0000-6600-000001000000}" name="Description" dataDxfId="405" totalsRowDxfId="404"/>
    <tableColumn id="2" xr3:uid="{00000000-0010-0000-6600-000002000000}" name="Category" dataDxfId="403" totalsRowDxfId="402"/>
    <tableColumn id="3" xr3:uid="{00000000-0010-0000-6600-000003000000}" name="Sub-Category" dataDxfId="401" totalsRowDxfId="400"/>
    <tableColumn id="4" xr3:uid="{00000000-0010-0000-6600-000004000000}" name="Date" dataDxfId="399" totalsRowDxfId="398"/>
    <tableColumn id="5" xr3:uid="{00000000-0010-0000-6600-000005000000}" name="Amount" dataDxfId="397" totalsRowDxfId="396" dataCellStyle="Currency"/>
    <tableColumn id="6" xr3:uid="{00000000-0010-0000-6600-000006000000}" name="Status" dataDxfId="395" totalsRowDxfId="394"/>
  </tableColumns>
  <tableStyleInfo name="TableStyleLight20"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67000000}" name="Table136115" displayName="Table136115" ref="C11:F16" totalsRowCount="1" headerRowDxfId="393" dataDxfId="392" totalsRowDxfId="391">
  <autoFilter ref="C11:F15" xr:uid="{00000000-0009-0000-0100-000072000000}"/>
  <tableColumns count="4">
    <tableColumn id="1" xr3:uid="{00000000-0010-0000-6700-000001000000}" name="Income" totalsRowLabel="Total" dataDxfId="390" totalsRowDxfId="389"/>
    <tableColumn id="2" xr3:uid="{00000000-0010-0000-6700-000002000000}" name="Budget" totalsRowFunction="sum" dataDxfId="388" totalsRowDxfId="387" dataCellStyle="Currency"/>
    <tableColumn id="3" xr3:uid="{00000000-0010-0000-6700-000003000000}" name="Actual" totalsRowFunction="sum" dataDxfId="386" totalsRowDxfId="385" dataCellStyle="Currency">
      <calculatedColumnFormula>SUMIFS(Table4420121[Amount],Table4420121[Category],Table136115[[#Headers],[Income]],Table4420121[Sub-Category],Table136115[[#This Row],[Income]])+SUMIFS(Table44120[Amount],Table44120[Category],Table136115[[#Headers],[Income]],Table44120[Sub-Category],Table136115[[#This Row],[Income]])</calculatedColumnFormula>
    </tableColumn>
    <tableColumn id="4" xr3:uid="{00000000-0010-0000-6700-000004000000}" name="Variance" totalsRowFunction="sum" dataDxfId="384" totalsRowDxfId="383" dataCellStyle="Currency">
      <calculatedColumnFormula>Table136115[[#This Row],[Actual]]-Table136115[[#This Row],[Budget]]</calculatedColumnFormula>
    </tableColumn>
  </tableColumns>
  <tableStyleInfo name="TableStyleLight20"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68000000}" name="Table137116" displayName="Table137116" ref="C49:F54" totalsRowCount="1" headerRowDxfId="382" dataDxfId="381" totalsRowDxfId="380">
  <autoFilter ref="C49:F53" xr:uid="{00000000-0009-0000-0100-000073000000}"/>
  <tableColumns count="4">
    <tableColumn id="1" xr3:uid="{00000000-0010-0000-6800-000001000000}" name="Living" totalsRowLabel="Total" dataDxfId="379" totalsRowDxfId="378"/>
    <tableColumn id="2" xr3:uid="{00000000-0010-0000-6800-000002000000}" name="Budget" totalsRowFunction="sum" dataDxfId="377" totalsRowDxfId="376" dataCellStyle="Currency"/>
    <tableColumn id="3" xr3:uid="{00000000-0010-0000-6800-000003000000}" name="Actual" totalsRowFunction="sum" dataDxfId="375" totalsRowDxfId="374" dataCellStyle="Currency">
      <calculatedColumnFormula>SUMIFS(Table4114[Amount],Table4114[Category],Table137116[[#Headers],[Living]],Table4114[Sub-Category],Table137116[[#This Row],[Living]])+SUMIFS(Table44120[Amount],Table44120[Category],Table137116[[#Headers],[Living]],Table44120[Sub-Category],Table137116[[#This Row],[Living]])</calculatedColumnFormula>
    </tableColumn>
    <tableColumn id="4" xr3:uid="{00000000-0010-0000-6800-000004000000}" name="Variance" totalsRowFunction="sum" dataDxfId="373" totalsRowDxfId="372" dataCellStyle="Currency">
      <calculatedColumnFormula>Table137116[[#This Row],[Budget]]-Table137116[[#This Row],[Actual]]</calculatedColumnFormula>
    </tableColumn>
  </tableColumns>
  <tableStyleInfo name="TableStyleLight20"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69000000}" name="Table138117" displayName="Table138117" ref="C57:F60" totalsRowCount="1" headerRowDxfId="371" dataDxfId="370" totalsRowDxfId="369">
  <autoFilter ref="C57:F59" xr:uid="{00000000-0009-0000-0100-000074000000}"/>
  <tableColumns count="4">
    <tableColumn id="1" xr3:uid="{00000000-0010-0000-6900-000001000000}" name="Entertainment" totalsRowLabel="Total" dataDxfId="368" totalsRowDxfId="367"/>
    <tableColumn id="2" xr3:uid="{00000000-0010-0000-6900-000002000000}" name="Budget" totalsRowFunction="sum" dataDxfId="366" totalsRowDxfId="365" dataCellStyle="Currency"/>
    <tableColumn id="3" xr3:uid="{00000000-0010-0000-6900-000003000000}" name="Actual" totalsRowFunction="sum" dataDxfId="364" totalsRowDxfId="363" dataCellStyle="Currency">
      <calculatedColumnFormula>SUMIFS(Table4114[Amount],Table4114[Category],Table138117[[#Headers],[Entertainment]],Table4114[Sub-Category],Table138117[[#This Row],[Entertainment]])+SUMIFS(Table44120[Amount],Table44120[Category],Table138117[[#Headers],[Entertainment]],Table44120[Sub-Category],Table138117[[#This Row],[Entertainment]])</calculatedColumnFormula>
    </tableColumn>
    <tableColumn id="4" xr3:uid="{00000000-0010-0000-6900-000004000000}" name="Variance" totalsRowFunction="sum" dataDxfId="362" totalsRowDxfId="361" dataCellStyle="Currency">
      <calculatedColumnFormula>Table138117[[#This Row],[Budget]]-Table138117[[#This Row],[Actual]]</calculatedColumnFormula>
    </tableColumn>
  </tableColumns>
  <tableStyleInfo name="TableStyleLight20"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6A000000}" name="Table139118" displayName="Table139118" ref="C63:F66" totalsRowCount="1" headerRowDxfId="360" dataDxfId="359" totalsRowDxfId="358">
  <autoFilter ref="C63:F65" xr:uid="{00000000-0009-0000-0100-000075000000}"/>
  <tableColumns count="4">
    <tableColumn id="1" xr3:uid="{00000000-0010-0000-6A00-000001000000}" name="Misc." totalsRowLabel="Total" dataDxfId="357" totalsRowDxfId="356"/>
    <tableColumn id="2" xr3:uid="{00000000-0010-0000-6A00-000002000000}" name="Budget" totalsRowFunction="sum" dataDxfId="355" totalsRowDxfId="354" dataCellStyle="Currency"/>
    <tableColumn id="3" xr3:uid="{00000000-0010-0000-6A00-000003000000}" name="Actual" totalsRowFunction="sum" dataDxfId="353" totalsRowDxfId="352" dataCellStyle="Currency">
      <calculatedColumnFormula>SUMIFS(Table4114[Amount],Table4114[Category],Table139118[[#Headers],[Misc.]],Table4114[Sub-Category],Table139118[[#This Row],[Misc.]])+SUMIFS(Table44120[Amount],Table44120[Category],Table139118[[#Headers],[Misc.]],Table44120[Sub-Category],Table139118[[#This Row],[Misc.]])</calculatedColumnFormula>
    </tableColumn>
    <tableColumn id="4" xr3:uid="{00000000-0010-0000-6A00-000004000000}" name="Variance" totalsRowFunction="sum" dataDxfId="351" totalsRowDxfId="350" dataCellStyle="Currency">
      <calculatedColumnFormula>Table139118[[#This Row],[Budget]]-Table139118[[#This Row],[Actual]]</calculatedColumnFormula>
    </tableColumn>
  </tableColumns>
  <tableStyleInfo name="TableStyleLight20"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6B000000}" name="Table13910119" displayName="Table13910119" ref="C40:F46" totalsRowCount="1" headerRowDxfId="349" dataDxfId="348" totalsRowDxfId="347">
  <autoFilter ref="C40:F45" xr:uid="{00000000-0009-0000-0100-000076000000}"/>
  <tableColumns count="4">
    <tableColumn id="1" xr3:uid="{00000000-0010-0000-6B00-000001000000}" name="Bills" totalsRowLabel="Total" dataDxfId="346" totalsRowDxfId="345"/>
    <tableColumn id="2" xr3:uid="{00000000-0010-0000-6B00-000002000000}" name="Budget" totalsRowFunction="sum" dataDxfId="344" totalsRowDxfId="343" dataCellStyle="Currency"/>
    <tableColumn id="3" xr3:uid="{00000000-0010-0000-6B00-000003000000}" name="Actual" totalsRowFunction="sum" dataDxfId="342" totalsRowDxfId="341" dataCellStyle="Currency">
      <calculatedColumnFormula>SUMIFS(Table4114[Amount],Table4114[Category],Table13910119[[#Headers],[Bills]],Table4114[Sub-Category],Table13910119[[#This Row],[Bills]])+SUMIFS(Table44120[Amount],Table44120[Category],Table13910119[[#Headers],[Bills]],Table44120[Sub-Category],Table13910119[[#This Row],[Bills]])</calculatedColumnFormula>
    </tableColumn>
    <tableColumn id="4" xr3:uid="{00000000-0010-0000-6B00-000004000000}" name="Variance" totalsRowFunction="sum" dataDxfId="340" totalsRowDxfId="339" dataCellStyle="Currency">
      <calculatedColumnFormula>Table13910119[[#This Row],[Budget]]-Table13910119[[#This Row],[Actual]]</calculatedColumnFormula>
    </tableColumn>
  </tableColumns>
  <tableStyleInfo name="TableStyleLight20"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6C000000}" name="Table44120" displayName="Table44120" ref="J34:O40" totalsRowShown="0" headerRowDxfId="338" dataDxfId="337">
  <autoFilter ref="J34:O40" xr:uid="{00000000-0009-0000-0100-000077000000}"/>
  <tableColumns count="6">
    <tableColumn id="1" xr3:uid="{00000000-0010-0000-6C00-000001000000}" name="Description" dataDxfId="336" totalsRowDxfId="335"/>
    <tableColumn id="2" xr3:uid="{00000000-0010-0000-6C00-000002000000}" name="Category" dataDxfId="334" totalsRowDxfId="333"/>
    <tableColumn id="3" xr3:uid="{00000000-0010-0000-6C00-000003000000}" name="Sub-Category" dataDxfId="332" totalsRowDxfId="331"/>
    <tableColumn id="4" xr3:uid="{00000000-0010-0000-6C00-000004000000}" name="Date" dataDxfId="330" totalsRowDxfId="329"/>
    <tableColumn id="5" xr3:uid="{00000000-0010-0000-6C00-000005000000}" name="Amount" dataDxfId="328" totalsRowDxfId="327" dataCellStyle="Currency"/>
    <tableColumn id="6" xr3:uid="{00000000-0010-0000-6C00-000006000000}" name="Status" dataDxfId="326" totalsRowDxfId="325"/>
  </tableColumns>
  <tableStyleInfo name="TableStyleLight2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e111" displayName="Table111" ref="C19:F29" totalsRowCount="1" headerRowDxfId="1500" dataDxfId="1499" totalsRowDxfId="1498">
  <autoFilter ref="C19:F28" xr:uid="{00000000-0009-0000-0100-00000A000000}"/>
  <tableColumns count="4">
    <tableColumn id="1" xr3:uid="{00000000-0010-0000-0A00-000001000000}" name="Housing" totalsRowLabel="Total" dataDxfId="1497" totalsRowDxfId="1496"/>
    <tableColumn id="2" xr3:uid="{00000000-0010-0000-0A00-000002000000}" name="Budget" totalsRowFunction="sum" dataDxfId="1495" totalsRowDxfId="1494" dataCellStyle="Currency"/>
    <tableColumn id="3" xr3:uid="{00000000-0010-0000-0A00-000003000000}" name="Actual" totalsRowFunction="sum" dataDxfId="1493" totalsRowDxfId="1492" dataCellStyle="Currency">
      <calculatedColumnFormula>SUMIFS(Table413[Amount],Table413[Category],Table111[[#Headers],[Housing]],Table413[Sub-Category],Table111[[#This Row],[Housing]])+SUMIFS(Table4419[Amount],Table4419[Category],Table111[[#Headers],[Housing]],Table4419[Sub-Category],Table111[[#This Row],[Housing]])</calculatedColumnFormula>
    </tableColumn>
    <tableColumn id="6" xr3:uid="{00000000-0010-0000-0A00-000006000000}" name="Variance" totalsRowFunction="sum" dataDxfId="1491" totalsRowDxfId="1490" dataCellStyle="Currency">
      <calculatedColumnFormula>Table111[[#This Row],[Budget]]-Table111[[#This Row],[Actual]]</calculatedColumnFormula>
    </tableColumn>
  </tableColumns>
  <tableStyleInfo name="TableStyleLight20"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6D000000}" name="Table4420121" displayName="Table4420121" ref="J11:O15" totalsRowShown="0" headerRowDxfId="324" dataDxfId="323">
  <autoFilter ref="J11:O15" xr:uid="{00000000-0009-0000-0100-000078000000}"/>
  <sortState xmlns:xlrd2="http://schemas.microsoft.com/office/spreadsheetml/2017/richdata2" ref="J12:O15">
    <sortCondition ref="M11:M15"/>
  </sortState>
  <tableColumns count="6">
    <tableColumn id="1" xr3:uid="{00000000-0010-0000-6D00-000001000000}" name="Description" dataDxfId="322" totalsRowDxfId="321"/>
    <tableColumn id="2" xr3:uid="{00000000-0010-0000-6D00-000002000000}" name="Category" dataDxfId="320" totalsRowDxfId="319"/>
    <tableColumn id="3" xr3:uid="{00000000-0010-0000-6D00-000003000000}" name="Sub-Category" dataDxfId="318" totalsRowDxfId="317"/>
    <tableColumn id="4" xr3:uid="{00000000-0010-0000-6D00-000004000000}" name="Date" dataDxfId="316" totalsRowDxfId="315"/>
    <tableColumn id="5" xr3:uid="{00000000-0010-0000-6D00-000005000000}" name="Amount" dataDxfId="314" totalsRowDxfId="313" dataCellStyle="Currency"/>
    <tableColumn id="6" xr3:uid="{00000000-0010-0000-6D00-000006000000}" name="Status" dataDxfId="312" totalsRowDxfId="311"/>
  </tableColumns>
  <tableStyleInfo name="TableStyleLight20"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6E000000}" name="Table1122" displayName="Table1122" ref="C19:F29" totalsRowCount="1" headerRowDxfId="310" dataDxfId="309" totalsRowDxfId="308">
  <autoFilter ref="C19:F28" xr:uid="{00000000-0009-0000-0100-000079000000}"/>
  <tableColumns count="4">
    <tableColumn id="1" xr3:uid="{00000000-0010-0000-6E00-000001000000}" name="Housing" totalsRowLabel="Total" dataDxfId="307" totalsRowDxfId="306"/>
    <tableColumn id="2" xr3:uid="{00000000-0010-0000-6E00-000002000000}" name="Budget" totalsRowFunction="sum" dataDxfId="305" totalsRowDxfId="304" dataCellStyle="Currency"/>
    <tableColumn id="3" xr3:uid="{00000000-0010-0000-6E00-000003000000}" name="Actual" totalsRowFunction="sum" dataDxfId="303" totalsRowDxfId="302" dataCellStyle="Currency">
      <calculatedColumnFormula>SUMIFS(Table4124[Amount],Table4124[Category],Table1122[[#Headers],[Housing]],Table4124[Sub-Category],Table1122[[#This Row],[Housing]])+SUMIFS(Table44130[Amount],Table44130[Category],Table1122[[#Headers],[Housing]],Table44130[Sub-Category],Table1122[[#This Row],[Housing]])</calculatedColumnFormula>
    </tableColumn>
    <tableColumn id="6" xr3:uid="{00000000-0010-0000-6E00-000006000000}" name="Variance" totalsRowFunction="sum" dataDxfId="301" totalsRowDxfId="300" dataCellStyle="Currency">
      <calculatedColumnFormula>Table1122[[#This Row],[Budget]]-Table1122[[#This Row],[Actual]]</calculatedColumnFormula>
    </tableColumn>
  </tableColumns>
  <tableStyleInfo name="TableStyleLight20"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6F000000}" name="Table13123" displayName="Table13123" ref="C32:F37" totalsRowCount="1" headerRowDxfId="299" dataDxfId="298" totalsRowDxfId="297">
  <autoFilter ref="C32:F36" xr:uid="{00000000-0009-0000-0100-00007A000000}"/>
  <tableColumns count="4">
    <tableColumn id="1" xr3:uid="{00000000-0010-0000-6F00-000001000000}" name="Transportation" totalsRowLabel="Total" dataDxfId="296" totalsRowDxfId="295"/>
    <tableColumn id="2" xr3:uid="{00000000-0010-0000-6F00-000002000000}" name="Budget" totalsRowFunction="sum" dataDxfId="294" totalsRowDxfId="293" dataCellStyle="Currency"/>
    <tableColumn id="3" xr3:uid="{00000000-0010-0000-6F00-000003000000}" name="Actual" totalsRowFunction="sum" dataDxfId="292" totalsRowDxfId="291" dataCellStyle="Currency">
      <calculatedColumnFormula>SUMIFS(Table4124[Amount],Table4124[Category],Table13123[[#Headers],[Transportation]],Table4124[Sub-Category],Table13123[[#This Row],[Transportation]])+SUMIFS(Table44130[Amount],Table44130[Category],Table13123[[#Headers],[Transportation]],Table44130[Sub-Category],Table13123[[#This Row],[Transportation]])</calculatedColumnFormula>
    </tableColumn>
    <tableColumn id="4" xr3:uid="{00000000-0010-0000-6F00-000004000000}" name="Variance" totalsRowFunction="sum" dataDxfId="290" totalsRowDxfId="289" dataCellStyle="Currency">
      <calculatedColumnFormula>Table13123[[#This Row],[Budget]]-Table13123[[#This Row],[Actual]]</calculatedColumnFormula>
    </tableColumn>
  </tableColumns>
  <tableStyleInfo name="TableStyleLight20"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0000000}" name="Table4124" displayName="Table4124" ref="J18:O31" totalsRowShown="0" headerRowDxfId="288" dataDxfId="287">
  <autoFilter ref="J18:O31" xr:uid="{00000000-0009-0000-0100-00007B000000}"/>
  <sortState xmlns:xlrd2="http://schemas.microsoft.com/office/spreadsheetml/2017/richdata2" ref="J19:O31">
    <sortCondition ref="M18:M31"/>
  </sortState>
  <tableColumns count="6">
    <tableColumn id="1" xr3:uid="{00000000-0010-0000-7000-000001000000}" name="Description" dataDxfId="286" totalsRowDxfId="285"/>
    <tableColumn id="2" xr3:uid="{00000000-0010-0000-7000-000002000000}" name="Category" dataDxfId="284" totalsRowDxfId="283"/>
    <tableColumn id="3" xr3:uid="{00000000-0010-0000-7000-000003000000}" name="Sub-Category" dataDxfId="282" totalsRowDxfId="281"/>
    <tableColumn id="4" xr3:uid="{00000000-0010-0000-7000-000004000000}" name="Date" dataDxfId="280" totalsRowDxfId="279"/>
    <tableColumn id="5" xr3:uid="{00000000-0010-0000-7000-000005000000}" name="Amount" dataDxfId="278" totalsRowDxfId="277" dataCellStyle="Currency"/>
    <tableColumn id="6" xr3:uid="{00000000-0010-0000-7000-000006000000}" name="Status" dataDxfId="276" totalsRowDxfId="275"/>
  </tableColumns>
  <tableStyleInfo name="TableStyleLight20"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1000000}" name="Table136125" displayName="Table136125" ref="C11:F16" totalsRowCount="1" headerRowDxfId="274" dataDxfId="273" totalsRowDxfId="272">
  <autoFilter ref="C11:F15" xr:uid="{00000000-0009-0000-0100-00007C000000}"/>
  <tableColumns count="4">
    <tableColumn id="1" xr3:uid="{00000000-0010-0000-7100-000001000000}" name="Income" totalsRowLabel="Total" dataDxfId="271" totalsRowDxfId="270"/>
    <tableColumn id="2" xr3:uid="{00000000-0010-0000-7100-000002000000}" name="Budget" totalsRowFunction="sum" dataDxfId="269" totalsRowDxfId="268" dataCellStyle="Currency"/>
    <tableColumn id="3" xr3:uid="{00000000-0010-0000-7100-000003000000}" name="Actual" totalsRowFunction="sum" dataDxfId="267" totalsRowDxfId="266" dataCellStyle="Currency">
      <calculatedColumnFormula>SUMIFS(Table4420131[Amount],Table4420131[Category],Table136125[[#Headers],[Income]],Table4420131[Sub-Category],Table136125[[#This Row],[Income]])+SUMIFS(Table44130[Amount],Table44130[Category],Table136125[[#Headers],[Income]],Table44130[Sub-Category],Table136125[[#This Row],[Income]])</calculatedColumnFormula>
    </tableColumn>
    <tableColumn id="4" xr3:uid="{00000000-0010-0000-7100-000004000000}" name="Variance" totalsRowFunction="sum" dataDxfId="265" totalsRowDxfId="264" dataCellStyle="Currency">
      <calculatedColumnFormula>Table136125[[#This Row],[Actual]]-Table136125[[#This Row],[Budget]]</calculatedColumnFormula>
    </tableColumn>
  </tableColumns>
  <tableStyleInfo name="TableStyleLight20"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2000000}" name="Table137126" displayName="Table137126" ref="C49:F54" totalsRowCount="1" headerRowDxfId="263" dataDxfId="262" totalsRowDxfId="261">
  <autoFilter ref="C49:F53" xr:uid="{00000000-0009-0000-0100-00007D000000}"/>
  <tableColumns count="4">
    <tableColumn id="1" xr3:uid="{00000000-0010-0000-7200-000001000000}" name="Living" totalsRowLabel="Total" dataDxfId="260" totalsRowDxfId="259"/>
    <tableColumn id="2" xr3:uid="{00000000-0010-0000-7200-000002000000}" name="Budget" totalsRowFunction="sum" dataDxfId="258" totalsRowDxfId="257" dataCellStyle="Currency"/>
    <tableColumn id="3" xr3:uid="{00000000-0010-0000-7200-000003000000}" name="Actual" totalsRowFunction="sum" dataDxfId="256" totalsRowDxfId="255" dataCellStyle="Currency">
      <calculatedColumnFormula>SUMIFS(Table4124[Amount],Table4124[Category],Table137126[[#Headers],[Living]],Table4124[Sub-Category],Table137126[[#This Row],[Living]])+SUMIFS(Table44130[Amount],Table44130[Category],Table137126[[#Headers],[Living]],Table44130[Sub-Category],Table137126[[#This Row],[Living]])</calculatedColumnFormula>
    </tableColumn>
    <tableColumn id="4" xr3:uid="{00000000-0010-0000-7200-000004000000}" name="Variance" totalsRowFunction="sum" dataDxfId="254" totalsRowDxfId="253" dataCellStyle="Currency">
      <calculatedColumnFormula>Table137126[[#This Row],[Budget]]-Table137126[[#This Row],[Actual]]</calculatedColumnFormula>
    </tableColumn>
  </tableColumns>
  <tableStyleInfo name="TableStyleLight20"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3000000}" name="Table138127" displayName="Table138127" ref="C57:F60" totalsRowCount="1" headerRowDxfId="252" dataDxfId="251" totalsRowDxfId="250">
  <autoFilter ref="C57:F59" xr:uid="{00000000-0009-0000-0100-00007E000000}"/>
  <tableColumns count="4">
    <tableColumn id="1" xr3:uid="{00000000-0010-0000-7300-000001000000}" name="Entertainment" totalsRowLabel="Total" dataDxfId="249" totalsRowDxfId="248"/>
    <tableColumn id="2" xr3:uid="{00000000-0010-0000-7300-000002000000}" name="Budget" totalsRowFunction="sum" dataDxfId="247" totalsRowDxfId="246" dataCellStyle="Currency"/>
    <tableColumn id="3" xr3:uid="{00000000-0010-0000-7300-000003000000}" name="Actual" totalsRowFunction="sum" dataDxfId="245" totalsRowDxfId="244" dataCellStyle="Currency">
      <calculatedColumnFormula>SUMIFS(Table4124[Amount],Table4124[Category],Table138127[[#Headers],[Entertainment]],Table4124[Sub-Category],Table138127[[#This Row],[Entertainment]])+SUMIFS(Table44130[Amount],Table44130[Category],Table138127[[#Headers],[Entertainment]],Table44130[Sub-Category],Table138127[[#This Row],[Entertainment]])</calculatedColumnFormula>
    </tableColumn>
    <tableColumn id="4" xr3:uid="{00000000-0010-0000-7300-000004000000}" name="Variance" totalsRowFunction="sum" dataDxfId="243" totalsRowDxfId="242" dataCellStyle="Currency">
      <calculatedColumnFormula>Table138127[[#This Row],[Budget]]-Table138127[[#This Row],[Actual]]</calculatedColumnFormula>
    </tableColumn>
  </tableColumns>
  <tableStyleInfo name="TableStyleLight20"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4000000}" name="Table139128" displayName="Table139128" ref="C63:F66" totalsRowCount="1" headerRowDxfId="241" dataDxfId="240" totalsRowDxfId="239">
  <autoFilter ref="C63:F65" xr:uid="{00000000-0009-0000-0100-00007F000000}"/>
  <tableColumns count="4">
    <tableColumn id="1" xr3:uid="{00000000-0010-0000-7400-000001000000}" name="Misc." totalsRowLabel="Total" dataDxfId="238" totalsRowDxfId="237"/>
    <tableColumn id="2" xr3:uid="{00000000-0010-0000-7400-000002000000}" name="Budget" totalsRowFunction="sum" dataDxfId="236" totalsRowDxfId="235" dataCellStyle="Currency"/>
    <tableColumn id="3" xr3:uid="{00000000-0010-0000-7400-000003000000}" name="Actual" totalsRowFunction="sum" dataDxfId="234" totalsRowDxfId="233" dataCellStyle="Currency">
      <calculatedColumnFormula>SUMIFS(Table4124[Amount],Table4124[Category],Table139128[[#Headers],[Misc.]],Table4124[Sub-Category],Table139128[[#This Row],[Misc.]])+SUMIFS(Table44130[Amount],Table44130[Category],Table139128[[#Headers],[Misc.]],Table44130[Sub-Category],Table139128[[#This Row],[Misc.]])</calculatedColumnFormula>
    </tableColumn>
    <tableColumn id="4" xr3:uid="{00000000-0010-0000-7400-000004000000}" name="Variance" totalsRowFunction="sum" dataDxfId="232" totalsRowDxfId="231" dataCellStyle="Currency">
      <calculatedColumnFormula>Table139128[[#This Row],[Budget]]-Table139128[[#This Row],[Actual]]</calculatedColumnFormula>
    </tableColumn>
  </tableColumns>
  <tableStyleInfo name="TableStyleLight20"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5000000}" name="Table13910129" displayName="Table13910129" ref="C40:F46" totalsRowCount="1" headerRowDxfId="230" dataDxfId="229" totalsRowDxfId="228">
  <autoFilter ref="C40:F45" xr:uid="{00000000-0009-0000-0100-000080000000}"/>
  <tableColumns count="4">
    <tableColumn id="1" xr3:uid="{00000000-0010-0000-7500-000001000000}" name="Bills" totalsRowLabel="Total" dataDxfId="227" totalsRowDxfId="226"/>
    <tableColumn id="2" xr3:uid="{00000000-0010-0000-7500-000002000000}" name="Budget" totalsRowFunction="sum" dataDxfId="225" totalsRowDxfId="224" dataCellStyle="Currency"/>
    <tableColumn id="3" xr3:uid="{00000000-0010-0000-7500-000003000000}" name="Actual" totalsRowFunction="sum" dataDxfId="223" totalsRowDxfId="222" dataCellStyle="Currency">
      <calculatedColumnFormula>SUMIFS(Table4124[Amount],Table4124[Category],Table13910129[[#Headers],[Bills]],Table4124[Sub-Category],Table13910129[[#This Row],[Bills]])+SUMIFS(Table44130[Amount],Table44130[Category],Table13910129[[#Headers],[Bills]],Table44130[Sub-Category],Table13910129[[#This Row],[Bills]])</calculatedColumnFormula>
    </tableColumn>
    <tableColumn id="4" xr3:uid="{00000000-0010-0000-7500-000004000000}" name="Variance" totalsRowFunction="sum" dataDxfId="221" totalsRowDxfId="220" dataCellStyle="Currency">
      <calculatedColumnFormula>Table13910129[[#This Row],[Budget]]-Table13910129[[#This Row],[Actual]]</calculatedColumnFormula>
    </tableColumn>
  </tableColumns>
  <tableStyleInfo name="TableStyleLight20"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76000000}" name="Table44130" displayName="Table44130" ref="J34:O40" totalsRowShown="0" headerRowDxfId="219" dataDxfId="218">
  <autoFilter ref="J34:O40" xr:uid="{00000000-0009-0000-0100-000081000000}"/>
  <tableColumns count="6">
    <tableColumn id="1" xr3:uid="{00000000-0010-0000-7600-000001000000}" name="Description" dataDxfId="217" totalsRowDxfId="216"/>
    <tableColumn id="2" xr3:uid="{00000000-0010-0000-7600-000002000000}" name="Category" dataDxfId="215" totalsRowDxfId="214"/>
    <tableColumn id="3" xr3:uid="{00000000-0010-0000-7600-000003000000}" name="Sub-Category" dataDxfId="213" totalsRowDxfId="212"/>
    <tableColumn id="4" xr3:uid="{00000000-0010-0000-7600-000004000000}" name="Date" dataDxfId="211" totalsRowDxfId="210"/>
    <tableColumn id="5" xr3:uid="{00000000-0010-0000-7600-000005000000}" name="Amount" dataDxfId="209" totalsRowDxfId="208" dataCellStyle="Currency"/>
    <tableColumn id="6" xr3:uid="{00000000-0010-0000-7600-000006000000}" name="Status" dataDxfId="207" totalsRowDxfId="206"/>
  </tableColumns>
  <tableStyleInfo name="TableStyleLight2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1312" displayName="Table1312" ref="C32:F37" totalsRowCount="1" headerRowDxfId="1489" dataDxfId="1488" totalsRowDxfId="1487">
  <autoFilter ref="C32:F36" xr:uid="{00000000-0009-0000-0100-00000B000000}"/>
  <tableColumns count="4">
    <tableColumn id="1" xr3:uid="{00000000-0010-0000-0B00-000001000000}" name="Transportation" totalsRowLabel="Total" dataDxfId="1486" totalsRowDxfId="1485"/>
    <tableColumn id="2" xr3:uid="{00000000-0010-0000-0B00-000002000000}" name="Budget" totalsRowFunction="sum" dataDxfId="1484" totalsRowDxfId="1483" dataCellStyle="Currency"/>
    <tableColumn id="3" xr3:uid="{00000000-0010-0000-0B00-000003000000}" name="Actual" totalsRowFunction="sum" dataDxfId="1482" totalsRowDxfId="1481" dataCellStyle="Currency">
      <calculatedColumnFormula>SUMIFS(Table413[Amount],Table413[Category],Table1312[[#Headers],[Transportation]],Table413[Sub-Category],Table1312[[#This Row],[Transportation]])+SUMIFS(Table4419[Amount],Table4419[Category],Table1312[[#Headers],[Transportation]],Table4419[Sub-Category],Table1312[[#This Row],[Transportation]])</calculatedColumnFormula>
    </tableColumn>
    <tableColumn id="4" xr3:uid="{00000000-0010-0000-0B00-000004000000}" name="Variance" totalsRowFunction="sum" dataDxfId="1480" totalsRowDxfId="1479" dataCellStyle="Currency">
      <calculatedColumnFormula>Table1312[[#This Row],[Budget]]-Table1312[[#This Row],[Actual]]</calculatedColumnFormula>
    </tableColumn>
  </tableColumns>
  <tableStyleInfo name="TableStyleLight20"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77000000}" name="Table4420131" displayName="Table4420131" ref="J11:O15" totalsRowShown="0" headerRowDxfId="205" dataDxfId="204">
  <autoFilter ref="J11:O15" xr:uid="{00000000-0009-0000-0100-000082000000}"/>
  <sortState xmlns:xlrd2="http://schemas.microsoft.com/office/spreadsheetml/2017/richdata2" ref="J12:O15">
    <sortCondition ref="M11:M15"/>
  </sortState>
  <tableColumns count="6">
    <tableColumn id="1" xr3:uid="{00000000-0010-0000-7700-000001000000}" name="Description" dataDxfId="203" totalsRowDxfId="202"/>
    <tableColumn id="2" xr3:uid="{00000000-0010-0000-7700-000002000000}" name="Category" dataDxfId="201" totalsRowDxfId="200"/>
    <tableColumn id="3" xr3:uid="{00000000-0010-0000-7700-000003000000}" name="Sub-Category" dataDxfId="199" totalsRowDxfId="198"/>
    <tableColumn id="4" xr3:uid="{00000000-0010-0000-7700-000004000000}" name="Date" dataDxfId="197" totalsRowDxfId="196"/>
    <tableColumn id="5" xr3:uid="{00000000-0010-0000-7700-000005000000}" name="Amount" dataDxfId="195" totalsRowDxfId="194" dataCellStyle="Currency"/>
    <tableColumn id="6" xr3:uid="{00000000-0010-0000-7700-000006000000}" name="Status" dataDxfId="193" totalsRowDxfId="192"/>
  </tableColumns>
  <tableStyleInfo name="TableStyleLight2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le413" displayName="Table413" ref="J18:O31" totalsRowShown="0" headerRowDxfId="1478" dataDxfId="1477">
  <autoFilter ref="J18:O31" xr:uid="{00000000-0009-0000-0100-00000C000000}"/>
  <sortState xmlns:xlrd2="http://schemas.microsoft.com/office/spreadsheetml/2017/richdata2" ref="J19:O31">
    <sortCondition ref="M18:M31"/>
  </sortState>
  <tableColumns count="6">
    <tableColumn id="1" xr3:uid="{00000000-0010-0000-0C00-000001000000}" name="Description" dataDxfId="1476" totalsRowDxfId="1475"/>
    <tableColumn id="2" xr3:uid="{00000000-0010-0000-0C00-000002000000}" name="Category" dataDxfId="1474" totalsRowDxfId="1473"/>
    <tableColumn id="3" xr3:uid="{00000000-0010-0000-0C00-000003000000}" name="Sub-Category" dataDxfId="1472" totalsRowDxfId="1471"/>
    <tableColumn id="4" xr3:uid="{00000000-0010-0000-0C00-000004000000}" name="Date" dataDxfId="1470" totalsRowDxfId="1469"/>
    <tableColumn id="5" xr3:uid="{00000000-0010-0000-0C00-000005000000}" name="Amount" dataDxfId="1468" totalsRowDxfId="1467" dataCellStyle="Currency"/>
    <tableColumn id="6" xr3:uid="{00000000-0010-0000-0C00-000006000000}" name="Status" dataDxfId="1466" totalsRowDxfId="1465"/>
  </tableColumns>
  <tableStyleInfo name="TableStyleLight2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13614" displayName="Table13614" ref="C11:F16" totalsRowCount="1" headerRowDxfId="1464" dataDxfId="1463" totalsRowDxfId="1462">
  <autoFilter ref="C11:F15" xr:uid="{00000000-0009-0000-0100-00000D000000}"/>
  <tableColumns count="4">
    <tableColumn id="1" xr3:uid="{00000000-0010-0000-0D00-000001000000}" name="Income" totalsRowLabel="Total" dataDxfId="1461" totalsRowDxfId="1460"/>
    <tableColumn id="2" xr3:uid="{00000000-0010-0000-0D00-000002000000}" name="Budget" totalsRowFunction="sum" dataDxfId="1459" totalsRowDxfId="1458" dataCellStyle="Currency"/>
    <tableColumn id="3" xr3:uid="{00000000-0010-0000-0D00-000003000000}" name="Actual" totalsRowFunction="sum" dataDxfId="1457" totalsRowDxfId="1456" dataCellStyle="Currency">
      <calculatedColumnFormula>SUMIFS(Table442021[Amount],Table442021[Category],Table13614[[#Headers],[Income]],Table442021[Sub-Category],Table13614[[#This Row],[Income]])+SUMIFS(Table4419[Amount],Table4419[Category],Table13614[[#Headers],[Income]],Table4419[Sub-Category],Table13614[[#This Row],[Income]])</calculatedColumnFormula>
    </tableColumn>
    <tableColumn id="4" xr3:uid="{00000000-0010-0000-0D00-000004000000}" name="Variance" totalsRowFunction="sum" dataDxfId="1455" totalsRowDxfId="1454" dataCellStyle="Currency">
      <calculatedColumnFormula>Table13614[[#This Row],[Actual]]-Table13614[[#This Row],[Budget]]</calculatedColumnFormula>
    </tableColumn>
  </tableColumns>
  <tableStyleInfo name="TableStyleLight2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13715" displayName="Table13715" ref="C49:F54" totalsRowCount="1" headerRowDxfId="1453" dataDxfId="1452" totalsRowDxfId="1451">
  <autoFilter ref="C49:F53" xr:uid="{00000000-0009-0000-0100-00000E000000}"/>
  <tableColumns count="4">
    <tableColumn id="1" xr3:uid="{00000000-0010-0000-0E00-000001000000}" name="Living" totalsRowLabel="Total" dataDxfId="1450" totalsRowDxfId="1449"/>
    <tableColumn id="2" xr3:uid="{00000000-0010-0000-0E00-000002000000}" name="Budget" totalsRowFunction="sum" dataDxfId="1448" totalsRowDxfId="1447" dataCellStyle="Currency"/>
    <tableColumn id="3" xr3:uid="{00000000-0010-0000-0E00-000003000000}" name="Actual" totalsRowFunction="sum" dataDxfId="1446" totalsRowDxfId="1445" dataCellStyle="Currency">
      <calculatedColumnFormula>SUMIFS(Table413[Amount],Table413[Category],Table13715[[#Headers],[Living]],Table413[Sub-Category],Table13715[[#This Row],[Living]])+SUMIFS(Table4419[Amount],Table4419[Category],Table13715[[#Headers],[Living]],Table4419[Sub-Category],Table13715[[#This Row],[Living]])</calculatedColumnFormula>
    </tableColumn>
    <tableColumn id="4" xr3:uid="{00000000-0010-0000-0E00-000004000000}" name="Variance" totalsRowFunction="sum" dataDxfId="1444" totalsRowDxfId="1443" dataCellStyle="Currency">
      <calculatedColumnFormula>Table13715[[#This Row],[Budget]]-Table13715[[#This Row],[Actual]]</calculatedColumnFormula>
    </tableColumn>
  </tableColumns>
  <tableStyleInfo name="TableStyleLight2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13816" displayName="Table13816" ref="C57:F60" totalsRowCount="1" headerRowDxfId="1442" dataDxfId="1441" totalsRowDxfId="1440">
  <autoFilter ref="C57:F59" xr:uid="{00000000-0009-0000-0100-00000F000000}"/>
  <tableColumns count="4">
    <tableColumn id="1" xr3:uid="{00000000-0010-0000-0F00-000001000000}" name="Entertainment" totalsRowLabel="Total" dataDxfId="1439" totalsRowDxfId="1438"/>
    <tableColumn id="2" xr3:uid="{00000000-0010-0000-0F00-000002000000}" name="Budget" totalsRowFunction="sum" dataDxfId="1437" totalsRowDxfId="1436" dataCellStyle="Currency"/>
    <tableColumn id="3" xr3:uid="{00000000-0010-0000-0F00-000003000000}" name="Actual" totalsRowFunction="sum" dataDxfId="1435" totalsRowDxfId="1434" dataCellStyle="Currency">
      <calculatedColumnFormula>SUMIFS(Table413[Amount],Table413[Category],Table13816[[#Headers],[Entertainment]],Table413[Sub-Category],Table13816[[#This Row],[Entertainment]])+SUMIFS(Table4419[Amount],Table4419[Category],Table13816[[#Headers],[Entertainment]],Table4419[Sub-Category],Table13816[[#This Row],[Entertainment]])</calculatedColumnFormula>
    </tableColumn>
    <tableColumn id="4" xr3:uid="{00000000-0010-0000-0F00-000004000000}" name="Variance" totalsRowFunction="sum" dataDxfId="1433" totalsRowDxfId="1432" dataCellStyle="Currency">
      <calculatedColumnFormula>Table13816[[#This Row],[Budget]]-Table13816[[#This Row],[Actual]]</calculatedColumnFormula>
    </tableColumn>
  </tableColumns>
  <tableStyleInfo name="TableStyleLight2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13917" displayName="Table13917" ref="C63:F66" totalsRowCount="1" headerRowDxfId="1431" dataDxfId="1430" totalsRowDxfId="1429">
  <autoFilter ref="C63:F65" xr:uid="{00000000-0009-0000-0100-000010000000}"/>
  <tableColumns count="4">
    <tableColumn id="1" xr3:uid="{00000000-0010-0000-1000-000001000000}" name="Misc." totalsRowLabel="Total" dataDxfId="1428" totalsRowDxfId="1427"/>
    <tableColumn id="2" xr3:uid="{00000000-0010-0000-1000-000002000000}" name="Budget" totalsRowFunction="sum" dataDxfId="1426" totalsRowDxfId="1425" dataCellStyle="Currency"/>
    <tableColumn id="3" xr3:uid="{00000000-0010-0000-1000-000003000000}" name="Actual" totalsRowFunction="sum" dataDxfId="1424" totalsRowDxfId="1423" dataCellStyle="Currency">
      <calculatedColumnFormula>SUMIFS(Table413[Amount],Table413[Category],Table13917[[#Headers],[Misc.]],Table413[Sub-Category],Table13917[[#This Row],[Misc.]])+SUMIFS(Table4419[Amount],Table4419[Category],Table13917[[#Headers],[Misc.]],Table4419[Sub-Category],Table13917[[#This Row],[Misc.]])</calculatedColumnFormula>
    </tableColumn>
    <tableColumn id="4" xr3:uid="{00000000-0010-0000-1000-000004000000}" name="Variance" totalsRowFunction="sum" dataDxfId="1422" totalsRowDxfId="1421" dataCellStyle="Currency">
      <calculatedColumnFormula>Table13917[[#This Row],[Budget]]-Table13917[[#This Row],[Actual]]</calculatedColumnFormula>
    </tableColumn>
  </tableColumns>
  <tableStyleInfo name="TableStyleLight20"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1391018" displayName="Table1391018" ref="C40:F46" totalsRowCount="1" headerRowDxfId="1420" dataDxfId="1419" totalsRowDxfId="1418">
  <autoFilter ref="C40:F45" xr:uid="{00000000-0009-0000-0100-000011000000}"/>
  <tableColumns count="4">
    <tableColumn id="1" xr3:uid="{00000000-0010-0000-1100-000001000000}" name="Bills" totalsRowLabel="Total" dataDxfId="1417" totalsRowDxfId="1416"/>
    <tableColumn id="2" xr3:uid="{00000000-0010-0000-1100-000002000000}" name="Budget" totalsRowFunction="sum" dataDxfId="1415" totalsRowDxfId="1414" dataCellStyle="Currency"/>
    <tableColumn id="3" xr3:uid="{00000000-0010-0000-1100-000003000000}" name="Actual" totalsRowFunction="sum" dataDxfId="1413" totalsRowDxfId="1412" dataCellStyle="Currency">
      <calculatedColumnFormula>SUMIFS(Table413[Amount],Table413[Category],Table1391018[[#Headers],[Bills]],Table413[Sub-Category],Table1391018[[#This Row],[Bills]])+SUMIFS(Table4419[Amount],Table4419[Category],Table1391018[[#Headers],[Bills]],Table4419[Sub-Category],Table1391018[[#This Row],[Bills]])</calculatedColumnFormula>
    </tableColumn>
    <tableColumn id="4" xr3:uid="{00000000-0010-0000-1100-000004000000}" name="Variance" totalsRowFunction="sum" dataDxfId="1411" totalsRowDxfId="1410" dataCellStyle="Currency">
      <calculatedColumnFormula>Table1391018[[#This Row],[Budget]]-Table1391018[[#This Row],[Actual]]</calculatedColumnFormula>
    </tableColumn>
  </tableColumns>
  <tableStyleInfo name="TableStyleLight2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Table4419" displayName="Table4419" ref="J34:O40" totalsRowShown="0" headerRowDxfId="1409" dataDxfId="1408">
  <autoFilter ref="J34:O40" xr:uid="{00000000-0009-0000-0100-000012000000}"/>
  <tableColumns count="6">
    <tableColumn id="1" xr3:uid="{00000000-0010-0000-1200-000001000000}" name="Description" dataDxfId="1407" totalsRowDxfId="1406"/>
    <tableColumn id="2" xr3:uid="{00000000-0010-0000-1200-000002000000}" name="Category" dataDxfId="1405" totalsRowDxfId="1404"/>
    <tableColumn id="3" xr3:uid="{00000000-0010-0000-1200-000003000000}" name="Sub-Category" dataDxfId="1403" totalsRowDxfId="1402"/>
    <tableColumn id="4" xr3:uid="{00000000-0010-0000-1200-000004000000}" name="Date" dataDxfId="1401" totalsRowDxfId="1400"/>
    <tableColumn id="5" xr3:uid="{00000000-0010-0000-1200-000005000000}" name="Amount" dataDxfId="1399" totalsRowDxfId="1398" dataCellStyle="Currency"/>
    <tableColumn id="6" xr3:uid="{00000000-0010-0000-1200-000006000000}" name="Status" dataDxfId="1397" totalsRowDxfId="1396"/>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32:E37" totalsRowCount="1" headerRowDxfId="1608" dataDxfId="1607" totalsRowDxfId="1606">
  <autoFilter ref="B32:E36" xr:uid="{00000000-0009-0000-0100-000002000000}"/>
  <tableColumns count="4">
    <tableColumn id="1" xr3:uid="{00000000-0010-0000-0100-000001000000}" name="Transportation" totalsRowLabel="Total" dataDxfId="1605" totalsRowDxfId="1604"/>
    <tableColumn id="2" xr3:uid="{00000000-0010-0000-0100-000002000000}" name="Budget" totalsRowFunction="sum" dataDxfId="1603" totalsRowDxfId="1602" dataCellStyle="Currency"/>
    <tableColumn id="3" xr3:uid="{00000000-0010-0000-0100-000003000000}" name="Actual" totalsRowFunction="sum" dataDxfId="1601" totalsRowDxfId="1600" dataCellStyle="Currency">
      <calculatedColumnFormula>SUMIFS(Table4[Amount],Table4[Category],Table13[[#Headers],[Transportation]],Table4[Sub-Category],Table13[[#This Row],[Transportation]])+SUMIFS(Table44[Amount],Table44[Category],Table13[[#Headers],[Transportation]],Table44[Sub-Category],Table13[[#This Row],[Transportation]])</calculatedColumnFormula>
    </tableColumn>
    <tableColumn id="4" xr3:uid="{00000000-0010-0000-0100-000004000000}" name="Variance" totalsRowFunction="sum" dataDxfId="1599" totalsRowDxfId="1598" dataCellStyle="Currency">
      <calculatedColumnFormula>Table13[[#This Row],[Budget]]-Table13[[#This Row],[Actual]]</calculatedColumnFormula>
    </tableColumn>
  </tableColumns>
  <tableStyleInfo name="TableStyleLight2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442021" displayName="Table442021" ref="J11:O15" totalsRowShown="0" headerRowDxfId="1395" dataDxfId="1394">
  <autoFilter ref="J11:O15" xr:uid="{00000000-0009-0000-0100-000014000000}"/>
  <sortState xmlns:xlrd2="http://schemas.microsoft.com/office/spreadsheetml/2017/richdata2" ref="J12:O15">
    <sortCondition ref="M11:M15"/>
  </sortState>
  <tableColumns count="6">
    <tableColumn id="1" xr3:uid="{00000000-0010-0000-1300-000001000000}" name="Description" dataDxfId="1393" totalsRowDxfId="1392"/>
    <tableColumn id="2" xr3:uid="{00000000-0010-0000-1300-000002000000}" name="Category" dataDxfId="1391" totalsRowDxfId="1390"/>
    <tableColumn id="3" xr3:uid="{00000000-0010-0000-1300-000003000000}" name="Sub-Category" dataDxfId="1389" totalsRowDxfId="1388"/>
    <tableColumn id="4" xr3:uid="{00000000-0010-0000-1300-000004000000}" name="Date" dataDxfId="1387" totalsRowDxfId="1386"/>
    <tableColumn id="5" xr3:uid="{00000000-0010-0000-1300-000005000000}" name="Amount" dataDxfId="1385" totalsRowDxfId="1384" dataCellStyle="Currency"/>
    <tableColumn id="6" xr3:uid="{00000000-0010-0000-1300-000006000000}" name="Status" dataDxfId="1383" totalsRowDxfId="1382"/>
  </tableColumns>
  <tableStyleInfo name="TableStyleLight20"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4000000}" name="Table132" displayName="Table132" ref="C19:F29" totalsRowCount="1" headerRowDxfId="1381" dataDxfId="1380" totalsRowDxfId="1379">
  <autoFilter ref="C19:F28" xr:uid="{00000000-0009-0000-0100-00001F000000}"/>
  <tableColumns count="4">
    <tableColumn id="1" xr3:uid="{00000000-0010-0000-1400-000001000000}" name="Housing" totalsRowLabel="Total" dataDxfId="1378" totalsRowDxfId="1377"/>
    <tableColumn id="2" xr3:uid="{00000000-0010-0000-1400-000002000000}" name="Budget" totalsRowFunction="sum" dataDxfId="1376" totalsRowDxfId="1375" dataCellStyle="Currency"/>
    <tableColumn id="3" xr3:uid="{00000000-0010-0000-1400-000003000000}" name="Actual" totalsRowFunction="sum" dataDxfId="1374" totalsRowDxfId="1373" dataCellStyle="Currency">
      <calculatedColumnFormula>SUMIFS(Table434[Amount],Table434[Category],Table132[[#Headers],[Housing]],Table434[Sub-Category],Table132[[#This Row],[Housing]])+SUMIFS(Table4440[Amount],Table4440[Category],Table132[[#Headers],[Housing]],Table4440[Sub-Category],Table132[[#This Row],[Housing]])</calculatedColumnFormula>
    </tableColumn>
    <tableColumn id="6" xr3:uid="{00000000-0010-0000-1400-000006000000}" name="Variance" totalsRowFunction="sum" dataDxfId="1372" totalsRowDxfId="1371" dataCellStyle="Currency">
      <calculatedColumnFormula>Table132[[#This Row],[Budget]]-Table132[[#This Row],[Actual]]</calculatedColumnFormula>
    </tableColumn>
  </tableColumns>
  <tableStyleInfo name="TableStyleLight2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5000000}" name="Table1333" displayName="Table1333" ref="C32:F37" totalsRowCount="1" headerRowDxfId="1370" dataDxfId="1369" totalsRowDxfId="1368">
  <autoFilter ref="C32:F36" xr:uid="{00000000-0009-0000-0100-000020000000}"/>
  <tableColumns count="4">
    <tableColumn id="1" xr3:uid="{00000000-0010-0000-1500-000001000000}" name="Transportation" totalsRowLabel="Total" dataDxfId="1367" totalsRowDxfId="1366"/>
    <tableColumn id="2" xr3:uid="{00000000-0010-0000-1500-000002000000}" name="Budget" totalsRowFunction="sum" dataDxfId="1365" totalsRowDxfId="1364" dataCellStyle="Currency"/>
    <tableColumn id="3" xr3:uid="{00000000-0010-0000-1500-000003000000}" name="Actual" totalsRowFunction="sum" dataDxfId="1363" totalsRowDxfId="1362" dataCellStyle="Currency">
      <calculatedColumnFormula>SUMIFS(Table434[Amount],Table434[Category],Table1333[[#Headers],[Transportation]],Table434[Sub-Category],Table1333[[#This Row],[Transportation]])+SUMIFS(Table4440[Amount],Table4440[Category],Table1333[[#Headers],[Transportation]],Table4440[Sub-Category],Table1333[[#This Row],[Transportation]])</calculatedColumnFormula>
    </tableColumn>
    <tableColumn id="4" xr3:uid="{00000000-0010-0000-1500-000004000000}" name="Variance" totalsRowFunction="sum" dataDxfId="1361" totalsRowDxfId="1360" dataCellStyle="Currency">
      <calculatedColumnFormula>Table1333[[#This Row],[Budget]]-Table1333[[#This Row],[Actual]]</calculatedColumnFormula>
    </tableColumn>
  </tableColumns>
  <tableStyleInfo name="TableStyleLight20"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6000000}" name="Table434" displayName="Table434" ref="J18:O31" totalsRowShown="0" headerRowDxfId="1359" dataDxfId="1358">
  <autoFilter ref="J18:O31" xr:uid="{00000000-0009-0000-0100-000021000000}"/>
  <sortState xmlns:xlrd2="http://schemas.microsoft.com/office/spreadsheetml/2017/richdata2" ref="J19:O31">
    <sortCondition ref="M18:M31"/>
  </sortState>
  <tableColumns count="6">
    <tableColumn id="1" xr3:uid="{00000000-0010-0000-1600-000001000000}" name="Description" dataDxfId="1357" totalsRowDxfId="1356"/>
    <tableColumn id="2" xr3:uid="{00000000-0010-0000-1600-000002000000}" name="Category" dataDxfId="1355" totalsRowDxfId="1354"/>
    <tableColumn id="3" xr3:uid="{00000000-0010-0000-1600-000003000000}" name="Sub-Category" dataDxfId="1353" totalsRowDxfId="1352"/>
    <tableColumn id="4" xr3:uid="{00000000-0010-0000-1600-000004000000}" name="Date" dataDxfId="1351" totalsRowDxfId="1350"/>
    <tableColumn id="5" xr3:uid="{00000000-0010-0000-1600-000005000000}" name="Amount" dataDxfId="1349" totalsRowDxfId="1348" dataCellStyle="Currency"/>
    <tableColumn id="6" xr3:uid="{00000000-0010-0000-1600-000006000000}" name="Status" dataDxfId="1347" totalsRowDxfId="1346"/>
  </tableColumns>
  <tableStyleInfo name="TableStyleLight20"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7000000}" name="Table13635" displayName="Table13635" ref="C11:F16" totalsRowCount="1" headerRowDxfId="1345" dataDxfId="1344" totalsRowDxfId="1343">
  <autoFilter ref="C11:F15" xr:uid="{00000000-0009-0000-0100-000022000000}"/>
  <tableColumns count="4">
    <tableColumn id="1" xr3:uid="{00000000-0010-0000-1700-000001000000}" name="Income" totalsRowLabel="Total" dataDxfId="1342" totalsRowDxfId="1341"/>
    <tableColumn id="2" xr3:uid="{00000000-0010-0000-1700-000002000000}" name="Budget" totalsRowFunction="sum" dataDxfId="1340" totalsRowDxfId="1339" dataCellStyle="Currency"/>
    <tableColumn id="3" xr3:uid="{00000000-0010-0000-1700-000003000000}" name="Actual" totalsRowFunction="sum" dataDxfId="1338" totalsRowDxfId="1337" dataCellStyle="Currency">
      <calculatedColumnFormula>SUMIFS(Table442041[Amount],Table442041[Category],Table13635[[#Headers],[Income]],Table442041[Sub-Category],Table13635[[#This Row],[Income]])+SUMIFS(Table4440[Amount],Table4440[Category],Table13635[[#Headers],[Income]],Table4440[Sub-Category],Table13635[[#This Row],[Income]])</calculatedColumnFormula>
    </tableColumn>
    <tableColumn id="4" xr3:uid="{00000000-0010-0000-1700-000004000000}" name="Variance" totalsRowFunction="sum" dataDxfId="1336" totalsRowDxfId="1335" dataCellStyle="Currency">
      <calculatedColumnFormula>Table13635[[#This Row],[Actual]]-Table13635[[#This Row],[Budget]]</calculatedColumnFormula>
    </tableColumn>
  </tableColumns>
  <tableStyleInfo name="TableStyleLight20"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8000000}" name="Table13736" displayName="Table13736" ref="C49:F54" totalsRowCount="1" headerRowDxfId="1334" dataDxfId="1333" totalsRowDxfId="1332">
  <autoFilter ref="C49:F53" xr:uid="{00000000-0009-0000-0100-000023000000}"/>
  <tableColumns count="4">
    <tableColumn id="1" xr3:uid="{00000000-0010-0000-1800-000001000000}" name="Living" totalsRowLabel="Total" dataDxfId="1331" totalsRowDxfId="1330"/>
    <tableColumn id="2" xr3:uid="{00000000-0010-0000-1800-000002000000}" name="Budget" totalsRowFunction="sum" dataDxfId="1329" totalsRowDxfId="1328" dataCellStyle="Currency"/>
    <tableColumn id="3" xr3:uid="{00000000-0010-0000-1800-000003000000}" name="Actual" totalsRowFunction="sum" dataDxfId="1327" totalsRowDxfId="1326" dataCellStyle="Currency">
      <calculatedColumnFormula>SUMIFS(Table434[Amount],Table434[Category],Table13736[[#Headers],[Living]],Table434[Sub-Category],Table13736[[#This Row],[Living]])+SUMIFS(Table4440[Amount],Table4440[Category],Table13736[[#Headers],[Living]],Table4440[Sub-Category],Table13736[[#This Row],[Living]])</calculatedColumnFormula>
    </tableColumn>
    <tableColumn id="4" xr3:uid="{00000000-0010-0000-1800-000004000000}" name="Variance" totalsRowFunction="sum" dataDxfId="1325" totalsRowDxfId="1324" dataCellStyle="Currency">
      <calculatedColumnFormula>Table13736[[#This Row],[Budget]]-Table13736[[#This Row],[Actual]]</calculatedColumnFormula>
    </tableColumn>
  </tableColumns>
  <tableStyleInfo name="TableStyleLight20"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9000000}" name="Table13837" displayName="Table13837" ref="C57:F60" totalsRowCount="1" headerRowDxfId="1323" dataDxfId="1322" totalsRowDxfId="1321">
  <autoFilter ref="C57:F59" xr:uid="{00000000-0009-0000-0100-000024000000}"/>
  <tableColumns count="4">
    <tableColumn id="1" xr3:uid="{00000000-0010-0000-1900-000001000000}" name="Entertainment" totalsRowLabel="Total" dataDxfId="1320" totalsRowDxfId="1319"/>
    <tableColumn id="2" xr3:uid="{00000000-0010-0000-1900-000002000000}" name="Budget" totalsRowFunction="sum" dataDxfId="1318" totalsRowDxfId="1317" dataCellStyle="Currency"/>
    <tableColumn id="3" xr3:uid="{00000000-0010-0000-1900-000003000000}" name="Actual" totalsRowFunction="sum" dataDxfId="1316" totalsRowDxfId="1315" dataCellStyle="Currency">
      <calculatedColumnFormula>SUMIFS(Table434[Amount],Table434[Category],Table13837[[#Headers],[Entertainment]],Table434[Sub-Category],Table13837[[#This Row],[Entertainment]])+SUMIFS(Table4440[Amount],Table4440[Category],Table13837[[#Headers],[Entertainment]],Table4440[Sub-Category],Table13837[[#This Row],[Entertainment]])</calculatedColumnFormula>
    </tableColumn>
    <tableColumn id="4" xr3:uid="{00000000-0010-0000-1900-000004000000}" name="Variance" totalsRowFunction="sum" dataDxfId="1314" totalsRowDxfId="1313" dataCellStyle="Currency">
      <calculatedColumnFormula>Table13837[[#This Row],[Budget]]-Table13837[[#This Row],[Actual]]</calculatedColumnFormula>
    </tableColumn>
  </tableColumns>
  <tableStyleInfo name="TableStyleLight20"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A000000}" name="Table13938" displayName="Table13938" ref="C63:F66" totalsRowCount="1" headerRowDxfId="1312" dataDxfId="1311" totalsRowDxfId="1310">
  <autoFilter ref="C63:F65" xr:uid="{00000000-0009-0000-0100-000025000000}"/>
  <tableColumns count="4">
    <tableColumn id="1" xr3:uid="{00000000-0010-0000-1A00-000001000000}" name="Misc." totalsRowLabel="Total" dataDxfId="1309" totalsRowDxfId="1308"/>
    <tableColumn id="2" xr3:uid="{00000000-0010-0000-1A00-000002000000}" name="Budget" totalsRowFunction="sum" dataDxfId="1307" totalsRowDxfId="1306" dataCellStyle="Currency"/>
    <tableColumn id="3" xr3:uid="{00000000-0010-0000-1A00-000003000000}" name="Actual" totalsRowFunction="sum" dataDxfId="1305" totalsRowDxfId="1304" dataCellStyle="Currency">
      <calculatedColumnFormula>SUMIFS(Table434[Amount],Table434[Category],Table13938[[#Headers],[Misc.]],Table434[Sub-Category],Table13938[[#This Row],[Misc.]])+SUMIFS(Table4440[Amount],Table4440[Category],Table13938[[#Headers],[Misc.]],Table4440[Sub-Category],Table13938[[#This Row],[Misc.]])</calculatedColumnFormula>
    </tableColumn>
    <tableColumn id="4" xr3:uid="{00000000-0010-0000-1A00-000004000000}" name="Variance" totalsRowFunction="sum" dataDxfId="1303" totalsRowDxfId="1302" dataCellStyle="Currency">
      <calculatedColumnFormula>Table13938[[#This Row],[Budget]]-Table13938[[#This Row],[Actual]]</calculatedColumnFormula>
    </tableColumn>
  </tableColumns>
  <tableStyleInfo name="TableStyleLight20"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B000000}" name="Table1391039" displayName="Table1391039" ref="C40:F46" totalsRowCount="1" headerRowDxfId="1301" dataDxfId="1300" totalsRowDxfId="1299">
  <autoFilter ref="C40:F45" xr:uid="{00000000-0009-0000-0100-000026000000}"/>
  <tableColumns count="4">
    <tableColumn id="1" xr3:uid="{00000000-0010-0000-1B00-000001000000}" name="Bills" totalsRowLabel="Total" dataDxfId="1298" totalsRowDxfId="1297"/>
    <tableColumn id="2" xr3:uid="{00000000-0010-0000-1B00-000002000000}" name="Budget" totalsRowFunction="sum" dataDxfId="1296" totalsRowDxfId="1295" dataCellStyle="Currency"/>
    <tableColumn id="3" xr3:uid="{00000000-0010-0000-1B00-000003000000}" name="Actual" totalsRowFunction="sum" dataDxfId="1294" totalsRowDxfId="1293" dataCellStyle="Currency">
      <calculatedColumnFormula>SUMIFS(Table434[Amount],Table434[Category],Table1391039[[#Headers],[Bills]],Table434[Sub-Category],Table1391039[[#This Row],[Bills]])+SUMIFS(Table4440[Amount],Table4440[Category],Table1391039[[#Headers],[Bills]],Table4440[Sub-Category],Table1391039[[#This Row],[Bills]])</calculatedColumnFormula>
    </tableColumn>
    <tableColumn id="4" xr3:uid="{00000000-0010-0000-1B00-000004000000}" name="Variance" totalsRowFunction="sum" dataDxfId="1292" totalsRowDxfId="1291" dataCellStyle="Currency">
      <calculatedColumnFormula>Table1391039[[#This Row],[Budget]]-Table1391039[[#This Row],[Actual]]</calculatedColumnFormula>
    </tableColumn>
  </tableColumns>
  <tableStyleInfo name="TableStyleLight20"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C000000}" name="Table4440" displayName="Table4440" ref="J34:O40" totalsRowShown="0" headerRowDxfId="1290" dataDxfId="1289">
  <autoFilter ref="J34:O40" xr:uid="{00000000-0009-0000-0100-000027000000}"/>
  <tableColumns count="6">
    <tableColumn id="1" xr3:uid="{00000000-0010-0000-1C00-000001000000}" name="Description" dataDxfId="1288" totalsRowDxfId="1287"/>
    <tableColumn id="2" xr3:uid="{00000000-0010-0000-1C00-000002000000}" name="Category" dataDxfId="1286" totalsRowDxfId="1285"/>
    <tableColumn id="3" xr3:uid="{00000000-0010-0000-1C00-000003000000}" name="Sub-Category" dataDxfId="1284" totalsRowDxfId="1283"/>
    <tableColumn id="4" xr3:uid="{00000000-0010-0000-1C00-000004000000}" name="Date" dataDxfId="1282" totalsRowDxfId="1281"/>
    <tableColumn id="5" xr3:uid="{00000000-0010-0000-1C00-000005000000}" name="Amount" dataDxfId="1280" totalsRowDxfId="1279" dataCellStyle="Currency"/>
    <tableColumn id="6" xr3:uid="{00000000-0010-0000-1C00-000006000000}" name="Status" dataDxfId="1278" totalsRowDxfId="1277"/>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I18:N31" totalsRowShown="0" headerRowDxfId="1597" dataDxfId="1596">
  <autoFilter ref="I18:N31" xr:uid="{00000000-0009-0000-0100-000004000000}"/>
  <sortState xmlns:xlrd2="http://schemas.microsoft.com/office/spreadsheetml/2017/richdata2" ref="I19:N31">
    <sortCondition ref="L18:L31"/>
  </sortState>
  <tableColumns count="6">
    <tableColumn id="1" xr3:uid="{00000000-0010-0000-0200-000001000000}" name="Description" dataDxfId="1595" totalsRowDxfId="1594"/>
    <tableColumn id="2" xr3:uid="{00000000-0010-0000-0200-000002000000}" name="Category" dataDxfId="1593" totalsRowDxfId="1592"/>
    <tableColumn id="3" xr3:uid="{00000000-0010-0000-0200-000003000000}" name="Sub-Category" dataDxfId="1591" totalsRowDxfId="1590"/>
    <tableColumn id="4" xr3:uid="{00000000-0010-0000-0200-000004000000}" name="Date" dataDxfId="1589" totalsRowDxfId="1588"/>
    <tableColumn id="5" xr3:uid="{00000000-0010-0000-0200-000005000000}" name="Amount" dataDxfId="1587" totalsRowDxfId="1586" dataCellStyle="Currency"/>
    <tableColumn id="6" xr3:uid="{00000000-0010-0000-0200-000006000000}" name="Status" dataDxfId="1585" totalsRowDxfId="1584"/>
  </tableColumns>
  <tableStyleInfo name="TableStyleLight20"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D000000}" name="Table442041" displayName="Table442041" ref="J11:O15" totalsRowShown="0" headerRowDxfId="1276" dataDxfId="1275">
  <autoFilter ref="J11:O15" xr:uid="{00000000-0009-0000-0100-000028000000}"/>
  <sortState xmlns:xlrd2="http://schemas.microsoft.com/office/spreadsheetml/2017/richdata2" ref="J12:O15">
    <sortCondition ref="M11:M15"/>
  </sortState>
  <tableColumns count="6">
    <tableColumn id="1" xr3:uid="{00000000-0010-0000-1D00-000001000000}" name="Description" dataDxfId="1274" totalsRowDxfId="1273"/>
    <tableColumn id="2" xr3:uid="{00000000-0010-0000-1D00-000002000000}" name="Category" dataDxfId="1272" totalsRowDxfId="1271"/>
    <tableColumn id="3" xr3:uid="{00000000-0010-0000-1D00-000003000000}" name="Sub-Category" dataDxfId="1270" totalsRowDxfId="1269"/>
    <tableColumn id="4" xr3:uid="{00000000-0010-0000-1D00-000004000000}" name="Date" dataDxfId="1268" totalsRowDxfId="1267"/>
    <tableColumn id="5" xr3:uid="{00000000-0010-0000-1D00-000005000000}" name="Amount" dataDxfId="1266" totalsRowDxfId="1265" dataCellStyle="Currency"/>
    <tableColumn id="6" xr3:uid="{00000000-0010-0000-1D00-000006000000}" name="Status" dataDxfId="1264" totalsRowDxfId="1263"/>
  </tableColumns>
  <tableStyleInfo name="TableStyleLight20"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E000000}" name="Table142" displayName="Table142" ref="C19:F29" totalsRowCount="1" headerRowDxfId="1262" dataDxfId="1261" totalsRowDxfId="1260">
  <autoFilter ref="C19:F28" xr:uid="{00000000-0009-0000-0100-000029000000}"/>
  <tableColumns count="4">
    <tableColumn id="1" xr3:uid="{00000000-0010-0000-1E00-000001000000}" name="Housing" totalsRowLabel="Total" dataDxfId="1259" totalsRowDxfId="1258"/>
    <tableColumn id="2" xr3:uid="{00000000-0010-0000-1E00-000002000000}" name="Budget" totalsRowFunction="sum" dataDxfId="1257" totalsRowDxfId="1256" dataCellStyle="Currency"/>
    <tableColumn id="3" xr3:uid="{00000000-0010-0000-1E00-000003000000}" name="Actual" totalsRowFunction="sum" dataDxfId="1255" totalsRowDxfId="1254" dataCellStyle="Currency">
      <calculatedColumnFormula>SUMIFS(Table444[Amount],Table444[Category],Table142[[#Headers],[Housing]],Table444[Sub-Category],Table142[[#This Row],[Housing]])+SUMIFS(Table4450[Amount],Table4450[Category],Table142[[#Headers],[Housing]],Table4450[Sub-Category],Table142[[#This Row],[Housing]])</calculatedColumnFormula>
    </tableColumn>
    <tableColumn id="6" xr3:uid="{00000000-0010-0000-1E00-000006000000}" name="Variance" totalsRowFunction="sum" dataDxfId="1253" totalsRowDxfId="1252" dataCellStyle="Currency">
      <calculatedColumnFormula>Table142[[#This Row],[Budget]]-Table142[[#This Row],[Actual]]</calculatedColumnFormula>
    </tableColumn>
  </tableColumns>
  <tableStyleInfo name="TableStyleLight20"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F000000}" name="Table1343" displayName="Table1343" ref="C32:F37" totalsRowCount="1" headerRowDxfId="1251" dataDxfId="1250" totalsRowDxfId="1249">
  <autoFilter ref="C32:F36" xr:uid="{00000000-0009-0000-0100-00002A000000}"/>
  <tableColumns count="4">
    <tableColumn id="1" xr3:uid="{00000000-0010-0000-1F00-000001000000}" name="Transportation" totalsRowLabel="Total" dataDxfId="1248" totalsRowDxfId="1247"/>
    <tableColumn id="2" xr3:uid="{00000000-0010-0000-1F00-000002000000}" name="Budget" totalsRowFunction="sum" dataDxfId="1246" totalsRowDxfId="1245" dataCellStyle="Currency"/>
    <tableColumn id="3" xr3:uid="{00000000-0010-0000-1F00-000003000000}" name="Actual" totalsRowFunction="sum" dataDxfId="1244" totalsRowDxfId="1243" dataCellStyle="Currency">
      <calculatedColumnFormula>SUMIFS(Table444[Amount],Table444[Category],Table1343[[#Headers],[Transportation]],Table444[Sub-Category],Table1343[[#This Row],[Transportation]])+SUMIFS(Table4450[Amount],Table4450[Category],Table1343[[#Headers],[Transportation]],Table4450[Sub-Category],Table1343[[#This Row],[Transportation]])</calculatedColumnFormula>
    </tableColumn>
    <tableColumn id="4" xr3:uid="{00000000-0010-0000-1F00-000004000000}" name="Variance" totalsRowFunction="sum" dataDxfId="1242" totalsRowDxfId="1241" dataCellStyle="Currency">
      <calculatedColumnFormula>Table1343[[#This Row],[Budget]]-Table1343[[#This Row],[Actual]]</calculatedColumnFormula>
    </tableColumn>
  </tableColumns>
  <tableStyleInfo name="TableStyleLight20"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0000000}" name="Table444" displayName="Table444" ref="J18:O31" totalsRowShown="0" headerRowDxfId="1240" dataDxfId="1239">
  <autoFilter ref="J18:O31" xr:uid="{00000000-0009-0000-0100-00002B000000}"/>
  <sortState xmlns:xlrd2="http://schemas.microsoft.com/office/spreadsheetml/2017/richdata2" ref="J19:O31">
    <sortCondition ref="M18:M31"/>
  </sortState>
  <tableColumns count="6">
    <tableColumn id="1" xr3:uid="{00000000-0010-0000-2000-000001000000}" name="Description" dataDxfId="1238" totalsRowDxfId="1237"/>
    <tableColumn id="2" xr3:uid="{00000000-0010-0000-2000-000002000000}" name="Category" dataDxfId="1236" totalsRowDxfId="1235"/>
    <tableColumn id="3" xr3:uid="{00000000-0010-0000-2000-000003000000}" name="Sub-Category" dataDxfId="1234" totalsRowDxfId="1233"/>
    <tableColumn id="4" xr3:uid="{00000000-0010-0000-2000-000004000000}" name="Date" dataDxfId="1232" totalsRowDxfId="1231"/>
    <tableColumn id="5" xr3:uid="{00000000-0010-0000-2000-000005000000}" name="Amount" dataDxfId="1230" totalsRowDxfId="1229" dataCellStyle="Currency"/>
    <tableColumn id="6" xr3:uid="{00000000-0010-0000-2000-000006000000}" name="Status" dataDxfId="1228" totalsRowDxfId="1227"/>
  </tableColumns>
  <tableStyleInfo name="TableStyleLight20"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1000000}" name="Table13645" displayName="Table13645" ref="C11:F16" totalsRowCount="1" headerRowDxfId="1226" dataDxfId="1225" totalsRowDxfId="1224">
  <autoFilter ref="C11:F15" xr:uid="{00000000-0009-0000-0100-00002C000000}"/>
  <tableColumns count="4">
    <tableColumn id="1" xr3:uid="{00000000-0010-0000-2100-000001000000}" name="Income" totalsRowLabel="Total" dataDxfId="1223" totalsRowDxfId="1222"/>
    <tableColumn id="2" xr3:uid="{00000000-0010-0000-2100-000002000000}" name="Budget" totalsRowFunction="sum" dataDxfId="1221" totalsRowDxfId="1220" dataCellStyle="Currency"/>
    <tableColumn id="3" xr3:uid="{00000000-0010-0000-2100-000003000000}" name="Actual" totalsRowFunction="sum" dataDxfId="1219" totalsRowDxfId="1218" dataCellStyle="Currency">
      <calculatedColumnFormula>SUMIFS(Table442051[Amount],Table442051[Category],Table13645[[#Headers],[Income]],Table442051[Sub-Category],Table13645[[#This Row],[Income]])+SUMIFS(Table4450[Amount],Table4450[Category],Table13645[[#Headers],[Income]],Table4450[Sub-Category],Table13645[[#This Row],[Income]])</calculatedColumnFormula>
    </tableColumn>
    <tableColumn id="4" xr3:uid="{00000000-0010-0000-2100-000004000000}" name="Variance" totalsRowFunction="sum" dataDxfId="1217" totalsRowDxfId="1216" dataCellStyle="Currency">
      <calculatedColumnFormula>Table13645[[#This Row],[Actual]]-Table13645[[#This Row],[Budget]]</calculatedColumnFormula>
    </tableColumn>
  </tableColumns>
  <tableStyleInfo name="TableStyleLight20"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2000000}" name="Table13746" displayName="Table13746" ref="C49:F54" totalsRowCount="1" headerRowDxfId="1215" dataDxfId="1214" totalsRowDxfId="1213">
  <autoFilter ref="C49:F53" xr:uid="{00000000-0009-0000-0100-00002D000000}"/>
  <tableColumns count="4">
    <tableColumn id="1" xr3:uid="{00000000-0010-0000-2200-000001000000}" name="Living" totalsRowLabel="Total" dataDxfId="1212" totalsRowDxfId="1211"/>
    <tableColumn id="2" xr3:uid="{00000000-0010-0000-2200-000002000000}" name="Budget" totalsRowFunction="sum" dataDxfId="1210" totalsRowDxfId="1209" dataCellStyle="Currency"/>
    <tableColumn id="3" xr3:uid="{00000000-0010-0000-2200-000003000000}" name="Actual" totalsRowFunction="sum" dataDxfId="1208" totalsRowDxfId="1207" dataCellStyle="Currency">
      <calculatedColumnFormula>SUMIFS(Table444[Amount],Table444[Category],Table13746[[#Headers],[Living]],Table444[Sub-Category],Table13746[[#This Row],[Living]])+SUMIFS(Table4450[Amount],Table4450[Category],Table13746[[#Headers],[Living]],Table4450[Sub-Category],Table13746[[#This Row],[Living]])</calculatedColumnFormula>
    </tableColumn>
    <tableColumn id="4" xr3:uid="{00000000-0010-0000-2200-000004000000}" name="Variance" totalsRowFunction="sum" dataDxfId="1206" totalsRowDxfId="1205" dataCellStyle="Currency">
      <calculatedColumnFormula>Table13746[[#This Row],[Budget]]-Table13746[[#This Row],[Actual]]</calculatedColumnFormula>
    </tableColumn>
  </tableColumns>
  <tableStyleInfo name="TableStyleLight20"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3000000}" name="Table13847" displayName="Table13847" ref="C57:F60" totalsRowCount="1" headerRowDxfId="1204" dataDxfId="1203" totalsRowDxfId="1202">
  <autoFilter ref="C57:F59" xr:uid="{00000000-0009-0000-0100-00002E000000}"/>
  <tableColumns count="4">
    <tableColumn id="1" xr3:uid="{00000000-0010-0000-2300-000001000000}" name="Entertainment" totalsRowLabel="Total" dataDxfId="1201" totalsRowDxfId="1200"/>
    <tableColumn id="2" xr3:uid="{00000000-0010-0000-2300-000002000000}" name="Budget" totalsRowFunction="sum" dataDxfId="1199" totalsRowDxfId="1198" dataCellStyle="Currency"/>
    <tableColumn id="3" xr3:uid="{00000000-0010-0000-2300-000003000000}" name="Actual" totalsRowFunction="sum" dataDxfId="1197" totalsRowDxfId="1196" dataCellStyle="Currency">
      <calculatedColumnFormula>SUMIFS(Table444[Amount],Table444[Category],Table13847[[#Headers],[Entertainment]],Table444[Sub-Category],Table13847[[#This Row],[Entertainment]])+SUMIFS(Table4450[Amount],Table4450[Category],Table13847[[#Headers],[Entertainment]],Table4450[Sub-Category],Table13847[[#This Row],[Entertainment]])</calculatedColumnFormula>
    </tableColumn>
    <tableColumn id="4" xr3:uid="{00000000-0010-0000-2300-000004000000}" name="Variance" totalsRowFunction="sum" dataDxfId="1195" totalsRowDxfId="1194" dataCellStyle="Currency">
      <calculatedColumnFormula>Table13847[[#This Row],[Budget]]-Table13847[[#This Row],[Actual]]</calculatedColumnFormula>
    </tableColumn>
  </tableColumns>
  <tableStyleInfo name="TableStyleLight20"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4000000}" name="Table13948" displayName="Table13948" ref="C63:F66" totalsRowCount="1" headerRowDxfId="1193" dataDxfId="1192" totalsRowDxfId="1191">
  <autoFilter ref="C63:F65" xr:uid="{00000000-0009-0000-0100-00002F000000}"/>
  <tableColumns count="4">
    <tableColumn id="1" xr3:uid="{00000000-0010-0000-2400-000001000000}" name="Misc." totalsRowLabel="Total" dataDxfId="1190" totalsRowDxfId="1189"/>
    <tableColumn id="2" xr3:uid="{00000000-0010-0000-2400-000002000000}" name="Budget" totalsRowFunction="sum" dataDxfId="1188" totalsRowDxfId="1187" dataCellStyle="Currency"/>
    <tableColumn id="3" xr3:uid="{00000000-0010-0000-2400-000003000000}" name="Actual" totalsRowFunction="sum" dataDxfId="1186" totalsRowDxfId="1185" dataCellStyle="Currency">
      <calculatedColumnFormula>SUMIFS(Table444[Amount],Table444[Category],Table13948[[#Headers],[Misc.]],Table444[Sub-Category],Table13948[[#This Row],[Misc.]])+SUMIFS(Table4450[Amount],Table4450[Category],Table13948[[#Headers],[Misc.]],Table4450[Sub-Category],Table13948[[#This Row],[Misc.]])</calculatedColumnFormula>
    </tableColumn>
    <tableColumn id="4" xr3:uid="{00000000-0010-0000-2400-000004000000}" name="Variance" totalsRowFunction="sum" dataDxfId="1184" totalsRowDxfId="1183" dataCellStyle="Currency">
      <calculatedColumnFormula>Table13948[[#This Row],[Budget]]-Table13948[[#This Row],[Actual]]</calculatedColumnFormula>
    </tableColumn>
  </tableColumns>
  <tableStyleInfo name="TableStyleLight20"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5000000}" name="Table1391049" displayName="Table1391049" ref="C40:F46" totalsRowCount="1" headerRowDxfId="1182" dataDxfId="1181" totalsRowDxfId="1180">
  <autoFilter ref="C40:F45" xr:uid="{00000000-0009-0000-0100-000030000000}"/>
  <tableColumns count="4">
    <tableColumn id="1" xr3:uid="{00000000-0010-0000-2500-000001000000}" name="Bills" totalsRowLabel="Total" dataDxfId="1179" totalsRowDxfId="1178"/>
    <tableColumn id="2" xr3:uid="{00000000-0010-0000-2500-000002000000}" name="Budget" totalsRowFunction="sum" dataDxfId="1177" totalsRowDxfId="1176" dataCellStyle="Currency"/>
    <tableColumn id="3" xr3:uid="{00000000-0010-0000-2500-000003000000}" name="Actual" totalsRowFunction="sum" dataDxfId="1175" totalsRowDxfId="1174" dataCellStyle="Currency">
      <calculatedColumnFormula>SUMIFS(Table444[Amount],Table444[Category],Table1391049[[#Headers],[Bills]],Table444[Sub-Category],Table1391049[[#This Row],[Bills]])+SUMIFS(Table4450[Amount],Table4450[Category],Table1391049[[#Headers],[Bills]],Table4450[Sub-Category],Table1391049[[#This Row],[Bills]])</calculatedColumnFormula>
    </tableColumn>
    <tableColumn id="4" xr3:uid="{00000000-0010-0000-2500-000004000000}" name="Variance" totalsRowFunction="sum" dataDxfId="1173" totalsRowDxfId="1172" dataCellStyle="Currency">
      <calculatedColumnFormula>Table1391049[[#This Row],[Budget]]-Table1391049[[#This Row],[Actual]]</calculatedColumnFormula>
    </tableColumn>
  </tableColumns>
  <tableStyleInfo name="TableStyleLight20"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6000000}" name="Table4450" displayName="Table4450" ref="J34:O40" totalsRowShown="0" headerRowDxfId="1171" dataDxfId="1170">
  <autoFilter ref="J34:O40" xr:uid="{00000000-0009-0000-0100-000031000000}"/>
  <tableColumns count="6">
    <tableColumn id="1" xr3:uid="{00000000-0010-0000-2600-000001000000}" name="Description" dataDxfId="1169" totalsRowDxfId="1168"/>
    <tableColumn id="2" xr3:uid="{00000000-0010-0000-2600-000002000000}" name="Category" dataDxfId="1167" totalsRowDxfId="1166"/>
    <tableColumn id="3" xr3:uid="{00000000-0010-0000-2600-000003000000}" name="Sub-Category" dataDxfId="1165" totalsRowDxfId="1164"/>
    <tableColumn id="4" xr3:uid="{00000000-0010-0000-2600-000004000000}" name="Date" dataDxfId="1163" totalsRowDxfId="1162"/>
    <tableColumn id="5" xr3:uid="{00000000-0010-0000-2600-000005000000}" name="Amount" dataDxfId="1161" totalsRowDxfId="1160" dataCellStyle="Currency"/>
    <tableColumn id="6" xr3:uid="{00000000-0010-0000-2600-000006000000}" name="Status" dataDxfId="1159" totalsRowDxfId="1158"/>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36" displayName="Table136" ref="B11:E16" totalsRowCount="1" headerRowDxfId="1583" dataDxfId="1582" totalsRowDxfId="1581">
  <autoFilter ref="B11:E15" xr:uid="{00000000-0009-0000-0100-000005000000}"/>
  <tableColumns count="4">
    <tableColumn id="1" xr3:uid="{00000000-0010-0000-0300-000001000000}" name="Income" totalsRowLabel="Total" dataDxfId="1580" totalsRowDxfId="1579"/>
    <tableColumn id="2" xr3:uid="{00000000-0010-0000-0300-000002000000}" name="Budget" totalsRowFunction="sum" dataDxfId="1578" totalsRowDxfId="1577" dataCellStyle="Currency"/>
    <tableColumn id="3" xr3:uid="{00000000-0010-0000-0300-000003000000}" name="Actual" totalsRowFunction="sum" dataDxfId="1576" totalsRowDxfId="1575" dataCellStyle="Currency">
      <calculatedColumnFormula>SUMIFS(Table4420[Amount],Table4420[Category],Table136[[#Headers],[Income]],Table4420[Sub-Category],Table136[[#This Row],[Income]])+SUMIFS(Table44[Amount],Table44[Category],Table136[[#Headers],[Income]],Table44[Sub-Category],Table136[[#This Row],[Income]])</calculatedColumnFormula>
    </tableColumn>
    <tableColumn id="4" xr3:uid="{00000000-0010-0000-0300-000004000000}" name="Variance" totalsRowFunction="sum" dataDxfId="1574" totalsRowDxfId="1573" dataCellStyle="Currency">
      <calculatedColumnFormula>Table136[[#This Row],[Actual]]-Table136[[#This Row],[Budget]]</calculatedColumnFormula>
    </tableColumn>
  </tableColumns>
  <tableStyleInfo name="TableStyleLight20"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27000000}" name="Table442051" displayName="Table442051" ref="J11:O15" totalsRowShown="0" headerRowDxfId="1157" dataDxfId="1156">
  <autoFilter ref="J11:O15" xr:uid="{00000000-0009-0000-0100-000032000000}"/>
  <sortState xmlns:xlrd2="http://schemas.microsoft.com/office/spreadsheetml/2017/richdata2" ref="J12:O15">
    <sortCondition ref="M11:M15"/>
  </sortState>
  <tableColumns count="6">
    <tableColumn id="1" xr3:uid="{00000000-0010-0000-2700-000001000000}" name="Description" dataDxfId="1155" totalsRowDxfId="1154"/>
    <tableColumn id="2" xr3:uid="{00000000-0010-0000-2700-000002000000}" name="Category" dataDxfId="1153" totalsRowDxfId="1152"/>
    <tableColumn id="3" xr3:uid="{00000000-0010-0000-2700-000003000000}" name="Sub-Category" dataDxfId="1151" totalsRowDxfId="1150"/>
    <tableColumn id="4" xr3:uid="{00000000-0010-0000-2700-000004000000}" name="Date" dataDxfId="1149" totalsRowDxfId="1148"/>
    <tableColumn id="5" xr3:uid="{00000000-0010-0000-2700-000005000000}" name="Amount" dataDxfId="1147" totalsRowDxfId="1146" dataCellStyle="Currency"/>
    <tableColumn id="6" xr3:uid="{00000000-0010-0000-2700-000006000000}" name="Status" dataDxfId="1145" totalsRowDxfId="1144"/>
  </tableColumns>
  <tableStyleInfo name="TableStyleLight20"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28000000}" name="Table152" displayName="Table152" ref="C19:F29" totalsRowCount="1" headerRowDxfId="1143" dataDxfId="1142" totalsRowDxfId="1141">
  <autoFilter ref="C19:F28" xr:uid="{00000000-0009-0000-0100-000033000000}"/>
  <tableColumns count="4">
    <tableColumn id="1" xr3:uid="{00000000-0010-0000-2800-000001000000}" name="Housing" totalsRowLabel="Total" dataDxfId="1140" totalsRowDxfId="1139"/>
    <tableColumn id="2" xr3:uid="{00000000-0010-0000-2800-000002000000}" name="Budget" totalsRowFunction="sum" dataDxfId="1138" totalsRowDxfId="1137" dataCellStyle="Currency"/>
    <tableColumn id="3" xr3:uid="{00000000-0010-0000-2800-000003000000}" name="Actual" totalsRowFunction="sum" dataDxfId="1136" totalsRowDxfId="1135" dataCellStyle="Currency">
      <calculatedColumnFormula>SUMIFS(Table454[Amount],Table454[Category],Table152[[#Headers],[Housing]],Table454[Sub-Category],Table152[[#This Row],[Housing]])+SUMIFS(Table4460[Amount],Table4460[Category],Table152[[#Headers],[Housing]],Table4460[Sub-Category],Table152[[#This Row],[Housing]])</calculatedColumnFormula>
    </tableColumn>
    <tableColumn id="6" xr3:uid="{00000000-0010-0000-2800-000006000000}" name="Variance" totalsRowFunction="sum" dataDxfId="1134" totalsRowDxfId="1133" dataCellStyle="Currency">
      <calculatedColumnFormula>Table152[[#This Row],[Budget]]-Table152[[#This Row],[Actual]]</calculatedColumnFormula>
    </tableColumn>
  </tableColumns>
  <tableStyleInfo name="TableStyleLight20"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29000000}" name="Table1353" displayName="Table1353" ref="C32:F37" totalsRowCount="1" headerRowDxfId="1132" dataDxfId="1131" totalsRowDxfId="1130">
  <autoFilter ref="C32:F36" xr:uid="{00000000-0009-0000-0100-000034000000}"/>
  <tableColumns count="4">
    <tableColumn id="1" xr3:uid="{00000000-0010-0000-2900-000001000000}" name="Transportation" totalsRowLabel="Total" dataDxfId="1129" totalsRowDxfId="1128"/>
    <tableColumn id="2" xr3:uid="{00000000-0010-0000-2900-000002000000}" name="Budget" totalsRowFunction="sum" dataDxfId="1127" totalsRowDxfId="1126" dataCellStyle="Currency"/>
    <tableColumn id="3" xr3:uid="{00000000-0010-0000-2900-000003000000}" name="Actual" totalsRowFunction="sum" dataDxfId="1125" totalsRowDxfId="1124" dataCellStyle="Currency">
      <calculatedColumnFormula>SUMIFS(Table454[Amount],Table454[Category],Table1353[[#Headers],[Transportation]],Table454[Sub-Category],Table1353[[#This Row],[Transportation]])+SUMIFS(Table4460[Amount],Table4460[Category],Table1353[[#Headers],[Transportation]],Table4460[Sub-Category],Table1353[[#This Row],[Transportation]])</calculatedColumnFormula>
    </tableColumn>
    <tableColumn id="4" xr3:uid="{00000000-0010-0000-2900-000004000000}" name="Variance" totalsRowFunction="sum" dataDxfId="1123" totalsRowDxfId="1122" dataCellStyle="Currency">
      <calculatedColumnFormula>Table1353[[#This Row],[Budget]]-Table1353[[#This Row],[Actual]]</calculatedColumnFormula>
    </tableColumn>
  </tableColumns>
  <tableStyleInfo name="TableStyleLight20"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2A000000}" name="Table454" displayName="Table454" ref="J18:O31" totalsRowShown="0" headerRowDxfId="1121" dataDxfId="1120">
  <autoFilter ref="J18:O31" xr:uid="{00000000-0009-0000-0100-000035000000}"/>
  <sortState xmlns:xlrd2="http://schemas.microsoft.com/office/spreadsheetml/2017/richdata2" ref="J19:O31">
    <sortCondition ref="M18:M31"/>
  </sortState>
  <tableColumns count="6">
    <tableColumn id="1" xr3:uid="{00000000-0010-0000-2A00-000001000000}" name="Description" dataDxfId="1119" totalsRowDxfId="1118"/>
    <tableColumn id="2" xr3:uid="{00000000-0010-0000-2A00-000002000000}" name="Category" dataDxfId="1117" totalsRowDxfId="1116"/>
    <tableColumn id="3" xr3:uid="{00000000-0010-0000-2A00-000003000000}" name="Sub-Category" dataDxfId="1115" totalsRowDxfId="1114"/>
    <tableColumn id="4" xr3:uid="{00000000-0010-0000-2A00-000004000000}" name="Date" dataDxfId="1113" totalsRowDxfId="1112"/>
    <tableColumn id="5" xr3:uid="{00000000-0010-0000-2A00-000005000000}" name="Amount" dataDxfId="1111" totalsRowDxfId="1110" dataCellStyle="Currency"/>
    <tableColumn id="6" xr3:uid="{00000000-0010-0000-2A00-000006000000}" name="Status" dataDxfId="1109" totalsRowDxfId="1108"/>
  </tableColumns>
  <tableStyleInfo name="TableStyleLight20"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2B000000}" name="Table13655" displayName="Table13655" ref="C11:F16" totalsRowCount="1" headerRowDxfId="1107" dataDxfId="1106" totalsRowDxfId="1105">
  <autoFilter ref="C11:F15" xr:uid="{00000000-0009-0000-0100-000036000000}"/>
  <tableColumns count="4">
    <tableColumn id="1" xr3:uid="{00000000-0010-0000-2B00-000001000000}" name="Income" totalsRowLabel="Total" dataDxfId="1104" totalsRowDxfId="1103"/>
    <tableColumn id="2" xr3:uid="{00000000-0010-0000-2B00-000002000000}" name="Budget" totalsRowFunction="sum" dataDxfId="1102" totalsRowDxfId="1101" dataCellStyle="Currency"/>
    <tableColumn id="3" xr3:uid="{00000000-0010-0000-2B00-000003000000}" name="Actual" totalsRowFunction="sum" dataDxfId="1100" totalsRowDxfId="1099" dataCellStyle="Currency">
      <calculatedColumnFormula>SUMIFS(Table442061[Amount],Table442061[Category],Table13655[[#Headers],[Income]],Table442061[Sub-Category],Table13655[[#This Row],[Income]])+SUMIFS(Table4460[Amount],Table4460[Category],Table13655[[#Headers],[Income]],Table4460[Sub-Category],Table13655[[#This Row],[Income]])</calculatedColumnFormula>
    </tableColumn>
    <tableColumn id="4" xr3:uid="{00000000-0010-0000-2B00-000004000000}" name="Variance" totalsRowFunction="sum" dataDxfId="1098" totalsRowDxfId="1097" dataCellStyle="Currency">
      <calculatedColumnFormula>Table13655[[#This Row],[Actual]]-Table13655[[#This Row],[Budget]]</calculatedColumnFormula>
    </tableColumn>
  </tableColumns>
  <tableStyleInfo name="TableStyleLight20"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2C000000}" name="Table13756" displayName="Table13756" ref="C49:F54" totalsRowCount="1" headerRowDxfId="1096" dataDxfId="1095" totalsRowDxfId="1094">
  <autoFilter ref="C49:F53" xr:uid="{00000000-0009-0000-0100-000037000000}"/>
  <tableColumns count="4">
    <tableColumn id="1" xr3:uid="{00000000-0010-0000-2C00-000001000000}" name="Living" totalsRowLabel="Total" dataDxfId="1093" totalsRowDxfId="1092"/>
    <tableColumn id="2" xr3:uid="{00000000-0010-0000-2C00-000002000000}" name="Budget" totalsRowFunction="sum" dataDxfId="1091" totalsRowDxfId="1090" dataCellStyle="Currency"/>
    <tableColumn id="3" xr3:uid="{00000000-0010-0000-2C00-000003000000}" name="Actual" totalsRowFunction="sum" dataDxfId="1089" totalsRowDxfId="1088" dataCellStyle="Currency">
      <calculatedColumnFormula>SUMIFS(Table454[Amount],Table454[Category],Table13756[[#Headers],[Living]],Table454[Sub-Category],Table13756[[#This Row],[Living]])+SUMIFS(Table4460[Amount],Table4460[Category],Table13756[[#Headers],[Living]],Table4460[Sub-Category],Table13756[[#This Row],[Living]])</calculatedColumnFormula>
    </tableColumn>
    <tableColumn id="4" xr3:uid="{00000000-0010-0000-2C00-000004000000}" name="Variance" totalsRowFunction="sum" dataDxfId="1087" totalsRowDxfId="1086" dataCellStyle="Currency">
      <calculatedColumnFormula>Table13756[[#This Row],[Budget]]-Table13756[[#This Row],[Actual]]</calculatedColumnFormula>
    </tableColumn>
  </tableColumns>
  <tableStyleInfo name="TableStyleLight20"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2D000000}" name="Table13857" displayName="Table13857" ref="C57:F60" totalsRowCount="1" headerRowDxfId="1085" dataDxfId="1084" totalsRowDxfId="1083">
  <autoFilter ref="C57:F59" xr:uid="{00000000-0009-0000-0100-000038000000}"/>
  <tableColumns count="4">
    <tableColumn id="1" xr3:uid="{00000000-0010-0000-2D00-000001000000}" name="Entertainment" totalsRowLabel="Total" dataDxfId="1082" totalsRowDxfId="1081"/>
    <tableColumn id="2" xr3:uid="{00000000-0010-0000-2D00-000002000000}" name="Budget" totalsRowFunction="sum" dataDxfId="1080" totalsRowDxfId="1079" dataCellStyle="Currency"/>
    <tableColumn id="3" xr3:uid="{00000000-0010-0000-2D00-000003000000}" name="Actual" totalsRowFunction="sum" dataDxfId="1078" totalsRowDxfId="1077" dataCellStyle="Currency">
      <calculatedColumnFormula>SUMIFS(Table454[Amount],Table454[Category],Table13857[[#Headers],[Entertainment]],Table454[Sub-Category],Table13857[[#This Row],[Entertainment]])+SUMIFS(Table4460[Amount],Table4460[Category],Table13857[[#Headers],[Entertainment]],Table4460[Sub-Category],Table13857[[#This Row],[Entertainment]])</calculatedColumnFormula>
    </tableColumn>
    <tableColumn id="4" xr3:uid="{00000000-0010-0000-2D00-000004000000}" name="Variance" totalsRowFunction="sum" dataDxfId="1076" totalsRowDxfId="1075" dataCellStyle="Currency">
      <calculatedColumnFormula>Table13857[[#This Row],[Budget]]-Table13857[[#This Row],[Actual]]</calculatedColumnFormula>
    </tableColumn>
  </tableColumns>
  <tableStyleInfo name="TableStyleLight20"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2E000000}" name="Table13958" displayName="Table13958" ref="C63:F66" totalsRowCount="1" headerRowDxfId="1074" dataDxfId="1073" totalsRowDxfId="1072">
  <autoFilter ref="C63:F65" xr:uid="{00000000-0009-0000-0100-000039000000}"/>
  <tableColumns count="4">
    <tableColumn id="1" xr3:uid="{00000000-0010-0000-2E00-000001000000}" name="Misc." totalsRowLabel="Total" dataDxfId="1071" totalsRowDxfId="1070"/>
    <tableColumn id="2" xr3:uid="{00000000-0010-0000-2E00-000002000000}" name="Budget" totalsRowFunction="sum" dataDxfId="1069" totalsRowDxfId="1068" dataCellStyle="Currency"/>
    <tableColumn id="3" xr3:uid="{00000000-0010-0000-2E00-000003000000}" name="Actual" totalsRowFunction="sum" dataDxfId="1067" totalsRowDxfId="1066" dataCellStyle="Currency">
      <calculatedColumnFormula>SUMIFS(Table454[Amount],Table454[Category],Table13958[[#Headers],[Misc.]],Table454[Sub-Category],Table13958[[#This Row],[Misc.]])+SUMIFS(Table4460[Amount],Table4460[Category],Table13958[[#Headers],[Misc.]],Table4460[Sub-Category],Table13958[[#This Row],[Misc.]])</calculatedColumnFormula>
    </tableColumn>
    <tableColumn id="4" xr3:uid="{00000000-0010-0000-2E00-000004000000}" name="Variance" totalsRowFunction="sum" dataDxfId="1065" totalsRowDxfId="1064" dataCellStyle="Currency">
      <calculatedColumnFormula>Table13958[[#This Row],[Budget]]-Table13958[[#This Row],[Actual]]</calculatedColumnFormula>
    </tableColumn>
  </tableColumns>
  <tableStyleInfo name="TableStyleLight20"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2F000000}" name="Table1391059" displayName="Table1391059" ref="C40:F46" totalsRowCount="1" headerRowDxfId="1063" dataDxfId="1062" totalsRowDxfId="1061">
  <autoFilter ref="C40:F45" xr:uid="{00000000-0009-0000-0100-00003A000000}"/>
  <tableColumns count="4">
    <tableColumn id="1" xr3:uid="{00000000-0010-0000-2F00-000001000000}" name="Bills" totalsRowLabel="Total" dataDxfId="1060" totalsRowDxfId="1059"/>
    <tableColumn id="2" xr3:uid="{00000000-0010-0000-2F00-000002000000}" name="Budget" totalsRowFunction="sum" dataDxfId="1058" totalsRowDxfId="1057" dataCellStyle="Currency"/>
    <tableColumn id="3" xr3:uid="{00000000-0010-0000-2F00-000003000000}" name="Actual" totalsRowFunction="sum" dataDxfId="1056" totalsRowDxfId="1055" dataCellStyle="Currency">
      <calculatedColumnFormula>SUMIFS(Table454[Amount],Table454[Category],Table1391059[[#Headers],[Bills]],Table454[Sub-Category],Table1391059[[#This Row],[Bills]])+SUMIFS(Table4460[Amount],Table4460[Category],Table1391059[[#Headers],[Bills]],Table4460[Sub-Category],Table1391059[[#This Row],[Bills]])</calculatedColumnFormula>
    </tableColumn>
    <tableColumn id="4" xr3:uid="{00000000-0010-0000-2F00-000004000000}" name="Variance" totalsRowFunction="sum" dataDxfId="1054" totalsRowDxfId="1053" dataCellStyle="Currency">
      <calculatedColumnFormula>Table1391059[[#This Row],[Budget]]-Table1391059[[#This Row],[Actual]]</calculatedColumnFormula>
    </tableColumn>
  </tableColumns>
  <tableStyleInfo name="TableStyleLight20"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0000000}" name="Table4460" displayName="Table4460" ref="J34:O40" totalsRowShown="0" headerRowDxfId="1052" dataDxfId="1051">
  <autoFilter ref="J34:O40" xr:uid="{00000000-0009-0000-0100-00003B000000}"/>
  <tableColumns count="6">
    <tableColumn id="1" xr3:uid="{00000000-0010-0000-3000-000001000000}" name="Description" dataDxfId="1050" totalsRowDxfId="1049"/>
    <tableColumn id="2" xr3:uid="{00000000-0010-0000-3000-000002000000}" name="Category" dataDxfId="1048" totalsRowDxfId="1047"/>
    <tableColumn id="3" xr3:uid="{00000000-0010-0000-3000-000003000000}" name="Sub-Category" dataDxfId="1046" totalsRowDxfId="1045"/>
    <tableColumn id="4" xr3:uid="{00000000-0010-0000-3000-000004000000}" name="Date" dataDxfId="1044" totalsRowDxfId="1043"/>
    <tableColumn id="5" xr3:uid="{00000000-0010-0000-3000-000005000000}" name="Amount" dataDxfId="1042" totalsRowDxfId="1041" dataCellStyle="Currency"/>
    <tableColumn id="6" xr3:uid="{00000000-0010-0000-3000-000006000000}" name="Status" dataDxfId="1040" totalsRowDxfId="1039"/>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137" displayName="Table137" ref="B49:E54" totalsRowCount="1" headerRowDxfId="1572" dataDxfId="1571" totalsRowDxfId="1570">
  <autoFilter ref="B49:E53" xr:uid="{00000000-0009-0000-0100-000006000000}"/>
  <tableColumns count="4">
    <tableColumn id="1" xr3:uid="{00000000-0010-0000-0400-000001000000}" name="Living" totalsRowLabel="Total" dataDxfId="1569" totalsRowDxfId="1568"/>
    <tableColumn id="2" xr3:uid="{00000000-0010-0000-0400-000002000000}" name="Budget" totalsRowFunction="sum" dataDxfId="1567" totalsRowDxfId="1566" dataCellStyle="Currency"/>
    <tableColumn id="3" xr3:uid="{00000000-0010-0000-0400-000003000000}" name="Actual" totalsRowFunction="sum" dataDxfId="1565" totalsRowDxfId="1564" dataCellStyle="Currency">
      <calculatedColumnFormula>SUMIFS(Table4[Amount],Table4[Category],Table137[[#Headers],[Living]],Table4[Sub-Category],Table137[[#This Row],[Living]])+SUMIFS(Table44[Amount],Table44[Category],Table137[[#Headers],[Living]],Table44[Sub-Category],Table137[[#This Row],[Living]])</calculatedColumnFormula>
    </tableColumn>
    <tableColumn id="4" xr3:uid="{00000000-0010-0000-0400-000004000000}" name="Variance" totalsRowFunction="sum" dataDxfId="1563" totalsRowDxfId="1562" dataCellStyle="Currency">
      <calculatedColumnFormula>Table137[[#This Row],[Budget]]-Table137[[#This Row],[Actual]]</calculatedColumnFormula>
    </tableColumn>
  </tableColumns>
  <tableStyleInfo name="TableStyleLight20"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1000000}" name="Table442061" displayName="Table442061" ref="J11:O15" totalsRowShown="0" headerRowDxfId="1038" dataDxfId="1037">
  <autoFilter ref="J11:O15" xr:uid="{00000000-0009-0000-0100-00003C000000}"/>
  <sortState xmlns:xlrd2="http://schemas.microsoft.com/office/spreadsheetml/2017/richdata2" ref="J12:O15">
    <sortCondition ref="M11:M15"/>
  </sortState>
  <tableColumns count="6">
    <tableColumn id="1" xr3:uid="{00000000-0010-0000-3100-000001000000}" name="Description" dataDxfId="1036" totalsRowDxfId="1035"/>
    <tableColumn id="2" xr3:uid="{00000000-0010-0000-3100-000002000000}" name="Category" dataDxfId="1034" totalsRowDxfId="1033"/>
    <tableColumn id="3" xr3:uid="{00000000-0010-0000-3100-000003000000}" name="Sub-Category" dataDxfId="1032" totalsRowDxfId="1031"/>
    <tableColumn id="4" xr3:uid="{00000000-0010-0000-3100-000004000000}" name="Date" dataDxfId="1030" totalsRowDxfId="1029"/>
    <tableColumn id="5" xr3:uid="{00000000-0010-0000-3100-000005000000}" name="Amount" dataDxfId="1028" totalsRowDxfId="1027" dataCellStyle="Currency"/>
    <tableColumn id="6" xr3:uid="{00000000-0010-0000-3100-000006000000}" name="Status" dataDxfId="1026" totalsRowDxfId="1025"/>
  </tableColumns>
  <tableStyleInfo name="TableStyleLight20"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2000000}" name="Table162" displayName="Table162" ref="C19:F29" totalsRowCount="1" headerRowDxfId="1024" dataDxfId="1023" totalsRowDxfId="1022">
  <autoFilter ref="C19:F28" xr:uid="{00000000-0009-0000-0100-00003D000000}"/>
  <tableColumns count="4">
    <tableColumn id="1" xr3:uid="{00000000-0010-0000-3200-000001000000}" name="Housing" totalsRowLabel="Total" dataDxfId="1021" totalsRowDxfId="1020"/>
    <tableColumn id="2" xr3:uid="{00000000-0010-0000-3200-000002000000}" name="Budget" totalsRowFunction="sum" dataDxfId="1019" totalsRowDxfId="1018" dataCellStyle="Currency"/>
    <tableColumn id="3" xr3:uid="{00000000-0010-0000-3200-000003000000}" name="Actual" totalsRowFunction="sum" dataDxfId="1017" totalsRowDxfId="1016" dataCellStyle="Currency">
      <calculatedColumnFormula>SUMIFS(Table464[Amount],Table464[Category],Table162[[#Headers],[Housing]],Table464[Sub-Category],Table162[[#This Row],[Housing]])+SUMIFS(Table4470[Amount],Table4470[Category],Table162[[#Headers],[Housing]],Table4470[Sub-Category],Table162[[#This Row],[Housing]])</calculatedColumnFormula>
    </tableColumn>
    <tableColumn id="6" xr3:uid="{00000000-0010-0000-3200-000006000000}" name="Variance" totalsRowFunction="sum" dataDxfId="1015" totalsRowDxfId="1014" dataCellStyle="Currency">
      <calculatedColumnFormula>Table162[[#This Row],[Budget]]-Table162[[#This Row],[Actual]]</calculatedColumnFormula>
    </tableColumn>
  </tableColumns>
  <tableStyleInfo name="TableStyleLight20"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3000000}" name="Table1363" displayName="Table1363" ref="C32:F37" totalsRowCount="1" headerRowDxfId="1013" dataDxfId="1012" totalsRowDxfId="1011">
  <autoFilter ref="C32:F36" xr:uid="{00000000-0009-0000-0100-00003E000000}"/>
  <tableColumns count="4">
    <tableColumn id="1" xr3:uid="{00000000-0010-0000-3300-000001000000}" name="Transportation" totalsRowLabel="Total" dataDxfId="1010" totalsRowDxfId="1009"/>
    <tableColumn id="2" xr3:uid="{00000000-0010-0000-3300-000002000000}" name="Budget" totalsRowFunction="sum" dataDxfId="1008" totalsRowDxfId="1007" dataCellStyle="Currency"/>
    <tableColumn id="3" xr3:uid="{00000000-0010-0000-3300-000003000000}" name="Actual" totalsRowFunction="sum" dataDxfId="1006" totalsRowDxfId="1005" dataCellStyle="Currency">
      <calculatedColumnFormula>SUMIFS(Table464[Amount],Table464[Category],Table1363[[#Headers],[Transportation]],Table464[Sub-Category],Table1363[[#This Row],[Transportation]])+SUMIFS(Table4470[Amount],Table4470[Category],Table1363[[#Headers],[Transportation]],Table4470[Sub-Category],Table1363[[#This Row],[Transportation]])</calculatedColumnFormula>
    </tableColumn>
    <tableColumn id="4" xr3:uid="{00000000-0010-0000-3300-000004000000}" name="Variance" totalsRowFunction="sum" dataDxfId="1004" totalsRowDxfId="1003" dataCellStyle="Currency">
      <calculatedColumnFormula>Table1363[[#This Row],[Budget]]-Table1363[[#This Row],[Actual]]</calculatedColumnFormula>
    </tableColumn>
  </tableColumns>
  <tableStyleInfo name="TableStyleLight20"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4000000}" name="Table464" displayName="Table464" ref="J18:O31" totalsRowShown="0" headerRowDxfId="1002" dataDxfId="1001">
  <autoFilter ref="J18:O31" xr:uid="{00000000-0009-0000-0100-00003F000000}"/>
  <sortState xmlns:xlrd2="http://schemas.microsoft.com/office/spreadsheetml/2017/richdata2" ref="J19:O31">
    <sortCondition ref="M18:M31"/>
  </sortState>
  <tableColumns count="6">
    <tableColumn id="1" xr3:uid="{00000000-0010-0000-3400-000001000000}" name="Description" dataDxfId="1000" totalsRowDxfId="999"/>
    <tableColumn id="2" xr3:uid="{00000000-0010-0000-3400-000002000000}" name="Category" dataDxfId="998" totalsRowDxfId="997"/>
    <tableColumn id="3" xr3:uid="{00000000-0010-0000-3400-000003000000}" name="Sub-Category" dataDxfId="996" totalsRowDxfId="995"/>
    <tableColumn id="4" xr3:uid="{00000000-0010-0000-3400-000004000000}" name="Date" dataDxfId="994" totalsRowDxfId="993"/>
    <tableColumn id="5" xr3:uid="{00000000-0010-0000-3400-000005000000}" name="Amount" dataDxfId="992" totalsRowDxfId="991" dataCellStyle="Currency"/>
    <tableColumn id="6" xr3:uid="{00000000-0010-0000-3400-000006000000}" name="Status" dataDxfId="990" totalsRowDxfId="989"/>
  </tableColumns>
  <tableStyleInfo name="TableStyleLight20"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5000000}" name="Table13665" displayName="Table13665" ref="C11:F16" totalsRowCount="1" headerRowDxfId="988" dataDxfId="987" totalsRowDxfId="986">
  <autoFilter ref="C11:F15" xr:uid="{00000000-0009-0000-0100-000040000000}"/>
  <tableColumns count="4">
    <tableColumn id="1" xr3:uid="{00000000-0010-0000-3500-000001000000}" name="Income" totalsRowLabel="Total" dataDxfId="985" totalsRowDxfId="984"/>
    <tableColumn id="2" xr3:uid="{00000000-0010-0000-3500-000002000000}" name="Budget" totalsRowFunction="sum" dataDxfId="983" totalsRowDxfId="982" dataCellStyle="Currency"/>
    <tableColumn id="3" xr3:uid="{00000000-0010-0000-3500-000003000000}" name="Actual" totalsRowFunction="sum" dataDxfId="981" totalsRowDxfId="980" dataCellStyle="Currency">
      <calculatedColumnFormula>SUMIFS(Table442071[Amount],Table442071[Category],Table13665[[#Headers],[Income]],Table442071[Sub-Category],Table13665[[#This Row],[Income]])+SUMIFS(Table4470[Amount],Table4470[Category],Table13665[[#Headers],[Income]],Table4470[Sub-Category],Table13665[[#This Row],[Income]])</calculatedColumnFormula>
    </tableColumn>
    <tableColumn id="4" xr3:uid="{00000000-0010-0000-3500-000004000000}" name="Variance" totalsRowFunction="sum" dataDxfId="979" totalsRowDxfId="978" dataCellStyle="Currency">
      <calculatedColumnFormula>Table13665[[#This Row],[Actual]]-Table13665[[#This Row],[Budget]]</calculatedColumnFormula>
    </tableColumn>
  </tableColumns>
  <tableStyleInfo name="TableStyleLight20"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6000000}" name="Table13766" displayName="Table13766" ref="C49:F54" totalsRowCount="1" headerRowDxfId="977" dataDxfId="976" totalsRowDxfId="975">
  <autoFilter ref="C49:F53" xr:uid="{00000000-0009-0000-0100-000041000000}"/>
  <tableColumns count="4">
    <tableColumn id="1" xr3:uid="{00000000-0010-0000-3600-000001000000}" name="Living" totalsRowLabel="Total" dataDxfId="974" totalsRowDxfId="973"/>
    <tableColumn id="2" xr3:uid="{00000000-0010-0000-3600-000002000000}" name="Budget" totalsRowFunction="sum" dataDxfId="972" totalsRowDxfId="971" dataCellStyle="Currency"/>
    <tableColumn id="3" xr3:uid="{00000000-0010-0000-3600-000003000000}" name="Actual" totalsRowFunction="sum" dataDxfId="970" totalsRowDxfId="969" dataCellStyle="Currency">
      <calculatedColumnFormula>SUMIFS(Table464[Amount],Table464[Category],Table13766[[#Headers],[Living]],Table464[Sub-Category],Table13766[[#This Row],[Living]])+SUMIFS(Table4470[Amount],Table4470[Category],Table13766[[#Headers],[Living]],Table4470[Sub-Category],Table13766[[#This Row],[Living]])</calculatedColumnFormula>
    </tableColumn>
    <tableColumn id="4" xr3:uid="{00000000-0010-0000-3600-000004000000}" name="Variance" totalsRowFunction="sum" dataDxfId="968" totalsRowDxfId="967" dataCellStyle="Currency">
      <calculatedColumnFormula>Table13766[[#This Row],[Budget]]-Table13766[[#This Row],[Actual]]</calculatedColumnFormula>
    </tableColumn>
  </tableColumns>
  <tableStyleInfo name="TableStyleLight20"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37000000}" name="Table13867" displayName="Table13867" ref="C57:F60" totalsRowCount="1" headerRowDxfId="966" dataDxfId="965" totalsRowDxfId="964">
  <autoFilter ref="C57:F59" xr:uid="{00000000-0009-0000-0100-000042000000}"/>
  <tableColumns count="4">
    <tableColumn id="1" xr3:uid="{00000000-0010-0000-3700-000001000000}" name="Entertainment" totalsRowLabel="Total" dataDxfId="963" totalsRowDxfId="962"/>
    <tableColumn id="2" xr3:uid="{00000000-0010-0000-3700-000002000000}" name="Budget" totalsRowFunction="sum" dataDxfId="961" totalsRowDxfId="960" dataCellStyle="Currency"/>
    <tableColumn id="3" xr3:uid="{00000000-0010-0000-3700-000003000000}" name="Actual" totalsRowFunction="sum" dataDxfId="959" totalsRowDxfId="958" dataCellStyle="Currency">
      <calculatedColumnFormula>SUMIFS(Table464[Amount],Table464[Category],Table13867[[#Headers],[Entertainment]],Table464[Sub-Category],Table13867[[#This Row],[Entertainment]])+SUMIFS(Table4470[Amount],Table4470[Category],Table13867[[#Headers],[Entertainment]],Table4470[Sub-Category],Table13867[[#This Row],[Entertainment]])</calculatedColumnFormula>
    </tableColumn>
    <tableColumn id="4" xr3:uid="{00000000-0010-0000-3700-000004000000}" name="Variance" totalsRowFunction="sum" dataDxfId="957" totalsRowDxfId="956" dataCellStyle="Currency">
      <calculatedColumnFormula>Table13867[[#This Row],[Budget]]-Table13867[[#This Row],[Actual]]</calculatedColumnFormula>
    </tableColumn>
  </tableColumns>
  <tableStyleInfo name="TableStyleLight20"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38000000}" name="Table13968" displayName="Table13968" ref="C63:F66" totalsRowCount="1" headerRowDxfId="955" dataDxfId="954" totalsRowDxfId="953">
  <autoFilter ref="C63:F65" xr:uid="{00000000-0009-0000-0100-000043000000}"/>
  <tableColumns count="4">
    <tableColumn id="1" xr3:uid="{00000000-0010-0000-3800-000001000000}" name="Misc." totalsRowLabel="Total" dataDxfId="952" totalsRowDxfId="951"/>
    <tableColumn id="2" xr3:uid="{00000000-0010-0000-3800-000002000000}" name="Budget" totalsRowFunction="sum" dataDxfId="950" totalsRowDxfId="949" dataCellStyle="Currency"/>
    <tableColumn id="3" xr3:uid="{00000000-0010-0000-3800-000003000000}" name="Actual" totalsRowFunction="sum" dataDxfId="948" totalsRowDxfId="947" dataCellStyle="Currency">
      <calculatedColumnFormula>SUMIFS(Table464[Amount],Table464[Category],Table13968[[#Headers],[Misc.]],Table464[Sub-Category],Table13968[[#This Row],[Misc.]])+SUMIFS(Table4470[Amount],Table4470[Category],Table13968[[#Headers],[Misc.]],Table4470[Sub-Category],Table13968[[#This Row],[Misc.]])</calculatedColumnFormula>
    </tableColumn>
    <tableColumn id="4" xr3:uid="{00000000-0010-0000-3800-000004000000}" name="Variance" totalsRowFunction="sum" dataDxfId="946" totalsRowDxfId="945" dataCellStyle="Currency">
      <calculatedColumnFormula>Table13968[[#This Row],[Budget]]-Table13968[[#This Row],[Actual]]</calculatedColumnFormula>
    </tableColumn>
  </tableColumns>
  <tableStyleInfo name="TableStyleLight20"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39000000}" name="Table1391069" displayName="Table1391069" ref="C40:F46" totalsRowCount="1" headerRowDxfId="944" dataDxfId="943" totalsRowDxfId="942">
  <autoFilter ref="C40:F45" xr:uid="{00000000-0009-0000-0100-000044000000}"/>
  <tableColumns count="4">
    <tableColumn id="1" xr3:uid="{00000000-0010-0000-3900-000001000000}" name="Bills" totalsRowLabel="Total" dataDxfId="941" totalsRowDxfId="940"/>
    <tableColumn id="2" xr3:uid="{00000000-0010-0000-3900-000002000000}" name="Budget" totalsRowFunction="sum" dataDxfId="939" totalsRowDxfId="938" dataCellStyle="Currency"/>
    <tableColumn id="3" xr3:uid="{00000000-0010-0000-3900-000003000000}" name="Actual" totalsRowFunction="sum" dataDxfId="937" totalsRowDxfId="936" dataCellStyle="Currency">
      <calculatedColumnFormula>SUMIFS(Table464[Amount],Table464[Category],Table1391069[[#Headers],[Bills]],Table464[Sub-Category],Table1391069[[#This Row],[Bills]])+SUMIFS(Table4470[Amount],Table4470[Category],Table1391069[[#Headers],[Bills]],Table4470[Sub-Category],Table1391069[[#This Row],[Bills]])</calculatedColumnFormula>
    </tableColumn>
    <tableColumn id="4" xr3:uid="{00000000-0010-0000-3900-000004000000}" name="Variance" totalsRowFunction="sum" dataDxfId="935" totalsRowDxfId="934" dataCellStyle="Currency">
      <calculatedColumnFormula>Table1391069[[#This Row],[Budget]]-Table1391069[[#This Row],[Actual]]</calculatedColumnFormula>
    </tableColumn>
  </tableColumns>
  <tableStyleInfo name="TableStyleLight20"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3A000000}" name="Table4470" displayName="Table4470" ref="J34:O40" totalsRowShown="0" headerRowDxfId="933" dataDxfId="932">
  <autoFilter ref="J34:O40" xr:uid="{00000000-0009-0000-0100-000045000000}"/>
  <tableColumns count="6">
    <tableColumn id="1" xr3:uid="{00000000-0010-0000-3A00-000001000000}" name="Description" dataDxfId="931" totalsRowDxfId="930"/>
    <tableColumn id="2" xr3:uid="{00000000-0010-0000-3A00-000002000000}" name="Category" dataDxfId="929" totalsRowDxfId="928"/>
    <tableColumn id="3" xr3:uid="{00000000-0010-0000-3A00-000003000000}" name="Sub-Category" dataDxfId="927" totalsRowDxfId="926"/>
    <tableColumn id="4" xr3:uid="{00000000-0010-0000-3A00-000004000000}" name="Date" dataDxfId="925" totalsRowDxfId="924"/>
    <tableColumn id="5" xr3:uid="{00000000-0010-0000-3A00-000005000000}" name="Amount" dataDxfId="923" totalsRowDxfId="922" dataCellStyle="Currency"/>
    <tableColumn id="6" xr3:uid="{00000000-0010-0000-3A00-000006000000}" name="Status" dataDxfId="921" totalsRowDxfId="920"/>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138" displayName="Table138" ref="B57:E60" totalsRowCount="1" headerRowDxfId="1561" dataDxfId="1560" totalsRowDxfId="1559">
  <autoFilter ref="B57:E59" xr:uid="{00000000-0009-0000-0100-000007000000}"/>
  <tableColumns count="4">
    <tableColumn id="1" xr3:uid="{00000000-0010-0000-0500-000001000000}" name="Entertainment" totalsRowLabel="Total" dataDxfId="1558" totalsRowDxfId="1557"/>
    <tableColumn id="2" xr3:uid="{00000000-0010-0000-0500-000002000000}" name="Budget" totalsRowFunction="sum" dataDxfId="1556" totalsRowDxfId="1555" dataCellStyle="Currency"/>
    <tableColumn id="3" xr3:uid="{00000000-0010-0000-0500-000003000000}" name="Actual" totalsRowFunction="sum" dataDxfId="1554" totalsRowDxfId="1553" dataCellStyle="Currency">
      <calculatedColumnFormula>SUMIFS(Table4[Amount],Table4[Category],Table138[[#Headers],[Entertainment]],Table4[Sub-Category],Table138[[#This Row],[Entertainment]])+SUMIFS(Table44[Amount],Table44[Category],Table138[[#Headers],[Entertainment]],Table44[Sub-Category],Table138[[#This Row],[Entertainment]])</calculatedColumnFormula>
    </tableColumn>
    <tableColumn id="4" xr3:uid="{00000000-0010-0000-0500-000004000000}" name="Variance" totalsRowFunction="sum" dataDxfId="1552" totalsRowDxfId="1551" dataCellStyle="Currency">
      <calculatedColumnFormula>Table138[[#This Row],[Budget]]-Table138[[#This Row],[Actual]]</calculatedColumnFormula>
    </tableColumn>
  </tableColumns>
  <tableStyleInfo name="TableStyleLight20"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3B000000}" name="Table442071" displayName="Table442071" ref="J11:O15" totalsRowShown="0" headerRowDxfId="919" dataDxfId="918">
  <autoFilter ref="J11:O15" xr:uid="{00000000-0009-0000-0100-000046000000}"/>
  <sortState xmlns:xlrd2="http://schemas.microsoft.com/office/spreadsheetml/2017/richdata2" ref="J12:O15">
    <sortCondition ref="M11:M15"/>
  </sortState>
  <tableColumns count="6">
    <tableColumn id="1" xr3:uid="{00000000-0010-0000-3B00-000001000000}" name="Description" dataDxfId="917" totalsRowDxfId="916"/>
    <tableColumn id="2" xr3:uid="{00000000-0010-0000-3B00-000002000000}" name="Category" dataDxfId="915" totalsRowDxfId="914"/>
    <tableColumn id="3" xr3:uid="{00000000-0010-0000-3B00-000003000000}" name="Sub-Category" dataDxfId="913" totalsRowDxfId="912"/>
    <tableColumn id="4" xr3:uid="{00000000-0010-0000-3B00-000004000000}" name="Date" dataDxfId="911" totalsRowDxfId="910"/>
    <tableColumn id="5" xr3:uid="{00000000-0010-0000-3B00-000005000000}" name="Amount" dataDxfId="909" totalsRowDxfId="908" dataCellStyle="Currency"/>
    <tableColumn id="6" xr3:uid="{00000000-0010-0000-3B00-000006000000}" name="Status" dataDxfId="907" totalsRowDxfId="906"/>
  </tableColumns>
  <tableStyleInfo name="TableStyleLight20"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3C000000}" name="Table172" displayName="Table172" ref="C19:F29" totalsRowCount="1" headerRowDxfId="905" dataDxfId="904" totalsRowDxfId="903">
  <autoFilter ref="C19:F28" xr:uid="{00000000-0009-0000-0100-000047000000}"/>
  <tableColumns count="4">
    <tableColumn id="1" xr3:uid="{00000000-0010-0000-3C00-000001000000}" name="Housing" totalsRowLabel="Total" dataDxfId="902" totalsRowDxfId="901"/>
    <tableColumn id="2" xr3:uid="{00000000-0010-0000-3C00-000002000000}" name="Budget" totalsRowFunction="sum" dataDxfId="900" totalsRowDxfId="899" dataCellStyle="Currency"/>
    <tableColumn id="3" xr3:uid="{00000000-0010-0000-3C00-000003000000}" name="Actual" totalsRowFunction="sum" dataDxfId="898" totalsRowDxfId="897" dataCellStyle="Currency">
      <calculatedColumnFormula>SUMIFS(Table474[Amount],Table474[Category],Table172[[#Headers],[Housing]],Table474[Sub-Category],Table172[[#This Row],[Housing]])+SUMIFS(Table4480[Amount],Table4480[Category],Table172[[#Headers],[Housing]],Table4480[Sub-Category],Table172[[#This Row],[Housing]])</calculatedColumnFormula>
    </tableColumn>
    <tableColumn id="6" xr3:uid="{00000000-0010-0000-3C00-000006000000}" name="Variance" totalsRowFunction="sum" dataDxfId="896" totalsRowDxfId="895" dataCellStyle="Currency">
      <calculatedColumnFormula>Table172[[#This Row],[Budget]]-Table172[[#This Row],[Actual]]</calculatedColumnFormula>
    </tableColumn>
  </tableColumns>
  <tableStyleInfo name="TableStyleLight20"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3D000000}" name="Table1373" displayName="Table1373" ref="C32:F37" totalsRowCount="1" headerRowDxfId="894" dataDxfId="893" totalsRowDxfId="892">
  <autoFilter ref="C32:F36" xr:uid="{00000000-0009-0000-0100-000048000000}"/>
  <tableColumns count="4">
    <tableColumn id="1" xr3:uid="{00000000-0010-0000-3D00-000001000000}" name="Transportation" totalsRowLabel="Total" dataDxfId="891" totalsRowDxfId="890"/>
    <tableColumn id="2" xr3:uid="{00000000-0010-0000-3D00-000002000000}" name="Budget" totalsRowFunction="sum" dataDxfId="889" totalsRowDxfId="888" dataCellStyle="Currency"/>
    <tableColumn id="3" xr3:uid="{00000000-0010-0000-3D00-000003000000}" name="Actual" totalsRowFunction="sum" dataDxfId="887" totalsRowDxfId="886" dataCellStyle="Currency">
      <calculatedColumnFormula>SUMIFS(Table474[Amount],Table474[Category],Table1373[[#Headers],[Transportation]],Table474[Sub-Category],Table1373[[#This Row],[Transportation]])+SUMIFS(Table4480[Amount],Table4480[Category],Table1373[[#Headers],[Transportation]],Table4480[Sub-Category],Table1373[[#This Row],[Transportation]])</calculatedColumnFormula>
    </tableColumn>
    <tableColumn id="4" xr3:uid="{00000000-0010-0000-3D00-000004000000}" name="Variance" totalsRowFunction="sum" dataDxfId="885" totalsRowDxfId="884" dataCellStyle="Currency">
      <calculatedColumnFormula>Table1373[[#This Row],[Budget]]-Table1373[[#This Row],[Actual]]</calculatedColumnFormula>
    </tableColumn>
  </tableColumns>
  <tableStyleInfo name="TableStyleLight20"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E000000}" name="Table474" displayName="Table474" ref="J18:O31" totalsRowShown="0" headerRowDxfId="883" dataDxfId="882">
  <autoFilter ref="J18:O31" xr:uid="{00000000-0009-0000-0100-000049000000}"/>
  <sortState xmlns:xlrd2="http://schemas.microsoft.com/office/spreadsheetml/2017/richdata2" ref="J19:O31">
    <sortCondition ref="M18:M31"/>
  </sortState>
  <tableColumns count="6">
    <tableColumn id="1" xr3:uid="{00000000-0010-0000-3E00-000001000000}" name="Description" dataDxfId="881" totalsRowDxfId="880"/>
    <tableColumn id="2" xr3:uid="{00000000-0010-0000-3E00-000002000000}" name="Category" dataDxfId="879" totalsRowDxfId="878"/>
    <tableColumn id="3" xr3:uid="{00000000-0010-0000-3E00-000003000000}" name="Sub-Category" dataDxfId="877" totalsRowDxfId="876"/>
    <tableColumn id="4" xr3:uid="{00000000-0010-0000-3E00-000004000000}" name="Date" dataDxfId="875" totalsRowDxfId="874"/>
    <tableColumn id="5" xr3:uid="{00000000-0010-0000-3E00-000005000000}" name="Amount" dataDxfId="873" totalsRowDxfId="872" dataCellStyle="Currency"/>
    <tableColumn id="6" xr3:uid="{00000000-0010-0000-3E00-000006000000}" name="Status" dataDxfId="871" totalsRowDxfId="870"/>
  </tableColumns>
  <tableStyleInfo name="TableStyleLight20"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3F000000}" name="Table13675" displayName="Table13675" ref="C11:F16" totalsRowCount="1" headerRowDxfId="869" dataDxfId="868" totalsRowDxfId="867">
  <autoFilter ref="C11:F15" xr:uid="{00000000-0009-0000-0100-00004A000000}"/>
  <tableColumns count="4">
    <tableColumn id="1" xr3:uid="{00000000-0010-0000-3F00-000001000000}" name="Income" totalsRowLabel="Total" dataDxfId="866" totalsRowDxfId="865"/>
    <tableColumn id="2" xr3:uid="{00000000-0010-0000-3F00-000002000000}" name="Budget" totalsRowFunction="sum" dataDxfId="864" totalsRowDxfId="863" dataCellStyle="Currency"/>
    <tableColumn id="3" xr3:uid="{00000000-0010-0000-3F00-000003000000}" name="Actual" totalsRowFunction="sum" dataDxfId="862" totalsRowDxfId="861" dataCellStyle="Currency">
      <calculatedColumnFormula>SUMIFS(Table442081[Amount],Table442081[Category],Table13675[[#Headers],[Income]],Table442081[Sub-Category],Table13675[[#This Row],[Income]])+SUMIFS(Table4480[Amount],Table4480[Category],Table13675[[#Headers],[Income]],Table4480[Sub-Category],Table13675[[#This Row],[Income]])</calculatedColumnFormula>
    </tableColumn>
    <tableColumn id="4" xr3:uid="{00000000-0010-0000-3F00-000004000000}" name="Variance" totalsRowFunction="sum" dataDxfId="860" totalsRowDxfId="859" dataCellStyle="Currency">
      <calculatedColumnFormula>Table13675[[#This Row],[Actual]]-Table13675[[#This Row],[Budget]]</calculatedColumnFormula>
    </tableColumn>
  </tableColumns>
  <tableStyleInfo name="TableStyleLight20"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0000000}" name="Table13776" displayName="Table13776" ref="C49:F54" totalsRowCount="1" headerRowDxfId="858" dataDxfId="857" totalsRowDxfId="856">
  <autoFilter ref="C49:F53" xr:uid="{00000000-0009-0000-0100-00004B000000}"/>
  <tableColumns count="4">
    <tableColumn id="1" xr3:uid="{00000000-0010-0000-4000-000001000000}" name="Living" totalsRowLabel="Total" dataDxfId="855" totalsRowDxfId="854"/>
    <tableColumn id="2" xr3:uid="{00000000-0010-0000-4000-000002000000}" name="Budget" totalsRowFunction="sum" dataDxfId="853" totalsRowDxfId="852" dataCellStyle="Currency"/>
    <tableColumn id="3" xr3:uid="{00000000-0010-0000-4000-000003000000}" name="Actual" totalsRowFunction="sum" dataDxfId="851" totalsRowDxfId="850" dataCellStyle="Currency">
      <calculatedColumnFormula>SUMIFS(Table474[Amount],Table474[Category],Table13776[[#Headers],[Living]],Table474[Sub-Category],Table13776[[#This Row],[Living]])+SUMIFS(Table4480[Amount],Table4480[Category],Table13776[[#Headers],[Living]],Table4480[Sub-Category],Table13776[[#This Row],[Living]])</calculatedColumnFormula>
    </tableColumn>
    <tableColumn id="4" xr3:uid="{00000000-0010-0000-4000-000004000000}" name="Variance" totalsRowFunction="sum" dataDxfId="849" totalsRowDxfId="848" dataCellStyle="Currency">
      <calculatedColumnFormula>Table13776[[#This Row],[Budget]]-Table13776[[#This Row],[Actual]]</calculatedColumnFormula>
    </tableColumn>
  </tableColumns>
  <tableStyleInfo name="TableStyleLight20"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1000000}" name="Table13877" displayName="Table13877" ref="C57:F60" totalsRowCount="1" headerRowDxfId="847" dataDxfId="846" totalsRowDxfId="845">
  <autoFilter ref="C57:F59" xr:uid="{00000000-0009-0000-0100-00004C000000}"/>
  <tableColumns count="4">
    <tableColumn id="1" xr3:uid="{00000000-0010-0000-4100-000001000000}" name="Entertainment" totalsRowLabel="Total" dataDxfId="844" totalsRowDxfId="843"/>
    <tableColumn id="2" xr3:uid="{00000000-0010-0000-4100-000002000000}" name="Budget" totalsRowFunction="sum" dataDxfId="842" totalsRowDxfId="841" dataCellStyle="Currency"/>
    <tableColumn id="3" xr3:uid="{00000000-0010-0000-4100-000003000000}" name="Actual" totalsRowFunction="sum" dataDxfId="840" totalsRowDxfId="839" dataCellStyle="Currency">
      <calculatedColumnFormula>SUMIFS(Table474[Amount],Table474[Category],Table13877[[#Headers],[Entertainment]],Table474[Sub-Category],Table13877[[#This Row],[Entertainment]])+SUMIFS(Table4480[Amount],Table4480[Category],Table13877[[#Headers],[Entertainment]],Table4480[Sub-Category],Table13877[[#This Row],[Entertainment]])</calculatedColumnFormula>
    </tableColumn>
    <tableColumn id="4" xr3:uid="{00000000-0010-0000-4100-000004000000}" name="Variance" totalsRowFunction="sum" dataDxfId="838" totalsRowDxfId="837" dataCellStyle="Currency">
      <calculatedColumnFormula>Table13877[[#This Row],[Budget]]-Table13877[[#This Row],[Actual]]</calculatedColumnFormula>
    </tableColumn>
  </tableColumns>
  <tableStyleInfo name="TableStyleLight20"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2000000}" name="Table13978" displayName="Table13978" ref="C63:F66" totalsRowCount="1" headerRowDxfId="836" dataDxfId="835" totalsRowDxfId="834">
  <autoFilter ref="C63:F65" xr:uid="{00000000-0009-0000-0100-00004D000000}"/>
  <tableColumns count="4">
    <tableColumn id="1" xr3:uid="{00000000-0010-0000-4200-000001000000}" name="Misc." totalsRowLabel="Total" dataDxfId="833" totalsRowDxfId="832"/>
    <tableColumn id="2" xr3:uid="{00000000-0010-0000-4200-000002000000}" name="Budget" totalsRowFunction="sum" dataDxfId="831" totalsRowDxfId="830" dataCellStyle="Currency"/>
    <tableColumn id="3" xr3:uid="{00000000-0010-0000-4200-000003000000}" name="Actual" totalsRowFunction="sum" dataDxfId="829" totalsRowDxfId="828" dataCellStyle="Currency">
      <calculatedColumnFormula>SUMIFS(Table474[Amount],Table474[Category],Table13978[[#Headers],[Misc.]],Table474[Sub-Category],Table13978[[#This Row],[Misc.]])+SUMIFS(Table4480[Amount],Table4480[Category],Table13978[[#Headers],[Misc.]],Table4480[Sub-Category],Table13978[[#This Row],[Misc.]])</calculatedColumnFormula>
    </tableColumn>
    <tableColumn id="4" xr3:uid="{00000000-0010-0000-4200-000004000000}" name="Variance" totalsRowFunction="sum" dataDxfId="827" totalsRowDxfId="826" dataCellStyle="Currency">
      <calculatedColumnFormula>Table13978[[#This Row],[Budget]]-Table13978[[#This Row],[Actual]]</calculatedColumnFormula>
    </tableColumn>
  </tableColumns>
  <tableStyleInfo name="TableStyleLight20"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3000000}" name="Table1391079" displayName="Table1391079" ref="C40:F46" totalsRowCount="1" headerRowDxfId="825" dataDxfId="824" totalsRowDxfId="823">
  <autoFilter ref="C40:F45" xr:uid="{00000000-0009-0000-0100-00004E000000}"/>
  <tableColumns count="4">
    <tableColumn id="1" xr3:uid="{00000000-0010-0000-4300-000001000000}" name="Bills" totalsRowLabel="Total" dataDxfId="822" totalsRowDxfId="821"/>
    <tableColumn id="2" xr3:uid="{00000000-0010-0000-4300-000002000000}" name="Budget" totalsRowFunction="sum" dataDxfId="820" totalsRowDxfId="819" dataCellStyle="Currency"/>
    <tableColumn id="3" xr3:uid="{00000000-0010-0000-4300-000003000000}" name="Actual" totalsRowFunction="sum" dataDxfId="818" totalsRowDxfId="817" dataCellStyle="Currency">
      <calculatedColumnFormula>SUMIFS(Table474[Amount],Table474[Category],Table1391079[[#Headers],[Bills]],Table474[Sub-Category],Table1391079[[#This Row],[Bills]])+SUMIFS(Table4480[Amount],Table4480[Category],Table1391079[[#Headers],[Bills]],Table4480[Sub-Category],Table1391079[[#This Row],[Bills]])</calculatedColumnFormula>
    </tableColumn>
    <tableColumn id="4" xr3:uid="{00000000-0010-0000-4300-000004000000}" name="Variance" totalsRowFunction="sum" dataDxfId="816" totalsRowDxfId="815" dataCellStyle="Currency">
      <calculatedColumnFormula>Table1391079[[#This Row],[Budget]]-Table1391079[[#This Row],[Actual]]</calculatedColumnFormula>
    </tableColumn>
  </tableColumns>
  <tableStyleInfo name="TableStyleLight20"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4000000}" name="Table4480" displayName="Table4480" ref="J34:O40" totalsRowShown="0" headerRowDxfId="814" dataDxfId="813">
  <autoFilter ref="J34:O40" xr:uid="{00000000-0009-0000-0100-00004F000000}"/>
  <tableColumns count="6">
    <tableColumn id="1" xr3:uid="{00000000-0010-0000-4400-000001000000}" name="Description" dataDxfId="812" totalsRowDxfId="811"/>
    <tableColumn id="2" xr3:uid="{00000000-0010-0000-4400-000002000000}" name="Category" dataDxfId="810" totalsRowDxfId="809"/>
    <tableColumn id="3" xr3:uid="{00000000-0010-0000-4400-000003000000}" name="Sub-Category" dataDxfId="808" totalsRowDxfId="807"/>
    <tableColumn id="4" xr3:uid="{00000000-0010-0000-4400-000004000000}" name="Date" dataDxfId="806" totalsRowDxfId="805"/>
    <tableColumn id="5" xr3:uid="{00000000-0010-0000-4400-000005000000}" name="Amount" dataDxfId="804" totalsRowDxfId="803" dataCellStyle="Currency"/>
    <tableColumn id="6" xr3:uid="{00000000-0010-0000-4400-000006000000}" name="Status" dataDxfId="802" totalsRowDxfId="801"/>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139" displayName="Table139" ref="B63:E66" totalsRowCount="1" headerRowDxfId="1550" dataDxfId="1549" totalsRowDxfId="1548">
  <autoFilter ref="B63:E65" xr:uid="{00000000-0009-0000-0100-000008000000}"/>
  <tableColumns count="4">
    <tableColumn id="1" xr3:uid="{00000000-0010-0000-0600-000001000000}" name="Misc." totalsRowLabel="Total" dataDxfId="1547" totalsRowDxfId="1546"/>
    <tableColumn id="2" xr3:uid="{00000000-0010-0000-0600-000002000000}" name="Budget" totalsRowFunction="sum" dataDxfId="1545" totalsRowDxfId="1544" dataCellStyle="Currency"/>
    <tableColumn id="3" xr3:uid="{00000000-0010-0000-0600-000003000000}" name="Actual" totalsRowFunction="sum" dataDxfId="1543" totalsRowDxfId="1542" dataCellStyle="Currency">
      <calculatedColumnFormula>SUMIFS(Table4[Amount],Table4[Category],Table139[[#Headers],[Misc.]],Table4[Sub-Category],Table139[[#This Row],[Misc.]])+SUMIFS(Table44[Amount],Table44[Category],Table139[[#Headers],[Misc.]],Table44[Sub-Category],Table139[[#This Row],[Misc.]])</calculatedColumnFormula>
    </tableColumn>
    <tableColumn id="4" xr3:uid="{00000000-0010-0000-0600-000004000000}" name="Variance" totalsRowFunction="sum" dataDxfId="1541" totalsRowDxfId="1540" dataCellStyle="Currency">
      <calculatedColumnFormula>Table139[[#This Row],[Budget]]-Table139[[#This Row],[Actual]]</calculatedColumnFormula>
    </tableColumn>
  </tableColumns>
  <tableStyleInfo name="TableStyleLight20"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5000000}" name="Table442081" displayName="Table442081" ref="J11:O15" totalsRowShown="0" headerRowDxfId="800" dataDxfId="799">
  <autoFilter ref="J11:O15" xr:uid="{00000000-0009-0000-0100-000050000000}"/>
  <sortState xmlns:xlrd2="http://schemas.microsoft.com/office/spreadsheetml/2017/richdata2" ref="J12:O15">
    <sortCondition ref="M11:M15"/>
  </sortState>
  <tableColumns count="6">
    <tableColumn id="1" xr3:uid="{00000000-0010-0000-4500-000001000000}" name="Description" dataDxfId="798" totalsRowDxfId="797"/>
    <tableColumn id="2" xr3:uid="{00000000-0010-0000-4500-000002000000}" name="Category" dataDxfId="796" totalsRowDxfId="795"/>
    <tableColumn id="3" xr3:uid="{00000000-0010-0000-4500-000003000000}" name="Sub-Category" dataDxfId="794" totalsRowDxfId="793"/>
    <tableColumn id="4" xr3:uid="{00000000-0010-0000-4500-000004000000}" name="Date" dataDxfId="792" totalsRowDxfId="791"/>
    <tableColumn id="5" xr3:uid="{00000000-0010-0000-4500-000005000000}" name="Amount" dataDxfId="790" totalsRowDxfId="789" dataCellStyle="Currency"/>
    <tableColumn id="6" xr3:uid="{00000000-0010-0000-4500-000006000000}" name="Status" dataDxfId="788" totalsRowDxfId="787"/>
  </tableColumns>
  <tableStyleInfo name="TableStyleLight20"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46000000}" name="Table182" displayName="Table182" ref="C19:F29" totalsRowCount="1" headerRowDxfId="786" dataDxfId="785" totalsRowDxfId="784">
  <autoFilter ref="C19:F28" xr:uid="{00000000-0009-0000-0100-000051000000}"/>
  <tableColumns count="4">
    <tableColumn id="1" xr3:uid="{00000000-0010-0000-4600-000001000000}" name="Housing" totalsRowLabel="Total" dataDxfId="783" totalsRowDxfId="782"/>
    <tableColumn id="2" xr3:uid="{00000000-0010-0000-4600-000002000000}" name="Budget" totalsRowFunction="sum" dataDxfId="781" totalsRowDxfId="780" dataCellStyle="Currency"/>
    <tableColumn id="3" xr3:uid="{00000000-0010-0000-4600-000003000000}" name="Actual" totalsRowFunction="sum" dataDxfId="779" totalsRowDxfId="778" dataCellStyle="Currency">
      <calculatedColumnFormula>SUMIFS(Table484[Amount],Table484[Category],Table182[[#Headers],[Housing]],Table484[Sub-Category],Table182[[#This Row],[Housing]])+SUMIFS(Table4490[Amount],Table4490[Category],Table182[[#Headers],[Housing]],Table4490[Sub-Category],Table182[[#This Row],[Housing]])</calculatedColumnFormula>
    </tableColumn>
    <tableColumn id="6" xr3:uid="{00000000-0010-0000-4600-000006000000}" name="Variance" totalsRowFunction="sum" dataDxfId="777" totalsRowDxfId="776" dataCellStyle="Currency">
      <calculatedColumnFormula>Table182[[#This Row],[Budget]]-Table182[[#This Row],[Actual]]</calculatedColumnFormula>
    </tableColumn>
  </tableColumns>
  <tableStyleInfo name="TableStyleLight20"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47000000}" name="Table1383" displayName="Table1383" ref="C32:F37" totalsRowCount="1" headerRowDxfId="775" dataDxfId="774" totalsRowDxfId="773">
  <autoFilter ref="C32:F36" xr:uid="{00000000-0009-0000-0100-000052000000}"/>
  <tableColumns count="4">
    <tableColumn id="1" xr3:uid="{00000000-0010-0000-4700-000001000000}" name="Transportation" totalsRowLabel="Total" dataDxfId="772" totalsRowDxfId="771"/>
    <tableColumn id="2" xr3:uid="{00000000-0010-0000-4700-000002000000}" name="Budget" totalsRowFunction="sum" dataDxfId="770" totalsRowDxfId="769" dataCellStyle="Currency"/>
    <tableColumn id="3" xr3:uid="{00000000-0010-0000-4700-000003000000}" name="Actual" totalsRowFunction="sum" dataDxfId="768" totalsRowDxfId="767" dataCellStyle="Currency">
      <calculatedColumnFormula>SUMIFS(Table484[Amount],Table484[Category],Table1383[[#Headers],[Transportation]],Table484[Sub-Category],Table1383[[#This Row],[Transportation]])+SUMIFS(Table4490[Amount],Table4490[Category],Table1383[[#Headers],[Transportation]],Table4490[Sub-Category],Table1383[[#This Row],[Transportation]])</calculatedColumnFormula>
    </tableColumn>
    <tableColumn id="4" xr3:uid="{00000000-0010-0000-4700-000004000000}" name="Variance" totalsRowFunction="sum" dataDxfId="766" totalsRowDxfId="765" dataCellStyle="Currency">
      <calculatedColumnFormula>Table1383[[#This Row],[Budget]]-Table1383[[#This Row],[Actual]]</calculatedColumnFormula>
    </tableColumn>
  </tableColumns>
  <tableStyleInfo name="TableStyleLight20"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48000000}" name="Table484" displayName="Table484" ref="J18:O31" totalsRowShown="0" headerRowDxfId="764" dataDxfId="763">
  <autoFilter ref="J18:O31" xr:uid="{00000000-0009-0000-0100-000053000000}"/>
  <sortState xmlns:xlrd2="http://schemas.microsoft.com/office/spreadsheetml/2017/richdata2" ref="J19:O31">
    <sortCondition ref="M18:M31"/>
  </sortState>
  <tableColumns count="6">
    <tableColumn id="1" xr3:uid="{00000000-0010-0000-4800-000001000000}" name="Description" dataDxfId="762" totalsRowDxfId="761"/>
    <tableColumn id="2" xr3:uid="{00000000-0010-0000-4800-000002000000}" name="Category" dataDxfId="760" totalsRowDxfId="759"/>
    <tableColumn id="3" xr3:uid="{00000000-0010-0000-4800-000003000000}" name="Sub-Category" dataDxfId="758" totalsRowDxfId="757"/>
    <tableColumn id="4" xr3:uid="{00000000-0010-0000-4800-000004000000}" name="Date" dataDxfId="756" totalsRowDxfId="755"/>
    <tableColumn id="5" xr3:uid="{00000000-0010-0000-4800-000005000000}" name="Amount" dataDxfId="754" totalsRowDxfId="753" dataCellStyle="Currency"/>
    <tableColumn id="6" xr3:uid="{00000000-0010-0000-4800-000006000000}" name="Status" dataDxfId="752" totalsRowDxfId="751"/>
  </tableColumns>
  <tableStyleInfo name="TableStyleLight20"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49000000}" name="Table13685" displayName="Table13685" ref="C11:F16" totalsRowCount="1" headerRowDxfId="750" dataDxfId="749" totalsRowDxfId="748">
  <autoFilter ref="C11:F15" xr:uid="{00000000-0009-0000-0100-000054000000}"/>
  <tableColumns count="4">
    <tableColumn id="1" xr3:uid="{00000000-0010-0000-4900-000001000000}" name="Income" totalsRowLabel="Total" dataDxfId="747" totalsRowDxfId="746"/>
    <tableColumn id="2" xr3:uid="{00000000-0010-0000-4900-000002000000}" name="Budget" totalsRowFunction="sum" dataDxfId="745" totalsRowDxfId="744" dataCellStyle="Currency"/>
    <tableColumn id="3" xr3:uid="{00000000-0010-0000-4900-000003000000}" name="Actual" totalsRowFunction="sum" dataDxfId="743" totalsRowDxfId="742" dataCellStyle="Currency">
      <calculatedColumnFormula>SUMIFS(Table442091[Amount],Table442091[Category],Table13685[[#Headers],[Income]],Table442091[Sub-Category],Table13685[[#This Row],[Income]])+SUMIFS(Table4490[Amount],Table4490[Category],Table13685[[#Headers],[Income]],Table4490[Sub-Category],Table13685[[#This Row],[Income]])</calculatedColumnFormula>
    </tableColumn>
    <tableColumn id="4" xr3:uid="{00000000-0010-0000-4900-000004000000}" name="Variance" totalsRowFunction="sum" dataDxfId="741" totalsRowDxfId="740" dataCellStyle="Currency">
      <calculatedColumnFormula>Table13685[[#This Row],[Actual]]-Table13685[[#This Row],[Budget]]</calculatedColumnFormula>
    </tableColumn>
  </tableColumns>
  <tableStyleInfo name="TableStyleLight20"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4A000000}" name="Table13786" displayName="Table13786" ref="C49:F54" totalsRowCount="1" headerRowDxfId="739" dataDxfId="738" totalsRowDxfId="737">
  <autoFilter ref="C49:F53" xr:uid="{00000000-0009-0000-0100-000055000000}"/>
  <tableColumns count="4">
    <tableColumn id="1" xr3:uid="{00000000-0010-0000-4A00-000001000000}" name="Living" totalsRowLabel="Total" dataDxfId="736" totalsRowDxfId="735"/>
    <tableColumn id="2" xr3:uid="{00000000-0010-0000-4A00-000002000000}" name="Budget" totalsRowFunction="sum" dataDxfId="734" totalsRowDxfId="733" dataCellStyle="Currency"/>
    <tableColumn id="3" xr3:uid="{00000000-0010-0000-4A00-000003000000}" name="Actual" totalsRowFunction="sum" dataDxfId="732" totalsRowDxfId="731" dataCellStyle="Currency">
      <calculatedColumnFormula>SUMIFS(Table484[Amount],Table484[Category],Table13786[[#Headers],[Living]],Table484[Sub-Category],Table13786[[#This Row],[Living]])+SUMIFS(Table4490[Amount],Table4490[Category],Table13786[[#Headers],[Living]],Table4490[Sub-Category],Table13786[[#This Row],[Living]])</calculatedColumnFormula>
    </tableColumn>
    <tableColumn id="4" xr3:uid="{00000000-0010-0000-4A00-000004000000}" name="Variance" totalsRowFunction="sum" dataDxfId="730" totalsRowDxfId="729" dataCellStyle="Currency">
      <calculatedColumnFormula>Table13786[[#This Row],[Budget]]-Table13786[[#This Row],[Actual]]</calculatedColumnFormula>
    </tableColumn>
  </tableColumns>
  <tableStyleInfo name="TableStyleLight20"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4B000000}" name="Table13887" displayName="Table13887" ref="C57:F60" totalsRowCount="1" headerRowDxfId="728" dataDxfId="727" totalsRowDxfId="726">
  <autoFilter ref="C57:F59" xr:uid="{00000000-0009-0000-0100-000056000000}"/>
  <tableColumns count="4">
    <tableColumn id="1" xr3:uid="{00000000-0010-0000-4B00-000001000000}" name="Entertainment" totalsRowLabel="Total" dataDxfId="725" totalsRowDxfId="724"/>
    <tableColumn id="2" xr3:uid="{00000000-0010-0000-4B00-000002000000}" name="Budget" totalsRowFunction="sum" dataDxfId="723" totalsRowDxfId="722" dataCellStyle="Currency"/>
    <tableColumn id="3" xr3:uid="{00000000-0010-0000-4B00-000003000000}" name="Actual" totalsRowFunction="sum" dataDxfId="721" totalsRowDxfId="720" dataCellStyle="Currency">
      <calculatedColumnFormula>SUMIFS(Table484[Amount],Table484[Category],Table13887[[#Headers],[Entertainment]],Table484[Sub-Category],Table13887[[#This Row],[Entertainment]])+SUMIFS(Table4490[Amount],Table4490[Category],Table13887[[#Headers],[Entertainment]],Table4490[Sub-Category],Table13887[[#This Row],[Entertainment]])</calculatedColumnFormula>
    </tableColumn>
    <tableColumn id="4" xr3:uid="{00000000-0010-0000-4B00-000004000000}" name="Variance" totalsRowFunction="sum" dataDxfId="719" totalsRowDxfId="718" dataCellStyle="Currency">
      <calculatedColumnFormula>Table13887[[#This Row],[Budget]]-Table13887[[#This Row],[Actual]]</calculatedColumnFormula>
    </tableColumn>
  </tableColumns>
  <tableStyleInfo name="TableStyleLight20"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4C000000}" name="Table13988" displayName="Table13988" ref="C63:F66" totalsRowCount="1" headerRowDxfId="717" dataDxfId="716" totalsRowDxfId="715">
  <autoFilter ref="C63:F65" xr:uid="{00000000-0009-0000-0100-000057000000}"/>
  <tableColumns count="4">
    <tableColumn id="1" xr3:uid="{00000000-0010-0000-4C00-000001000000}" name="Misc." totalsRowLabel="Total" dataDxfId="714" totalsRowDxfId="713"/>
    <tableColumn id="2" xr3:uid="{00000000-0010-0000-4C00-000002000000}" name="Budget" totalsRowFunction="sum" dataDxfId="712" totalsRowDxfId="711" dataCellStyle="Currency"/>
    <tableColumn id="3" xr3:uid="{00000000-0010-0000-4C00-000003000000}" name="Actual" totalsRowFunction="sum" dataDxfId="710" totalsRowDxfId="709" dataCellStyle="Currency">
      <calculatedColumnFormula>SUMIFS(Table484[Amount],Table484[Category],Table13988[[#Headers],[Misc.]],Table484[Sub-Category],Table13988[[#This Row],[Misc.]])+SUMIFS(Table4490[Amount],Table4490[Category],Table13988[[#Headers],[Misc.]],Table4490[Sub-Category],Table13988[[#This Row],[Misc.]])</calculatedColumnFormula>
    </tableColumn>
    <tableColumn id="4" xr3:uid="{00000000-0010-0000-4C00-000004000000}" name="Variance" totalsRowFunction="sum" dataDxfId="708" totalsRowDxfId="707" dataCellStyle="Currency">
      <calculatedColumnFormula>Table13988[[#This Row],[Budget]]-Table13988[[#This Row],[Actual]]</calculatedColumnFormula>
    </tableColumn>
  </tableColumns>
  <tableStyleInfo name="TableStyleLight20"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4D000000}" name="Table1391089" displayName="Table1391089" ref="C40:F46" totalsRowCount="1" headerRowDxfId="706" dataDxfId="705" totalsRowDxfId="704">
  <autoFilter ref="C40:F45" xr:uid="{00000000-0009-0000-0100-000058000000}"/>
  <tableColumns count="4">
    <tableColumn id="1" xr3:uid="{00000000-0010-0000-4D00-000001000000}" name="Bills" totalsRowLabel="Total" dataDxfId="703" totalsRowDxfId="702"/>
    <tableColumn id="2" xr3:uid="{00000000-0010-0000-4D00-000002000000}" name="Budget" totalsRowFunction="sum" dataDxfId="701" totalsRowDxfId="700" dataCellStyle="Currency"/>
    <tableColumn id="3" xr3:uid="{00000000-0010-0000-4D00-000003000000}" name="Actual" totalsRowFunction="sum" dataDxfId="699" totalsRowDxfId="698" dataCellStyle="Currency">
      <calculatedColumnFormula>SUMIFS(Table484[Amount],Table484[Category],Table1391089[[#Headers],[Bills]],Table484[Sub-Category],Table1391089[[#This Row],[Bills]])+SUMIFS(Table4490[Amount],Table4490[Category],Table1391089[[#Headers],[Bills]],Table4490[Sub-Category],Table1391089[[#This Row],[Bills]])</calculatedColumnFormula>
    </tableColumn>
    <tableColumn id="4" xr3:uid="{00000000-0010-0000-4D00-000004000000}" name="Variance" totalsRowFunction="sum" dataDxfId="697" totalsRowDxfId="696" dataCellStyle="Currency">
      <calculatedColumnFormula>Table1391089[[#This Row],[Budget]]-Table1391089[[#This Row],[Actual]]</calculatedColumnFormula>
    </tableColumn>
  </tableColumns>
  <tableStyleInfo name="TableStyleLight20"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4E000000}" name="Table4490" displayName="Table4490" ref="J34:O40" totalsRowShown="0" headerRowDxfId="695" dataDxfId="694">
  <autoFilter ref="J34:O40" xr:uid="{00000000-0009-0000-0100-000059000000}"/>
  <tableColumns count="6">
    <tableColumn id="1" xr3:uid="{00000000-0010-0000-4E00-000001000000}" name="Description" dataDxfId="693" totalsRowDxfId="692"/>
    <tableColumn id="2" xr3:uid="{00000000-0010-0000-4E00-000002000000}" name="Category" dataDxfId="691" totalsRowDxfId="690"/>
    <tableColumn id="3" xr3:uid="{00000000-0010-0000-4E00-000003000000}" name="Sub-Category" dataDxfId="689" totalsRowDxfId="688"/>
    <tableColumn id="4" xr3:uid="{00000000-0010-0000-4E00-000004000000}" name="Date" dataDxfId="687" totalsRowDxfId="686"/>
    <tableColumn id="5" xr3:uid="{00000000-0010-0000-4E00-000005000000}" name="Amount" dataDxfId="685" totalsRowDxfId="684" dataCellStyle="Currency"/>
    <tableColumn id="6" xr3:uid="{00000000-0010-0000-4E00-000006000000}" name="Status" dataDxfId="683" totalsRowDxfId="682"/>
  </tableColumns>
  <tableStyleInfo name="TableStyleLight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13910" displayName="Table13910" ref="B40:E46" totalsRowCount="1" headerRowDxfId="1539" dataDxfId="1538" totalsRowDxfId="1537">
  <autoFilter ref="B40:E45" xr:uid="{00000000-0009-0000-0100-000009000000}"/>
  <tableColumns count="4">
    <tableColumn id="1" xr3:uid="{00000000-0010-0000-0700-000001000000}" name="Bills" totalsRowLabel="Total" dataDxfId="1536" totalsRowDxfId="1535"/>
    <tableColumn id="2" xr3:uid="{00000000-0010-0000-0700-000002000000}" name="Budget" totalsRowFunction="sum" dataDxfId="1534" totalsRowDxfId="1533" dataCellStyle="Currency"/>
    <tableColumn id="3" xr3:uid="{00000000-0010-0000-0700-000003000000}" name="Actual" totalsRowFunction="sum" dataDxfId="1532" totalsRowDxfId="1531" dataCellStyle="Currency">
      <calculatedColumnFormula>SUMIFS(Table4[Amount],Table4[Category],Table13910[[#Headers],[Bills]],Table4[Sub-Category],Table13910[[#This Row],[Bills]])+SUMIFS(Table44[Amount],Table44[Category],Table13910[[#Headers],[Bills]],Table44[Sub-Category],Table13910[[#This Row],[Bills]])</calculatedColumnFormula>
    </tableColumn>
    <tableColumn id="4" xr3:uid="{00000000-0010-0000-0700-000004000000}" name="Variance" totalsRowFunction="sum" dataDxfId="1530" totalsRowDxfId="1529" dataCellStyle="Currency">
      <calculatedColumnFormula>Table13910[[#This Row],[Budget]]-Table13910[[#This Row],[Actual]]</calculatedColumnFormula>
    </tableColumn>
  </tableColumns>
  <tableStyleInfo name="TableStyleLight20"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4F000000}" name="Table442091" displayName="Table442091" ref="J11:O15" totalsRowShown="0" headerRowDxfId="681" dataDxfId="680">
  <autoFilter ref="J11:O15" xr:uid="{00000000-0009-0000-0100-00005A000000}"/>
  <sortState xmlns:xlrd2="http://schemas.microsoft.com/office/spreadsheetml/2017/richdata2" ref="J12:O15">
    <sortCondition ref="M11:M15"/>
  </sortState>
  <tableColumns count="6">
    <tableColumn id="1" xr3:uid="{00000000-0010-0000-4F00-000001000000}" name="Description" dataDxfId="679" totalsRowDxfId="678"/>
    <tableColumn id="2" xr3:uid="{00000000-0010-0000-4F00-000002000000}" name="Category" dataDxfId="677" totalsRowDxfId="676"/>
    <tableColumn id="3" xr3:uid="{00000000-0010-0000-4F00-000003000000}" name="Sub-Category" dataDxfId="675" totalsRowDxfId="674"/>
    <tableColumn id="4" xr3:uid="{00000000-0010-0000-4F00-000004000000}" name="Date" dataDxfId="673" totalsRowDxfId="672"/>
    <tableColumn id="5" xr3:uid="{00000000-0010-0000-4F00-000005000000}" name="Amount" dataDxfId="671" totalsRowDxfId="670" dataCellStyle="Currency"/>
    <tableColumn id="6" xr3:uid="{00000000-0010-0000-4F00-000006000000}" name="Status" dataDxfId="669" totalsRowDxfId="668"/>
  </tableColumns>
  <tableStyleInfo name="TableStyleLight20"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0000000}" name="Table192" displayName="Table192" ref="C19:F29" totalsRowCount="1" headerRowDxfId="667" dataDxfId="666" totalsRowDxfId="665">
  <autoFilter ref="C19:F28" xr:uid="{00000000-0009-0000-0100-00005B000000}"/>
  <tableColumns count="4">
    <tableColumn id="1" xr3:uid="{00000000-0010-0000-5000-000001000000}" name="Housing" totalsRowLabel="Total" dataDxfId="664" totalsRowDxfId="663"/>
    <tableColumn id="2" xr3:uid="{00000000-0010-0000-5000-000002000000}" name="Budget" totalsRowFunction="sum" dataDxfId="662" totalsRowDxfId="661" dataCellStyle="Currency"/>
    <tableColumn id="3" xr3:uid="{00000000-0010-0000-5000-000003000000}" name="Actual" totalsRowFunction="sum" dataDxfId="660" totalsRowDxfId="659" dataCellStyle="Currency">
      <calculatedColumnFormula>SUMIFS(Table494[Amount],Table494[Category],Table192[[#Headers],[Housing]],Table494[Sub-Category],Table192[[#This Row],[Housing]])+SUMIFS(Table44100[Amount],Table44100[Category],Table192[[#Headers],[Housing]],Table44100[Sub-Category],Table192[[#This Row],[Housing]])</calculatedColumnFormula>
    </tableColumn>
    <tableColumn id="6" xr3:uid="{00000000-0010-0000-5000-000006000000}" name="Variance" totalsRowFunction="sum" dataDxfId="658" totalsRowDxfId="657" dataCellStyle="Currency">
      <calculatedColumnFormula>Table192[[#This Row],[Budget]]-Table192[[#This Row],[Actual]]</calculatedColumnFormula>
    </tableColumn>
  </tableColumns>
  <tableStyleInfo name="TableStyleLight20"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1000000}" name="Table1393" displayName="Table1393" ref="C32:F37" totalsRowCount="1" headerRowDxfId="656" dataDxfId="655" totalsRowDxfId="654">
  <autoFilter ref="C32:F36" xr:uid="{00000000-0009-0000-0100-00005C000000}"/>
  <tableColumns count="4">
    <tableColumn id="1" xr3:uid="{00000000-0010-0000-5100-000001000000}" name="Transportation" totalsRowLabel="Total" dataDxfId="653" totalsRowDxfId="652"/>
    <tableColumn id="2" xr3:uid="{00000000-0010-0000-5100-000002000000}" name="Budget" totalsRowFunction="sum" dataDxfId="651" totalsRowDxfId="650" dataCellStyle="Currency"/>
    <tableColumn id="3" xr3:uid="{00000000-0010-0000-5100-000003000000}" name="Actual" totalsRowFunction="sum" dataDxfId="649" totalsRowDxfId="648" dataCellStyle="Currency">
      <calculatedColumnFormula>SUMIFS(Table494[Amount],Table494[Category],Table1393[[#Headers],[Transportation]],Table494[Sub-Category],Table1393[[#This Row],[Transportation]])+SUMIFS(Table44100[Amount],Table44100[Category],Table1393[[#Headers],[Transportation]],Table44100[Sub-Category],Table1393[[#This Row],[Transportation]])</calculatedColumnFormula>
    </tableColumn>
    <tableColumn id="4" xr3:uid="{00000000-0010-0000-5100-000004000000}" name="Variance" totalsRowFunction="sum" dataDxfId="647" totalsRowDxfId="646" dataCellStyle="Currency">
      <calculatedColumnFormula>Table1393[[#This Row],[Budget]]-Table1393[[#This Row],[Actual]]</calculatedColumnFormula>
    </tableColumn>
  </tableColumns>
  <tableStyleInfo name="TableStyleLight20"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2000000}" name="Table494" displayName="Table494" ref="J18:O31" totalsRowShown="0" headerRowDxfId="645" dataDxfId="644">
  <autoFilter ref="J18:O31" xr:uid="{00000000-0009-0000-0100-00005D000000}"/>
  <sortState xmlns:xlrd2="http://schemas.microsoft.com/office/spreadsheetml/2017/richdata2" ref="J19:O31">
    <sortCondition ref="M18:M31"/>
  </sortState>
  <tableColumns count="6">
    <tableColumn id="1" xr3:uid="{00000000-0010-0000-5200-000001000000}" name="Description" dataDxfId="643" totalsRowDxfId="642"/>
    <tableColumn id="2" xr3:uid="{00000000-0010-0000-5200-000002000000}" name="Category" dataDxfId="641" totalsRowDxfId="640"/>
    <tableColumn id="3" xr3:uid="{00000000-0010-0000-5200-000003000000}" name="Sub-Category" dataDxfId="639" totalsRowDxfId="638"/>
    <tableColumn id="4" xr3:uid="{00000000-0010-0000-5200-000004000000}" name="Date" dataDxfId="637" totalsRowDxfId="636"/>
    <tableColumn id="5" xr3:uid="{00000000-0010-0000-5200-000005000000}" name="Amount" dataDxfId="635" totalsRowDxfId="634" dataCellStyle="Currency"/>
    <tableColumn id="6" xr3:uid="{00000000-0010-0000-5200-000006000000}" name="Status" dataDxfId="633" totalsRowDxfId="632"/>
  </tableColumns>
  <tableStyleInfo name="TableStyleLight20"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3000000}" name="Table13695" displayName="Table13695" ref="C11:F16" totalsRowCount="1" headerRowDxfId="631" dataDxfId="630" totalsRowDxfId="629">
  <autoFilter ref="C11:F15" xr:uid="{00000000-0009-0000-0100-00005E000000}"/>
  <tableColumns count="4">
    <tableColumn id="1" xr3:uid="{00000000-0010-0000-5300-000001000000}" name="Income" totalsRowLabel="Total" dataDxfId="628" totalsRowDxfId="627"/>
    <tableColumn id="2" xr3:uid="{00000000-0010-0000-5300-000002000000}" name="Budget" totalsRowFunction="sum" dataDxfId="626" totalsRowDxfId="625" dataCellStyle="Currency"/>
    <tableColumn id="3" xr3:uid="{00000000-0010-0000-5300-000003000000}" name="Actual" totalsRowFunction="sum" dataDxfId="624" totalsRowDxfId="623" dataCellStyle="Currency">
      <calculatedColumnFormula>SUMIFS(Table4420101[Amount],Table4420101[Category],Table13695[[#Headers],[Income]],Table4420101[Sub-Category],Table13695[[#This Row],[Income]])+SUMIFS(Table44100[Amount],Table44100[Category],Table13695[[#Headers],[Income]],Table44100[Sub-Category],Table13695[[#This Row],[Income]])</calculatedColumnFormula>
    </tableColumn>
    <tableColumn id="4" xr3:uid="{00000000-0010-0000-5300-000004000000}" name="Variance" totalsRowFunction="sum" dataDxfId="622" totalsRowDxfId="621" dataCellStyle="Currency">
      <calculatedColumnFormula>Table13695[[#This Row],[Actual]]-Table13695[[#This Row],[Budget]]</calculatedColumnFormula>
    </tableColumn>
  </tableColumns>
  <tableStyleInfo name="TableStyleLight20"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4000000}" name="Table13796" displayName="Table13796" ref="C49:F54" totalsRowCount="1" headerRowDxfId="620" dataDxfId="619" totalsRowDxfId="618">
  <autoFilter ref="C49:F53" xr:uid="{00000000-0009-0000-0100-00005F000000}"/>
  <tableColumns count="4">
    <tableColumn id="1" xr3:uid="{00000000-0010-0000-5400-000001000000}" name="Living" totalsRowLabel="Total" dataDxfId="617" totalsRowDxfId="616"/>
    <tableColumn id="2" xr3:uid="{00000000-0010-0000-5400-000002000000}" name="Budget" totalsRowFunction="sum" dataDxfId="615" totalsRowDxfId="614" dataCellStyle="Currency"/>
    <tableColumn id="3" xr3:uid="{00000000-0010-0000-5400-000003000000}" name="Actual" totalsRowFunction="sum" dataDxfId="613" totalsRowDxfId="612" dataCellStyle="Currency">
      <calculatedColumnFormula>SUMIFS(Table494[Amount],Table494[Category],Table13796[[#Headers],[Living]],Table494[Sub-Category],Table13796[[#This Row],[Living]])+SUMIFS(Table44100[Amount],Table44100[Category],Table13796[[#Headers],[Living]],Table44100[Sub-Category],Table13796[[#This Row],[Living]])</calculatedColumnFormula>
    </tableColumn>
    <tableColumn id="4" xr3:uid="{00000000-0010-0000-5400-000004000000}" name="Variance" totalsRowFunction="sum" dataDxfId="611" totalsRowDxfId="610" dataCellStyle="Currency">
      <calculatedColumnFormula>Table13796[[#This Row],[Budget]]-Table13796[[#This Row],[Actual]]</calculatedColumnFormula>
    </tableColumn>
  </tableColumns>
  <tableStyleInfo name="TableStyleLight20"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5000000}" name="Table13897" displayName="Table13897" ref="C57:F60" totalsRowCount="1" headerRowDxfId="609" dataDxfId="608" totalsRowDxfId="607">
  <autoFilter ref="C57:F59" xr:uid="{00000000-0009-0000-0100-000060000000}"/>
  <tableColumns count="4">
    <tableColumn id="1" xr3:uid="{00000000-0010-0000-5500-000001000000}" name="Entertainment" totalsRowLabel="Total" dataDxfId="606" totalsRowDxfId="605"/>
    <tableColumn id="2" xr3:uid="{00000000-0010-0000-5500-000002000000}" name="Budget" totalsRowFunction="sum" dataDxfId="604" totalsRowDxfId="603" dataCellStyle="Currency"/>
    <tableColumn id="3" xr3:uid="{00000000-0010-0000-5500-000003000000}" name="Actual" totalsRowFunction="sum" dataDxfId="602" totalsRowDxfId="601" dataCellStyle="Currency">
      <calculatedColumnFormula>SUMIFS(Table494[Amount],Table494[Category],Table13897[[#Headers],[Entertainment]],Table494[Sub-Category],Table13897[[#This Row],[Entertainment]])+SUMIFS(Table44100[Amount],Table44100[Category],Table13897[[#Headers],[Entertainment]],Table44100[Sub-Category],Table13897[[#This Row],[Entertainment]])</calculatedColumnFormula>
    </tableColumn>
    <tableColumn id="4" xr3:uid="{00000000-0010-0000-5500-000004000000}" name="Variance" totalsRowFunction="sum" dataDxfId="600" totalsRowDxfId="599" dataCellStyle="Currency">
      <calculatedColumnFormula>Table13897[[#This Row],[Budget]]-Table13897[[#This Row],[Actual]]</calculatedColumnFormula>
    </tableColumn>
  </tableColumns>
  <tableStyleInfo name="TableStyleLight20"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56000000}" name="Table13998" displayName="Table13998" ref="C63:F66" totalsRowCount="1" headerRowDxfId="598" dataDxfId="597" totalsRowDxfId="596">
  <autoFilter ref="C63:F65" xr:uid="{00000000-0009-0000-0100-000061000000}"/>
  <tableColumns count="4">
    <tableColumn id="1" xr3:uid="{00000000-0010-0000-5600-000001000000}" name="Misc." totalsRowLabel="Total" dataDxfId="595" totalsRowDxfId="594"/>
    <tableColumn id="2" xr3:uid="{00000000-0010-0000-5600-000002000000}" name="Budget" totalsRowFunction="sum" dataDxfId="593" totalsRowDxfId="592" dataCellStyle="Currency"/>
    <tableColumn id="3" xr3:uid="{00000000-0010-0000-5600-000003000000}" name="Actual" totalsRowFunction="sum" dataDxfId="591" totalsRowDxfId="590" dataCellStyle="Currency">
      <calculatedColumnFormula>SUMIFS(Table494[Amount],Table494[Category],Table13998[[#Headers],[Misc.]],Table494[Sub-Category],Table13998[[#This Row],[Misc.]])+SUMIFS(Table44100[Amount],Table44100[Category],Table13998[[#Headers],[Misc.]],Table44100[Sub-Category],Table13998[[#This Row],[Misc.]])</calculatedColumnFormula>
    </tableColumn>
    <tableColumn id="4" xr3:uid="{00000000-0010-0000-5600-000004000000}" name="Variance" totalsRowFunction="sum" dataDxfId="589" totalsRowDxfId="588" dataCellStyle="Currency">
      <calculatedColumnFormula>Table13998[[#This Row],[Budget]]-Table13998[[#This Row],[Actual]]</calculatedColumnFormula>
    </tableColumn>
  </tableColumns>
  <tableStyleInfo name="TableStyleLight20"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57000000}" name="Table1391099" displayName="Table1391099" ref="C40:F46" totalsRowCount="1" headerRowDxfId="587" dataDxfId="586" totalsRowDxfId="585">
  <autoFilter ref="C40:F45" xr:uid="{00000000-0009-0000-0100-000062000000}"/>
  <tableColumns count="4">
    <tableColumn id="1" xr3:uid="{00000000-0010-0000-5700-000001000000}" name="Bills" totalsRowLabel="Total" dataDxfId="584" totalsRowDxfId="583"/>
    <tableColumn id="2" xr3:uid="{00000000-0010-0000-5700-000002000000}" name="Budget" totalsRowFunction="sum" dataDxfId="582" totalsRowDxfId="581" dataCellStyle="Currency"/>
    <tableColumn id="3" xr3:uid="{00000000-0010-0000-5700-000003000000}" name="Actual" totalsRowFunction="sum" dataDxfId="580" totalsRowDxfId="579" dataCellStyle="Currency">
      <calculatedColumnFormula>SUMIFS(Table494[Amount],Table494[Category],Table1391099[[#Headers],[Bills]],Table494[Sub-Category],Table1391099[[#This Row],[Bills]])+SUMIFS(Table44100[Amount],Table44100[Category],Table1391099[[#Headers],[Bills]],Table44100[Sub-Category],Table1391099[[#This Row],[Bills]])</calculatedColumnFormula>
    </tableColumn>
    <tableColumn id="4" xr3:uid="{00000000-0010-0000-5700-000004000000}" name="Variance" totalsRowFunction="sum" dataDxfId="578" totalsRowDxfId="577" dataCellStyle="Currency">
      <calculatedColumnFormula>Table1391099[[#This Row],[Budget]]-Table1391099[[#This Row],[Actual]]</calculatedColumnFormula>
    </tableColumn>
  </tableColumns>
  <tableStyleInfo name="TableStyleLight20"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58000000}" name="Table44100" displayName="Table44100" ref="J34:O40" totalsRowShown="0" headerRowDxfId="576" dataDxfId="575">
  <autoFilter ref="J34:O40" xr:uid="{00000000-0009-0000-0100-000063000000}"/>
  <tableColumns count="6">
    <tableColumn id="1" xr3:uid="{00000000-0010-0000-5800-000001000000}" name="Description" dataDxfId="574" totalsRowDxfId="573"/>
    <tableColumn id="2" xr3:uid="{00000000-0010-0000-5800-000002000000}" name="Category" dataDxfId="572" totalsRowDxfId="571"/>
    <tableColumn id="3" xr3:uid="{00000000-0010-0000-5800-000003000000}" name="Sub-Category" dataDxfId="570" totalsRowDxfId="569"/>
    <tableColumn id="4" xr3:uid="{00000000-0010-0000-5800-000004000000}" name="Date" dataDxfId="568" totalsRowDxfId="567"/>
    <tableColumn id="5" xr3:uid="{00000000-0010-0000-5800-000005000000}" name="Amount" dataDxfId="566" totalsRowDxfId="565" dataCellStyle="Currency"/>
    <tableColumn id="6" xr3:uid="{00000000-0010-0000-5800-000006000000}" name="Status" dataDxfId="564" totalsRowDxfId="563"/>
  </tableColumns>
  <tableStyleInfo name="TableStyleLight2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44" displayName="Table44" ref="I34:N40" totalsRowShown="0" headerRowDxfId="1528" dataDxfId="1527">
  <autoFilter ref="I34:N40" xr:uid="{00000000-0009-0000-0100-000003000000}"/>
  <tableColumns count="6">
    <tableColumn id="1" xr3:uid="{00000000-0010-0000-0800-000001000000}" name="Description" dataDxfId="1526" totalsRowDxfId="1525"/>
    <tableColumn id="2" xr3:uid="{00000000-0010-0000-0800-000002000000}" name="Category" dataDxfId="1524" totalsRowDxfId="1523"/>
    <tableColumn id="3" xr3:uid="{00000000-0010-0000-0800-000003000000}" name="Sub-Category" dataDxfId="1522" totalsRowDxfId="1521"/>
    <tableColumn id="4" xr3:uid="{00000000-0010-0000-0800-000004000000}" name="Date" dataDxfId="1520" totalsRowDxfId="1519"/>
    <tableColumn id="5" xr3:uid="{00000000-0010-0000-0800-000005000000}" name="Amount" dataDxfId="1518" totalsRowDxfId="1517" dataCellStyle="Currency"/>
    <tableColumn id="6" xr3:uid="{00000000-0010-0000-0800-000006000000}" name="Status" dataDxfId="1516" totalsRowDxfId="1515"/>
  </tableColumns>
  <tableStyleInfo name="TableStyleLight20"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59000000}" name="Table4420101" displayName="Table4420101" ref="J11:O15" totalsRowShown="0" headerRowDxfId="562" dataDxfId="561">
  <autoFilter ref="J11:O15" xr:uid="{00000000-0009-0000-0100-000064000000}"/>
  <sortState xmlns:xlrd2="http://schemas.microsoft.com/office/spreadsheetml/2017/richdata2" ref="J12:O15">
    <sortCondition ref="M11:M15"/>
  </sortState>
  <tableColumns count="6">
    <tableColumn id="1" xr3:uid="{00000000-0010-0000-5900-000001000000}" name="Description" dataDxfId="560" totalsRowDxfId="559"/>
    <tableColumn id="2" xr3:uid="{00000000-0010-0000-5900-000002000000}" name="Category" dataDxfId="558" totalsRowDxfId="557"/>
    <tableColumn id="3" xr3:uid="{00000000-0010-0000-5900-000003000000}" name="Sub-Category" dataDxfId="556" totalsRowDxfId="555"/>
    <tableColumn id="4" xr3:uid="{00000000-0010-0000-5900-000004000000}" name="Date" dataDxfId="554" totalsRowDxfId="553"/>
    <tableColumn id="5" xr3:uid="{00000000-0010-0000-5900-000005000000}" name="Amount" dataDxfId="552" totalsRowDxfId="551" dataCellStyle="Currency"/>
    <tableColumn id="6" xr3:uid="{00000000-0010-0000-5900-000006000000}" name="Status" dataDxfId="550" totalsRowDxfId="549"/>
  </tableColumns>
  <tableStyleInfo name="TableStyleLight20"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5A000000}" name="Table1102" displayName="Table1102" ref="C19:F29" totalsRowCount="1" headerRowDxfId="548" dataDxfId="547" totalsRowDxfId="546">
  <autoFilter ref="C19:F28" xr:uid="{00000000-0009-0000-0100-000065000000}"/>
  <tableColumns count="4">
    <tableColumn id="1" xr3:uid="{00000000-0010-0000-5A00-000001000000}" name="Housing" totalsRowLabel="Total" dataDxfId="545" totalsRowDxfId="544"/>
    <tableColumn id="2" xr3:uid="{00000000-0010-0000-5A00-000002000000}" name="Budget" totalsRowFunction="sum" dataDxfId="543" totalsRowDxfId="542" dataCellStyle="Currency"/>
    <tableColumn id="3" xr3:uid="{00000000-0010-0000-5A00-000003000000}" name="Actual" totalsRowFunction="sum" dataDxfId="541" totalsRowDxfId="540" dataCellStyle="Currency">
      <calculatedColumnFormula>SUMIFS(Table4104[Amount],Table4104[Category],Table1102[[#Headers],[Housing]],Table4104[Sub-Category],Table1102[[#This Row],[Housing]])+SUMIFS(Table44110[Amount],Table44110[Category],Table1102[[#Headers],[Housing]],Table44110[Sub-Category],Table1102[[#This Row],[Housing]])</calculatedColumnFormula>
    </tableColumn>
    <tableColumn id="6" xr3:uid="{00000000-0010-0000-5A00-000006000000}" name="Variance" totalsRowFunction="sum" dataDxfId="539" totalsRowDxfId="538" dataCellStyle="Currency">
      <calculatedColumnFormula>Table1102[[#This Row],[Budget]]-Table1102[[#This Row],[Actual]]</calculatedColumnFormula>
    </tableColumn>
  </tableColumns>
  <tableStyleInfo name="TableStyleLight20"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5B000000}" name="Table13103" displayName="Table13103" ref="C32:F37" totalsRowCount="1" headerRowDxfId="537" dataDxfId="536" totalsRowDxfId="535">
  <autoFilter ref="C32:F36" xr:uid="{00000000-0009-0000-0100-000066000000}"/>
  <tableColumns count="4">
    <tableColumn id="1" xr3:uid="{00000000-0010-0000-5B00-000001000000}" name="Transportation" totalsRowLabel="Total" dataDxfId="534" totalsRowDxfId="533"/>
    <tableColumn id="2" xr3:uid="{00000000-0010-0000-5B00-000002000000}" name="Budget" totalsRowFunction="sum" dataDxfId="532" totalsRowDxfId="531" dataCellStyle="Currency"/>
    <tableColumn id="3" xr3:uid="{00000000-0010-0000-5B00-000003000000}" name="Actual" totalsRowFunction="sum" dataDxfId="530" totalsRowDxfId="529" dataCellStyle="Currency">
      <calculatedColumnFormula>SUMIFS(Table4104[Amount],Table4104[Category],Table13103[[#Headers],[Transportation]],Table4104[Sub-Category],Table13103[[#This Row],[Transportation]])+SUMIFS(Table44110[Amount],Table44110[Category],Table13103[[#Headers],[Transportation]],Table44110[Sub-Category],Table13103[[#This Row],[Transportation]])</calculatedColumnFormula>
    </tableColumn>
    <tableColumn id="4" xr3:uid="{00000000-0010-0000-5B00-000004000000}" name="Variance" totalsRowFunction="sum" dataDxfId="528" totalsRowDxfId="527" dataCellStyle="Currency">
      <calculatedColumnFormula>Table13103[[#This Row],[Budget]]-Table13103[[#This Row],[Actual]]</calculatedColumnFormula>
    </tableColumn>
  </tableColumns>
  <tableStyleInfo name="TableStyleLight20"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5C000000}" name="Table4104" displayName="Table4104" ref="J18:O31" totalsRowShown="0" headerRowDxfId="526" dataDxfId="525">
  <autoFilter ref="J18:O31" xr:uid="{00000000-0009-0000-0100-000067000000}"/>
  <sortState xmlns:xlrd2="http://schemas.microsoft.com/office/spreadsheetml/2017/richdata2" ref="J19:O31">
    <sortCondition ref="M18:M31"/>
  </sortState>
  <tableColumns count="6">
    <tableColumn id="1" xr3:uid="{00000000-0010-0000-5C00-000001000000}" name="Description" dataDxfId="524" totalsRowDxfId="523"/>
    <tableColumn id="2" xr3:uid="{00000000-0010-0000-5C00-000002000000}" name="Category" dataDxfId="522" totalsRowDxfId="521"/>
    <tableColumn id="3" xr3:uid="{00000000-0010-0000-5C00-000003000000}" name="Sub-Category" dataDxfId="520" totalsRowDxfId="519"/>
    <tableColumn id="4" xr3:uid="{00000000-0010-0000-5C00-000004000000}" name="Date" dataDxfId="518" totalsRowDxfId="517"/>
    <tableColumn id="5" xr3:uid="{00000000-0010-0000-5C00-000005000000}" name="Amount" dataDxfId="516" totalsRowDxfId="515" dataCellStyle="Currency"/>
    <tableColumn id="6" xr3:uid="{00000000-0010-0000-5C00-000006000000}" name="Status" dataDxfId="514" totalsRowDxfId="513"/>
  </tableColumns>
  <tableStyleInfo name="TableStyleLight20"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5D000000}" name="Table136105" displayName="Table136105" ref="C11:F16" totalsRowCount="1" headerRowDxfId="512" dataDxfId="511" totalsRowDxfId="510">
  <autoFilter ref="C11:F15" xr:uid="{00000000-0009-0000-0100-000068000000}"/>
  <tableColumns count="4">
    <tableColumn id="1" xr3:uid="{00000000-0010-0000-5D00-000001000000}" name="Income" totalsRowLabel="Total" dataDxfId="509" totalsRowDxfId="508"/>
    <tableColumn id="2" xr3:uid="{00000000-0010-0000-5D00-000002000000}" name="Budget" totalsRowFunction="sum" dataDxfId="507" totalsRowDxfId="506" dataCellStyle="Currency"/>
    <tableColumn id="3" xr3:uid="{00000000-0010-0000-5D00-000003000000}" name="Actual" totalsRowFunction="sum" dataDxfId="505" totalsRowDxfId="504" dataCellStyle="Currency">
      <calculatedColumnFormula>SUMIFS(Table4420111[Amount],Table4420111[Category],Table136105[[#Headers],[Income]],Table4420111[Sub-Category],Table136105[[#This Row],[Income]])+SUMIFS(Table44110[Amount],Table44110[Category],Table136105[[#Headers],[Income]],Table44110[Sub-Category],Table136105[[#This Row],[Income]])</calculatedColumnFormula>
    </tableColumn>
    <tableColumn id="4" xr3:uid="{00000000-0010-0000-5D00-000004000000}" name="Variance" totalsRowFunction="sum" dataDxfId="503" totalsRowDxfId="502" dataCellStyle="Currency">
      <calculatedColumnFormula>Table136105[[#This Row],[Actual]]-Table136105[[#This Row],[Budget]]</calculatedColumnFormula>
    </tableColumn>
  </tableColumns>
  <tableStyleInfo name="TableStyleLight20"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5E000000}" name="Table137106" displayName="Table137106" ref="C49:F54" totalsRowCount="1" headerRowDxfId="501" dataDxfId="500" totalsRowDxfId="499">
  <autoFilter ref="C49:F53" xr:uid="{00000000-0009-0000-0100-000069000000}"/>
  <tableColumns count="4">
    <tableColumn id="1" xr3:uid="{00000000-0010-0000-5E00-000001000000}" name="Living" totalsRowLabel="Total" dataDxfId="498" totalsRowDxfId="497"/>
    <tableColumn id="2" xr3:uid="{00000000-0010-0000-5E00-000002000000}" name="Budget" totalsRowFunction="sum" dataDxfId="496" totalsRowDxfId="495" dataCellStyle="Currency"/>
    <tableColumn id="3" xr3:uid="{00000000-0010-0000-5E00-000003000000}" name="Actual" totalsRowFunction="sum" dataDxfId="494" totalsRowDxfId="493" dataCellStyle="Currency">
      <calculatedColumnFormula>SUMIFS(Table4104[Amount],Table4104[Category],Table137106[[#Headers],[Living]],Table4104[Sub-Category],Table137106[[#This Row],[Living]])+SUMIFS(Table44110[Amount],Table44110[Category],Table137106[[#Headers],[Living]],Table44110[Sub-Category],Table137106[[#This Row],[Living]])</calculatedColumnFormula>
    </tableColumn>
    <tableColumn id="4" xr3:uid="{00000000-0010-0000-5E00-000004000000}" name="Variance" totalsRowFunction="sum" dataDxfId="492" totalsRowDxfId="491" dataCellStyle="Currency">
      <calculatedColumnFormula>Table137106[[#This Row],[Budget]]-Table137106[[#This Row],[Actual]]</calculatedColumnFormula>
    </tableColumn>
  </tableColumns>
  <tableStyleInfo name="TableStyleLight20"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5F000000}" name="Table138107" displayName="Table138107" ref="C57:F60" totalsRowCount="1" headerRowDxfId="490" dataDxfId="489" totalsRowDxfId="488">
  <autoFilter ref="C57:F59" xr:uid="{00000000-0009-0000-0100-00006A000000}"/>
  <tableColumns count="4">
    <tableColumn id="1" xr3:uid="{00000000-0010-0000-5F00-000001000000}" name="Entertainment" totalsRowLabel="Total" dataDxfId="487" totalsRowDxfId="486"/>
    <tableColumn id="2" xr3:uid="{00000000-0010-0000-5F00-000002000000}" name="Budget" totalsRowFunction="sum" dataDxfId="485" totalsRowDxfId="484" dataCellStyle="Currency"/>
    <tableColumn id="3" xr3:uid="{00000000-0010-0000-5F00-000003000000}" name="Actual" totalsRowFunction="sum" dataDxfId="483" totalsRowDxfId="482" dataCellStyle="Currency">
      <calculatedColumnFormula>SUMIFS(Table4104[Amount],Table4104[Category],Table138107[[#Headers],[Entertainment]],Table4104[Sub-Category],Table138107[[#This Row],[Entertainment]])+SUMIFS(Table44110[Amount],Table44110[Category],Table138107[[#Headers],[Entertainment]],Table44110[Sub-Category],Table138107[[#This Row],[Entertainment]])</calculatedColumnFormula>
    </tableColumn>
    <tableColumn id="4" xr3:uid="{00000000-0010-0000-5F00-000004000000}" name="Variance" totalsRowFunction="sum" dataDxfId="481" totalsRowDxfId="480" dataCellStyle="Currency">
      <calculatedColumnFormula>Table138107[[#This Row],[Budget]]-Table138107[[#This Row],[Actual]]</calculatedColumnFormula>
    </tableColumn>
  </tableColumns>
  <tableStyleInfo name="TableStyleLight20"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0000000}" name="Table139108" displayName="Table139108" ref="C63:F66" totalsRowCount="1" headerRowDxfId="479" dataDxfId="478" totalsRowDxfId="477">
  <autoFilter ref="C63:F65" xr:uid="{00000000-0009-0000-0100-00006B000000}"/>
  <tableColumns count="4">
    <tableColumn id="1" xr3:uid="{00000000-0010-0000-6000-000001000000}" name="Misc." totalsRowLabel="Total" dataDxfId="476" totalsRowDxfId="475"/>
    <tableColumn id="2" xr3:uid="{00000000-0010-0000-6000-000002000000}" name="Budget" totalsRowFunction="sum" dataDxfId="474" totalsRowDxfId="473" dataCellStyle="Currency"/>
    <tableColumn id="3" xr3:uid="{00000000-0010-0000-6000-000003000000}" name="Actual" totalsRowFunction="sum" dataDxfId="472" totalsRowDxfId="471" dataCellStyle="Currency">
      <calculatedColumnFormula>SUMIFS(Table4104[Amount],Table4104[Category],Table139108[[#Headers],[Misc.]],Table4104[Sub-Category],Table139108[[#This Row],[Misc.]])+SUMIFS(Table44110[Amount],Table44110[Category],Table139108[[#Headers],[Misc.]],Table44110[Sub-Category],Table139108[[#This Row],[Misc.]])</calculatedColumnFormula>
    </tableColumn>
    <tableColumn id="4" xr3:uid="{00000000-0010-0000-6000-000004000000}" name="Variance" totalsRowFunction="sum" dataDxfId="470" totalsRowDxfId="469" dataCellStyle="Currency">
      <calculatedColumnFormula>Table139108[[#This Row],[Budget]]-Table139108[[#This Row],[Actual]]</calculatedColumnFormula>
    </tableColumn>
  </tableColumns>
  <tableStyleInfo name="TableStyleLight20"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1000000}" name="Table13910109" displayName="Table13910109" ref="C40:F46" totalsRowCount="1" headerRowDxfId="468" dataDxfId="467" totalsRowDxfId="466">
  <autoFilter ref="C40:F45" xr:uid="{00000000-0009-0000-0100-00006C000000}"/>
  <tableColumns count="4">
    <tableColumn id="1" xr3:uid="{00000000-0010-0000-6100-000001000000}" name="Bills" totalsRowLabel="Total" dataDxfId="465" totalsRowDxfId="464"/>
    <tableColumn id="2" xr3:uid="{00000000-0010-0000-6100-000002000000}" name="Budget" totalsRowFunction="sum" dataDxfId="463" totalsRowDxfId="462" dataCellStyle="Currency"/>
    <tableColumn id="3" xr3:uid="{00000000-0010-0000-6100-000003000000}" name="Actual" totalsRowFunction="sum" dataDxfId="461" totalsRowDxfId="460" dataCellStyle="Currency">
      <calculatedColumnFormula>SUMIFS(Table4104[Amount],Table4104[Category],Table13910109[[#Headers],[Bills]],Table4104[Sub-Category],Table13910109[[#This Row],[Bills]])+SUMIFS(Table44110[Amount],Table44110[Category],Table13910109[[#Headers],[Bills]],Table44110[Sub-Category],Table13910109[[#This Row],[Bills]])</calculatedColumnFormula>
    </tableColumn>
    <tableColumn id="4" xr3:uid="{00000000-0010-0000-6100-000004000000}" name="Variance" totalsRowFunction="sum" dataDxfId="459" totalsRowDxfId="458" dataCellStyle="Currency">
      <calculatedColumnFormula>Table13910109[[#This Row],[Budget]]-Table13910109[[#This Row],[Actual]]</calculatedColumnFormula>
    </tableColumn>
  </tableColumns>
  <tableStyleInfo name="TableStyleLight20"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2000000}" name="Table44110" displayName="Table44110" ref="J34:O40" totalsRowShown="0" headerRowDxfId="457" dataDxfId="456">
  <autoFilter ref="J34:O40" xr:uid="{00000000-0009-0000-0100-00006D000000}"/>
  <tableColumns count="6">
    <tableColumn id="1" xr3:uid="{00000000-0010-0000-6200-000001000000}" name="Description" dataDxfId="455" totalsRowDxfId="454"/>
    <tableColumn id="2" xr3:uid="{00000000-0010-0000-6200-000002000000}" name="Category" dataDxfId="453" totalsRowDxfId="452"/>
    <tableColumn id="3" xr3:uid="{00000000-0010-0000-6200-000003000000}" name="Sub-Category" dataDxfId="451" totalsRowDxfId="450"/>
    <tableColumn id="4" xr3:uid="{00000000-0010-0000-6200-000004000000}" name="Date" dataDxfId="449" totalsRowDxfId="448"/>
    <tableColumn id="5" xr3:uid="{00000000-0010-0000-6200-000005000000}" name="Amount" dataDxfId="447" totalsRowDxfId="446" dataCellStyle="Currency"/>
    <tableColumn id="6" xr3:uid="{00000000-0010-0000-6200-000006000000}" name="Status" dataDxfId="445" totalsRowDxfId="444"/>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3" Type="http://schemas.openxmlformats.org/officeDocument/2006/relationships/vmlDrawing" Target="../drawings/vmlDrawing1.vml"/><Relationship Id="rId7" Type="http://schemas.openxmlformats.org/officeDocument/2006/relationships/table" Target="../tables/table4.xml"/><Relationship Id="rId12"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6.xml"/><Relationship Id="rId3" Type="http://schemas.openxmlformats.org/officeDocument/2006/relationships/table" Target="../tables/table91.xml"/><Relationship Id="rId7" Type="http://schemas.openxmlformats.org/officeDocument/2006/relationships/table" Target="../tables/table95.xml"/><Relationship Id="rId12" Type="http://schemas.openxmlformats.org/officeDocument/2006/relationships/table" Target="../tables/table100.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94.xml"/><Relationship Id="rId11" Type="http://schemas.openxmlformats.org/officeDocument/2006/relationships/table" Target="../tables/table99.xml"/><Relationship Id="rId5" Type="http://schemas.openxmlformats.org/officeDocument/2006/relationships/table" Target="../tables/table93.xml"/><Relationship Id="rId10" Type="http://schemas.openxmlformats.org/officeDocument/2006/relationships/table" Target="../tables/table98.xml"/><Relationship Id="rId4" Type="http://schemas.openxmlformats.org/officeDocument/2006/relationships/table" Target="../tables/table92.xml"/><Relationship Id="rId9" Type="http://schemas.openxmlformats.org/officeDocument/2006/relationships/table" Target="../tables/table97.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106.xml"/><Relationship Id="rId3" Type="http://schemas.openxmlformats.org/officeDocument/2006/relationships/table" Target="../tables/table101.xml"/><Relationship Id="rId7" Type="http://schemas.openxmlformats.org/officeDocument/2006/relationships/table" Target="../tables/table105.xml"/><Relationship Id="rId12" Type="http://schemas.openxmlformats.org/officeDocument/2006/relationships/table" Target="../tables/table110.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table" Target="../tables/table104.xml"/><Relationship Id="rId11" Type="http://schemas.openxmlformats.org/officeDocument/2006/relationships/table" Target="../tables/table109.xml"/><Relationship Id="rId5" Type="http://schemas.openxmlformats.org/officeDocument/2006/relationships/table" Target="../tables/table103.xml"/><Relationship Id="rId10" Type="http://schemas.openxmlformats.org/officeDocument/2006/relationships/table" Target="../tables/table108.xml"/><Relationship Id="rId4" Type="http://schemas.openxmlformats.org/officeDocument/2006/relationships/table" Target="../tables/table102.xml"/><Relationship Id="rId9" Type="http://schemas.openxmlformats.org/officeDocument/2006/relationships/table" Target="../tables/table107.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16.xml"/><Relationship Id="rId3" Type="http://schemas.openxmlformats.org/officeDocument/2006/relationships/table" Target="../tables/table111.xml"/><Relationship Id="rId7" Type="http://schemas.openxmlformats.org/officeDocument/2006/relationships/table" Target="../tables/table115.xml"/><Relationship Id="rId12" Type="http://schemas.openxmlformats.org/officeDocument/2006/relationships/table" Target="../tables/table120.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table" Target="../tables/table114.xml"/><Relationship Id="rId11" Type="http://schemas.openxmlformats.org/officeDocument/2006/relationships/table" Target="../tables/table119.xml"/><Relationship Id="rId5" Type="http://schemas.openxmlformats.org/officeDocument/2006/relationships/table" Target="../tables/table113.xml"/><Relationship Id="rId10" Type="http://schemas.openxmlformats.org/officeDocument/2006/relationships/table" Target="../tables/table118.xml"/><Relationship Id="rId4" Type="http://schemas.openxmlformats.org/officeDocument/2006/relationships/table" Target="../tables/table112.xml"/><Relationship Id="rId9" Type="http://schemas.openxmlformats.org/officeDocument/2006/relationships/table" Target="../tables/table117.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6.xml"/><Relationship Id="rId3" Type="http://schemas.openxmlformats.org/officeDocument/2006/relationships/table" Target="../tables/table21.xml"/><Relationship Id="rId7" Type="http://schemas.openxmlformats.org/officeDocument/2006/relationships/table" Target="../tables/table25.xml"/><Relationship Id="rId12" Type="http://schemas.openxmlformats.org/officeDocument/2006/relationships/table" Target="../tables/table30.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24.xml"/><Relationship Id="rId11" Type="http://schemas.openxmlformats.org/officeDocument/2006/relationships/table" Target="../tables/table29.xml"/><Relationship Id="rId5" Type="http://schemas.openxmlformats.org/officeDocument/2006/relationships/table" Target="../tables/table23.xml"/><Relationship Id="rId10" Type="http://schemas.openxmlformats.org/officeDocument/2006/relationships/table" Target="../tables/table28.xml"/><Relationship Id="rId4" Type="http://schemas.openxmlformats.org/officeDocument/2006/relationships/table" Target="../tables/table22.xml"/><Relationship Id="rId9" Type="http://schemas.openxmlformats.org/officeDocument/2006/relationships/table" Target="../tables/table27.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12" Type="http://schemas.openxmlformats.org/officeDocument/2006/relationships/table" Target="../tables/table40.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34.xml"/><Relationship Id="rId11" Type="http://schemas.openxmlformats.org/officeDocument/2006/relationships/table" Target="../tables/table39.xml"/><Relationship Id="rId5" Type="http://schemas.openxmlformats.org/officeDocument/2006/relationships/table" Target="../tables/table33.xml"/><Relationship Id="rId10" Type="http://schemas.openxmlformats.org/officeDocument/2006/relationships/table" Target="../tables/table38.xml"/><Relationship Id="rId4" Type="http://schemas.openxmlformats.org/officeDocument/2006/relationships/table" Target="../tables/table32.xml"/><Relationship Id="rId9" Type="http://schemas.openxmlformats.org/officeDocument/2006/relationships/table" Target="../tables/table3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6.xml"/><Relationship Id="rId3" Type="http://schemas.openxmlformats.org/officeDocument/2006/relationships/table" Target="../tables/table41.xml"/><Relationship Id="rId7" Type="http://schemas.openxmlformats.org/officeDocument/2006/relationships/table" Target="../tables/table45.xml"/><Relationship Id="rId12" Type="http://schemas.openxmlformats.org/officeDocument/2006/relationships/table" Target="../tables/table50.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table" Target="../tables/table44.xml"/><Relationship Id="rId11" Type="http://schemas.openxmlformats.org/officeDocument/2006/relationships/table" Target="../tables/table49.xml"/><Relationship Id="rId5" Type="http://schemas.openxmlformats.org/officeDocument/2006/relationships/table" Target="../tables/table43.xml"/><Relationship Id="rId10" Type="http://schemas.openxmlformats.org/officeDocument/2006/relationships/table" Target="../tables/table48.xml"/><Relationship Id="rId4" Type="http://schemas.openxmlformats.org/officeDocument/2006/relationships/table" Target="../tables/table42.xml"/><Relationship Id="rId9" Type="http://schemas.openxmlformats.org/officeDocument/2006/relationships/table" Target="../tables/table47.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6.xml"/><Relationship Id="rId3" Type="http://schemas.openxmlformats.org/officeDocument/2006/relationships/table" Target="../tables/table51.xml"/><Relationship Id="rId7" Type="http://schemas.openxmlformats.org/officeDocument/2006/relationships/table" Target="../tables/table55.xml"/><Relationship Id="rId12" Type="http://schemas.openxmlformats.org/officeDocument/2006/relationships/table" Target="../tables/table6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table" Target="../tables/table54.xml"/><Relationship Id="rId11" Type="http://schemas.openxmlformats.org/officeDocument/2006/relationships/table" Target="../tables/table59.xml"/><Relationship Id="rId5" Type="http://schemas.openxmlformats.org/officeDocument/2006/relationships/table" Target="../tables/table53.xml"/><Relationship Id="rId10" Type="http://schemas.openxmlformats.org/officeDocument/2006/relationships/table" Target="../tables/table58.xml"/><Relationship Id="rId4" Type="http://schemas.openxmlformats.org/officeDocument/2006/relationships/table" Target="../tables/table52.xml"/><Relationship Id="rId9" Type="http://schemas.openxmlformats.org/officeDocument/2006/relationships/table" Target="../tables/table57.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6.xml"/><Relationship Id="rId3" Type="http://schemas.openxmlformats.org/officeDocument/2006/relationships/table" Target="../tables/table61.xml"/><Relationship Id="rId7" Type="http://schemas.openxmlformats.org/officeDocument/2006/relationships/table" Target="../tables/table65.xml"/><Relationship Id="rId12" Type="http://schemas.openxmlformats.org/officeDocument/2006/relationships/table" Target="../tables/table70.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table" Target="../tables/table64.xml"/><Relationship Id="rId11" Type="http://schemas.openxmlformats.org/officeDocument/2006/relationships/table" Target="../tables/table69.xml"/><Relationship Id="rId5" Type="http://schemas.openxmlformats.org/officeDocument/2006/relationships/table" Target="../tables/table63.xml"/><Relationship Id="rId10" Type="http://schemas.openxmlformats.org/officeDocument/2006/relationships/table" Target="../tables/table68.xml"/><Relationship Id="rId4" Type="http://schemas.openxmlformats.org/officeDocument/2006/relationships/table" Target="../tables/table62.xml"/><Relationship Id="rId9" Type="http://schemas.openxmlformats.org/officeDocument/2006/relationships/table" Target="../tables/table6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6.xml"/><Relationship Id="rId3" Type="http://schemas.openxmlformats.org/officeDocument/2006/relationships/table" Target="../tables/table71.xml"/><Relationship Id="rId7" Type="http://schemas.openxmlformats.org/officeDocument/2006/relationships/table" Target="../tables/table75.xml"/><Relationship Id="rId12" Type="http://schemas.openxmlformats.org/officeDocument/2006/relationships/table" Target="../tables/table80.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table" Target="../tables/table74.xml"/><Relationship Id="rId11" Type="http://schemas.openxmlformats.org/officeDocument/2006/relationships/table" Target="../tables/table79.xml"/><Relationship Id="rId5" Type="http://schemas.openxmlformats.org/officeDocument/2006/relationships/table" Target="../tables/table73.xml"/><Relationship Id="rId10" Type="http://schemas.openxmlformats.org/officeDocument/2006/relationships/table" Target="../tables/table78.xml"/><Relationship Id="rId4" Type="http://schemas.openxmlformats.org/officeDocument/2006/relationships/table" Target="../tables/table72.xml"/><Relationship Id="rId9" Type="http://schemas.openxmlformats.org/officeDocument/2006/relationships/table" Target="../tables/table77.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6.xml"/><Relationship Id="rId3" Type="http://schemas.openxmlformats.org/officeDocument/2006/relationships/table" Target="../tables/table81.xml"/><Relationship Id="rId7" Type="http://schemas.openxmlformats.org/officeDocument/2006/relationships/table" Target="../tables/table85.xml"/><Relationship Id="rId12" Type="http://schemas.openxmlformats.org/officeDocument/2006/relationships/table" Target="../tables/table90.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84.xml"/><Relationship Id="rId11" Type="http://schemas.openxmlformats.org/officeDocument/2006/relationships/table" Target="../tables/table89.xml"/><Relationship Id="rId5" Type="http://schemas.openxmlformats.org/officeDocument/2006/relationships/table" Target="../tables/table83.xml"/><Relationship Id="rId10" Type="http://schemas.openxmlformats.org/officeDocument/2006/relationships/table" Target="../tables/table88.xml"/><Relationship Id="rId4" Type="http://schemas.openxmlformats.org/officeDocument/2006/relationships/table" Target="../tables/table82.xml"/><Relationship Id="rId9" Type="http://schemas.openxmlformats.org/officeDocument/2006/relationships/table" Target="../tables/table8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7"/>
  <sheetViews>
    <sheetView showGridLines="0" tabSelected="1" zoomScaleNormal="100" workbookViewId="0">
      <selection activeCell="B1" sqref="B1:E1"/>
    </sheetView>
  </sheetViews>
  <sheetFormatPr defaultColWidth="0" defaultRowHeight="13.2"/>
  <cols>
    <col min="1" max="1" width="1.109375" style="54" customWidth="1"/>
    <col min="2" max="2" width="15" style="1" bestFit="1" customWidth="1"/>
    <col min="3" max="5" width="12.88671875" style="1" customWidth="1"/>
    <col min="6" max="6" width="0.88671875" style="1" customWidth="1"/>
    <col min="7" max="7" width="0.33203125" style="1" customWidth="1"/>
    <col min="8" max="8" width="0.88671875" style="1" customWidth="1"/>
    <col min="9" max="9" width="24.44140625" style="1" bestFit="1" customWidth="1"/>
    <col min="10" max="10" width="12.109375" style="1" bestFit="1" customWidth="1"/>
    <col min="11" max="11" width="14.109375" style="1" bestFit="1" customWidth="1"/>
    <col min="12" max="12" width="8.5546875" style="1" bestFit="1" customWidth="1"/>
    <col min="13" max="13" width="9.6640625" style="1" bestFit="1" customWidth="1"/>
    <col min="14" max="14" width="8.33203125" style="1" bestFit="1" customWidth="1"/>
    <col min="15" max="15" width="0.88671875" style="1" customWidth="1"/>
    <col min="16" max="16" width="0.33203125" style="1" customWidth="1"/>
    <col min="17" max="17" width="0.88671875" style="1" customWidth="1"/>
    <col min="18" max="18" width="10.33203125" style="1" bestFit="1" customWidth="1"/>
    <col min="19" max="21" width="9.5546875" style="1" customWidth="1"/>
    <col min="22" max="22" width="0.6640625" style="1" customWidth="1"/>
    <col min="23" max="23" width="0.6640625" style="1" hidden="1" customWidth="1"/>
    <col min="24" max="24" width="12.109375" style="1" hidden="1" customWidth="1"/>
    <col min="25" max="27" width="4" style="1" hidden="1" customWidth="1"/>
    <col min="28" max="28" width="0.6640625" style="1" hidden="1"/>
    <col min="29" max="29" width="12.109375" style="1" hidden="1"/>
    <col min="30" max="32" width="4" style="1" hidden="1"/>
    <col min="33" max="16384" width="9.109375" style="1" hidden="1"/>
  </cols>
  <sheetData>
    <row r="1" spans="1:22" ht="24.6">
      <c r="B1" s="55">
        <v>45017</v>
      </c>
      <c r="C1" s="56"/>
      <c r="D1" s="56"/>
      <c r="E1" s="57"/>
      <c r="Q1" s="45" t="s">
        <v>0</v>
      </c>
      <c r="R1" s="45" t="s">
        <v>1</v>
      </c>
      <c r="S1" s="45" t="s">
        <v>2</v>
      </c>
      <c r="T1" s="45" t="s">
        <v>16</v>
      </c>
      <c r="U1" s="45" t="s">
        <v>45</v>
      </c>
    </row>
    <row r="2" spans="1:22">
      <c r="C2" s="46" t="s">
        <v>1</v>
      </c>
      <c r="D2" s="47" t="s">
        <v>2</v>
      </c>
      <c r="E2" s="47" t="s">
        <v>14</v>
      </c>
      <c r="Q2" s="45" t="str">
        <f>Table136[[#Headers],[Income]]</f>
        <v>Income</v>
      </c>
      <c r="R2" s="45">
        <f>SUM(Table136[Budget])</f>
        <v>5100</v>
      </c>
      <c r="S2" s="45">
        <f>SUM(Table136[Actual])</f>
        <v>5167.3500000000004</v>
      </c>
      <c r="T2" s="45" t="s">
        <v>19</v>
      </c>
      <c r="U2" s="45">
        <f>AVERAGE(U12:U42)</f>
        <v>10000</v>
      </c>
    </row>
    <row r="3" spans="1:22">
      <c r="B3" s="17" t="s">
        <v>35</v>
      </c>
      <c r="C3" s="48">
        <f>D3</f>
        <v>10000</v>
      </c>
      <c r="D3" s="51">
        <v>10000</v>
      </c>
      <c r="E3" s="49">
        <f>D3-C3</f>
        <v>0</v>
      </c>
      <c r="Q3" s="45" t="str">
        <f>Table1[[#Headers],[Housing]]</f>
        <v>Housing</v>
      </c>
      <c r="R3" s="45">
        <f>SUM(Table1[Budget])</f>
        <v>1650</v>
      </c>
      <c r="S3" s="45">
        <f>SUM(Table1[Actual])</f>
        <v>1549.15</v>
      </c>
      <c r="T3" s="45" t="s">
        <v>17</v>
      </c>
      <c r="U3" s="45"/>
    </row>
    <row r="4" spans="1:22">
      <c r="B4" s="17" t="s">
        <v>32</v>
      </c>
      <c r="C4" s="5">
        <f>Table136[[#Totals],[Budget]]</f>
        <v>5100</v>
      </c>
      <c r="D4" s="50">
        <f>Table136[[#Totals],[Actual]]</f>
        <v>5167.3500000000004</v>
      </c>
      <c r="E4" s="5">
        <f>D4-C4</f>
        <v>67.350000000000364</v>
      </c>
      <c r="Q4" s="45" t="str">
        <f>Table13[[#Headers],[Transportation]]</f>
        <v>Transportation</v>
      </c>
      <c r="R4" s="45">
        <f>SUM(Table13[Budget])</f>
        <v>1000</v>
      </c>
      <c r="S4" s="45">
        <f>SUM(Table13[Actual])</f>
        <v>1168.79</v>
      </c>
      <c r="T4" s="45" t="s">
        <v>18</v>
      </c>
      <c r="U4" s="45"/>
    </row>
    <row r="5" spans="1:22">
      <c r="B5" s="17" t="s">
        <v>33</v>
      </c>
      <c r="C5" s="5">
        <f>Table1[[#Totals],[Budget]]+Table13[[#Totals],[Budget]]+Table13910[[#Totals],[Budget]]+Table137[[#Totals],[Budget]]+Table138[[#Totals],[Budget]]+Table139[[#Totals],[Budget]]</f>
        <v>4285</v>
      </c>
      <c r="D5" s="5">
        <f>Table1[[#Totals],[Actual]]+Table13[[#Totals],[Actual]]+Table13910[[#Totals],[Actual]]+Table137[[#Totals],[Actual]]+Table138[[#Totals],[Actual]]+Table139[[#Totals],[Actual]]</f>
        <v>3025.21</v>
      </c>
      <c r="E5" s="5">
        <f>D5-C5</f>
        <v>-1259.79</v>
      </c>
      <c r="Q5" s="45" t="str">
        <f>Table13910[[#Headers],[Bills]]</f>
        <v>Bills</v>
      </c>
      <c r="R5" s="45">
        <f>SUM(Table13910[Budget])</f>
        <v>385</v>
      </c>
      <c r="S5" s="45">
        <f>SUM(Table13910[Actual])</f>
        <v>275</v>
      </c>
      <c r="T5" s="45"/>
      <c r="U5" s="45"/>
    </row>
    <row r="6" spans="1:22">
      <c r="B6" s="15" t="s">
        <v>34</v>
      </c>
      <c r="C6" s="16">
        <f>C3+C4-C5</f>
        <v>10815</v>
      </c>
      <c r="D6" s="16">
        <f>D3+D4-D5</f>
        <v>12142.14</v>
      </c>
      <c r="E6" s="16">
        <f>E3+E4-E5</f>
        <v>1327.1400000000003</v>
      </c>
      <c r="Q6" s="45" t="str">
        <f>Table137[[#Headers],[Living]]</f>
        <v>Living</v>
      </c>
      <c r="R6" s="45">
        <f>SUM(Table137[Budget])</f>
        <v>800</v>
      </c>
      <c r="S6" s="45">
        <f>SUM(Table137[Actual])</f>
        <v>21.39</v>
      </c>
      <c r="T6" s="45"/>
      <c r="U6" s="45"/>
    </row>
    <row r="7" spans="1:22" ht="3.75" customHeight="1">
      <c r="C7" s="2"/>
      <c r="Q7" s="45" t="str">
        <f>Table138[[#Headers],[Entertainment]]</f>
        <v>Entertainment</v>
      </c>
      <c r="R7" s="45">
        <f>SUM(Table138[Budget])</f>
        <v>300</v>
      </c>
      <c r="S7" s="45">
        <f>SUM(Table138[Actual])</f>
        <v>10.88</v>
      </c>
      <c r="T7" s="45"/>
      <c r="U7" s="45"/>
    </row>
    <row r="8" spans="1:22" ht="1.5" customHeight="1">
      <c r="B8" s="42"/>
      <c r="C8" s="43"/>
      <c r="D8" s="42"/>
      <c r="E8" s="42"/>
      <c r="F8" s="42"/>
      <c r="G8" s="42"/>
      <c r="H8" s="42"/>
      <c r="I8" s="42"/>
      <c r="J8" s="42"/>
      <c r="K8" s="42"/>
      <c r="L8" s="42"/>
      <c r="M8" s="42"/>
      <c r="N8" s="42"/>
      <c r="O8" s="42"/>
      <c r="P8" s="42"/>
      <c r="Q8" s="44" t="str">
        <f>Table139[[#Headers],[Misc.]]</f>
        <v>Misc.</v>
      </c>
      <c r="R8" s="44">
        <f>SUM(Table139[Budget])</f>
        <v>150</v>
      </c>
      <c r="S8" s="44">
        <f>SUM(Table139[Actual])</f>
        <v>0</v>
      </c>
      <c r="T8" s="44"/>
      <c r="U8" s="44"/>
    </row>
    <row r="9" spans="1:22" ht="3.75" customHeight="1">
      <c r="C9" s="2"/>
      <c r="G9" s="42"/>
      <c r="P9" s="42"/>
    </row>
    <row r="10" spans="1:22" s="25" customFormat="1">
      <c r="A10" s="35"/>
      <c r="B10" s="58" t="str">
        <f>CONCATENATE(Table136[[#Headers],[Income]]," - Budget &amp; Tracking")</f>
        <v>Income - Budget &amp; Tracking</v>
      </c>
      <c r="C10" s="59"/>
      <c r="D10" s="59"/>
      <c r="E10" s="60"/>
      <c r="F10" s="35"/>
      <c r="G10" s="41"/>
      <c r="I10" s="58" t="s">
        <v>42</v>
      </c>
      <c r="J10" s="59"/>
      <c r="K10" s="59"/>
      <c r="L10" s="59"/>
      <c r="M10" s="59"/>
      <c r="N10" s="60"/>
      <c r="P10" s="41"/>
      <c r="R10" s="58" t="s">
        <v>40</v>
      </c>
      <c r="S10" s="59"/>
      <c r="T10" s="59"/>
      <c r="U10" s="60"/>
    </row>
    <row r="11" spans="1:22" ht="13.8" thickBot="1">
      <c r="A11" s="32"/>
      <c r="B11" s="31" t="s">
        <v>15</v>
      </c>
      <c r="C11" s="31" t="s">
        <v>1</v>
      </c>
      <c r="D11" s="31" t="s">
        <v>2</v>
      </c>
      <c r="E11" s="31" t="s">
        <v>14</v>
      </c>
      <c r="F11" s="32"/>
      <c r="G11" s="42"/>
      <c r="I11" s="31" t="s">
        <v>9</v>
      </c>
      <c r="J11" s="31" t="s">
        <v>0</v>
      </c>
      <c r="K11" s="31" t="s">
        <v>13</v>
      </c>
      <c r="L11" s="31" t="s">
        <v>10</v>
      </c>
      <c r="M11" s="31" t="s">
        <v>11</v>
      </c>
      <c r="N11" s="31" t="s">
        <v>16</v>
      </c>
      <c r="P11" s="42"/>
      <c r="R11" s="40" t="s">
        <v>10</v>
      </c>
      <c r="S11" s="40" t="s">
        <v>22</v>
      </c>
      <c r="T11" s="40" t="s">
        <v>21</v>
      </c>
      <c r="U11" s="40" t="s">
        <v>23</v>
      </c>
    </row>
    <row r="12" spans="1:22">
      <c r="A12" s="32"/>
      <c r="B12" s="1" t="s">
        <v>46</v>
      </c>
      <c r="C12" s="2">
        <v>3000</v>
      </c>
      <c r="D12" s="2">
        <f>SUMIFS(Table4420[Amount],Table4420[Category],Table136[[#Headers],[Income]],Table4420[Sub-Category],Table136[[#This Row],[Income]])+SUMIFS(Table44[Amount],Table44[Category],Table136[[#Headers],[Income]],Table44[Sub-Category],Table136[[#This Row],[Income]])</f>
        <v>2967.35</v>
      </c>
      <c r="E12" s="3">
        <f>Table136[[#This Row],[Actual]]-Table136[[#This Row],[Budget]]</f>
        <v>-32.650000000000091</v>
      </c>
      <c r="F12" s="32"/>
      <c r="G12" s="42"/>
      <c r="I12" s="1" t="s">
        <v>74</v>
      </c>
      <c r="J12" s="1" t="s">
        <v>15</v>
      </c>
      <c r="K12" s="1" t="s">
        <v>46</v>
      </c>
      <c r="L12" s="4">
        <v>41522</v>
      </c>
      <c r="M12" s="2">
        <v>1467.35</v>
      </c>
      <c r="N12" s="1" t="s">
        <v>18</v>
      </c>
      <c r="P12" s="42"/>
      <c r="R12" s="27">
        <f>B1</f>
        <v>45017</v>
      </c>
      <c r="S12" s="29">
        <f>SUMIFS(Table4420[Amount],Table4420[Date],R12,Table4420[Category],Table136[[#Headers],[Income]])+SUMIFS(Table44[Amount],Table44[Date],R12,Table44[Category],Table136[[#Headers],[Income]])</f>
        <v>0</v>
      </c>
      <c r="T12" s="29">
        <f>SUMIFS(Table4[Amount],Table4[Date],R12,Table4[Category],"&lt;&gt;"&amp;Table136[[#Headers],[Income]])+SUMIFS(Table44[Amount],Table44[Date],R12,Table44[Category],"&lt;&gt;"&amp;Table136[[#Headers],[Income]])</f>
        <v>0</v>
      </c>
      <c r="U12" s="29">
        <f>D3+S12-T12</f>
        <v>10000</v>
      </c>
      <c r="V12" s="1">
        <f>U2</f>
        <v>10000</v>
      </c>
    </row>
    <row r="13" spans="1:22">
      <c r="A13" s="32"/>
      <c r="B13" s="1" t="s">
        <v>47</v>
      </c>
      <c r="C13" s="2">
        <v>2000</v>
      </c>
      <c r="D13" s="2">
        <f>SUMIFS(Table4420[Amount],Table4420[Category],Table136[[#Headers],[Income]],Table4420[Sub-Category],Table136[[#This Row],[Income]])+SUMIFS(Table44[Amount],Table44[Category],Table136[[#Headers],[Income]],Table44[Sub-Category],Table136[[#This Row],[Income]])</f>
        <v>2200</v>
      </c>
      <c r="E13" s="3">
        <f>Table136[[#This Row],[Actual]]-Table136[[#This Row],[Budget]]</f>
        <v>200</v>
      </c>
      <c r="F13" s="32"/>
      <c r="G13" s="42"/>
      <c r="I13" s="1" t="s">
        <v>75</v>
      </c>
      <c r="J13" s="1" t="s">
        <v>15</v>
      </c>
      <c r="K13" s="1" t="s">
        <v>47</v>
      </c>
      <c r="L13" s="4">
        <v>41530</v>
      </c>
      <c r="M13" s="2">
        <v>1100</v>
      </c>
      <c r="N13" s="1" t="s">
        <v>19</v>
      </c>
      <c r="P13" s="42"/>
      <c r="R13" s="30">
        <f t="shared" ref="R13:R42" si="0">R12+1</f>
        <v>45018</v>
      </c>
      <c r="S13" s="28">
        <f>SUMIFS(Table4420[Amount],Table4420[Date],R13,Table4420[Category],Table136[[#Headers],[Income]])+SUMIFS(Table44[Amount],Table44[Date],R13,Table44[Category],Table136[[#Headers],[Income]])</f>
        <v>0</v>
      </c>
      <c r="T13" s="28">
        <f>SUMIFS(Table4[Amount],Table4[Date],R13,Table4[Category],"&lt;&gt;"&amp;Table136[[#Headers],[Income]])+SUMIFS(Table44[Amount],Table44[Date],R13,Table44[Category],"&lt;&gt;"&amp;Table136[[#Headers],[Income]])</f>
        <v>0</v>
      </c>
      <c r="U13" s="28">
        <f>U12+S13-T13</f>
        <v>10000</v>
      </c>
      <c r="V13" s="1">
        <f>V12</f>
        <v>10000</v>
      </c>
    </row>
    <row r="14" spans="1:22">
      <c r="A14" s="32"/>
      <c r="B14" s="1" t="s">
        <v>48</v>
      </c>
      <c r="C14" s="12">
        <v>100</v>
      </c>
      <c r="D14" s="12">
        <f>SUMIFS(Table4420[Amount],Table4420[Category],Table136[[#Headers],[Income]],Table4420[Sub-Category],Table136[[#This Row],[Income]])+SUMIFS(Table44[Amount],Table44[Category],Table136[[#Headers],[Income]],Table44[Sub-Category],Table136[[#This Row],[Income]])</f>
        <v>0</v>
      </c>
      <c r="E14" s="2">
        <f>Table136[[#This Row],[Actual]]-Table136[[#This Row],[Budget]]</f>
        <v>-100</v>
      </c>
      <c r="F14" s="32"/>
      <c r="G14" s="42"/>
      <c r="I14" s="1" t="s">
        <v>74</v>
      </c>
      <c r="J14" s="1" t="s">
        <v>15</v>
      </c>
      <c r="K14" s="1" t="s">
        <v>46</v>
      </c>
      <c r="L14" s="4">
        <v>41537</v>
      </c>
      <c r="M14" s="2">
        <v>1500</v>
      </c>
      <c r="N14" s="1" t="s">
        <v>19</v>
      </c>
      <c r="P14" s="42"/>
      <c r="R14" s="27">
        <f t="shared" si="0"/>
        <v>45019</v>
      </c>
      <c r="S14" s="29">
        <f>SUMIFS(Table4420[Amount],Table4420[Date],R14,Table4420[Category],Table136[[#Headers],[Income]])+SUMIFS(Table44[Amount],Table44[Date],R14,Table44[Category],Table136[[#Headers],[Income]])</f>
        <v>0</v>
      </c>
      <c r="T14" s="29">
        <f>SUMIFS(Table4[Amount],Table4[Date],R14,Table4[Category],"&lt;&gt;"&amp;Table136[[#Headers],[Income]])+SUMIFS(Table44[Amount],Table44[Date],R14,Table44[Category],"&lt;&gt;"&amp;Table136[[#Headers],[Income]])</f>
        <v>0</v>
      </c>
      <c r="U14" s="29">
        <f t="shared" ref="U14:U42" si="1">U13+S14-T14</f>
        <v>10000</v>
      </c>
      <c r="V14" s="1">
        <f t="shared" ref="V14:V42" si="2">V13</f>
        <v>10000</v>
      </c>
    </row>
    <row r="15" spans="1:22">
      <c r="A15" s="32"/>
      <c r="B15" s="1" t="s">
        <v>29</v>
      </c>
      <c r="C15" s="2">
        <v>0</v>
      </c>
      <c r="D15" s="3">
        <f>SUMIFS(Table4420[Amount],Table4420[Category],Table136[[#Headers],[Income]],Table4420[Sub-Category],Table136[[#This Row],[Income]])+SUMIFS(Table44[Amount],Table44[Category],Table136[[#Headers],[Income]],Table44[Sub-Category],Table136[[#This Row],[Income]])</f>
        <v>0</v>
      </c>
      <c r="E15" s="3">
        <f>Table136[[#This Row],[Actual]]-Table136[[#This Row],[Budget]]</f>
        <v>0</v>
      </c>
      <c r="F15" s="32"/>
      <c r="G15" s="42"/>
      <c r="I15" s="1" t="s">
        <v>75</v>
      </c>
      <c r="J15" s="11" t="s">
        <v>15</v>
      </c>
      <c r="K15" s="11" t="s">
        <v>47</v>
      </c>
      <c r="L15" s="24">
        <v>41544</v>
      </c>
      <c r="M15" s="12">
        <v>1100</v>
      </c>
      <c r="N15" s="11" t="s">
        <v>19</v>
      </c>
      <c r="P15" s="42"/>
      <c r="R15" s="30">
        <f t="shared" si="0"/>
        <v>45020</v>
      </c>
      <c r="S15" s="28">
        <f>SUMIFS(Table4420[Amount],Table4420[Date],R15,Table4420[Category],Table136[[#Headers],[Income]])+SUMIFS(Table44[Amount],Table44[Date],R15,Table44[Category],Table136[[#Headers],[Income]])</f>
        <v>0</v>
      </c>
      <c r="T15" s="28">
        <f>SUMIFS(Table4[Amount],Table4[Date],R15,Table4[Category],"&lt;&gt;"&amp;Table136[[#Headers],[Income]])+SUMIFS(Table44[Amount],Table44[Date],R15,Table44[Category],"&lt;&gt;"&amp;Table136[[#Headers],[Income]])</f>
        <v>0</v>
      </c>
      <c r="U15" s="28">
        <f t="shared" si="1"/>
        <v>10000</v>
      </c>
      <c r="V15" s="1">
        <f t="shared" si="2"/>
        <v>10000</v>
      </c>
    </row>
    <row r="16" spans="1:22">
      <c r="A16" s="32"/>
      <c r="B16" s="6" t="s">
        <v>20</v>
      </c>
      <c r="C16" s="7">
        <f>SUBTOTAL(109,Table136[Budget])</f>
        <v>5100</v>
      </c>
      <c r="D16" s="7">
        <f>SUBTOTAL(109,Table136[Actual])</f>
        <v>5167.3500000000004</v>
      </c>
      <c r="E16" s="7">
        <f>SUBTOTAL(109,Table136[Variance])</f>
        <v>67.349999999999909</v>
      </c>
      <c r="F16" s="36"/>
      <c r="G16" s="43"/>
      <c r="H16" s="2"/>
      <c r="L16" s="4"/>
      <c r="M16" s="2"/>
      <c r="P16" s="43"/>
      <c r="R16" s="27">
        <f t="shared" si="0"/>
        <v>45021</v>
      </c>
      <c r="S16" s="29">
        <f>SUMIFS(Table4420[Amount],Table4420[Date],R16,Table4420[Category],Table136[[#Headers],[Income]])+SUMIFS(Table44[Amount],Table44[Date],R16,Table44[Category],Table136[[#Headers],[Income]])</f>
        <v>0</v>
      </c>
      <c r="T16" s="29">
        <f>SUMIFS(Table4[Amount],Table4[Date],R16,Table4[Category],"&lt;&gt;"&amp;Table136[[#Headers],[Income]])+SUMIFS(Table44[Amount],Table44[Date],R16,Table44[Category],"&lt;&gt;"&amp;Table136[[#Headers],[Income]])</f>
        <v>0</v>
      </c>
      <c r="U16" s="29">
        <f t="shared" si="1"/>
        <v>10000</v>
      </c>
      <c r="V16" s="1">
        <f t="shared" si="2"/>
        <v>10000</v>
      </c>
    </row>
    <row r="17" spans="1:22">
      <c r="A17" s="32"/>
      <c r="B17" s="20"/>
      <c r="C17" s="21"/>
      <c r="D17" s="21"/>
      <c r="E17" s="21"/>
      <c r="F17" s="36"/>
      <c r="G17" s="43"/>
      <c r="H17" s="2"/>
      <c r="I17" s="58" t="s">
        <v>43</v>
      </c>
      <c r="J17" s="59"/>
      <c r="K17" s="59"/>
      <c r="L17" s="59"/>
      <c r="M17" s="59"/>
      <c r="N17" s="60"/>
      <c r="P17" s="43"/>
      <c r="R17" s="30">
        <f t="shared" si="0"/>
        <v>45022</v>
      </c>
      <c r="S17" s="28">
        <f>SUMIFS(Table4420[Amount],Table4420[Date],R17,Table4420[Category],Table136[[#Headers],[Income]])+SUMIFS(Table44[Amount],Table44[Date],R17,Table44[Category],Table136[[#Headers],[Income]])</f>
        <v>0</v>
      </c>
      <c r="T17" s="28">
        <f>SUMIFS(Table4[Amount],Table4[Date],R17,Table4[Category],"&lt;&gt;"&amp;Table136[[#Headers],[Income]])+SUMIFS(Table44[Amount],Table44[Date],R17,Table44[Category],"&lt;&gt;"&amp;Table136[[#Headers],[Income]])</f>
        <v>0</v>
      </c>
      <c r="U17" s="28">
        <f t="shared" si="1"/>
        <v>10000</v>
      </c>
      <c r="V17" s="1">
        <f t="shared" si="2"/>
        <v>10000</v>
      </c>
    </row>
    <row r="18" spans="1:22">
      <c r="A18" s="32"/>
      <c r="B18" s="53" t="str">
        <f>CONCATENATE(Table1[[#Headers],[Housing]]," - Budget &amp; Tracking")</f>
        <v>Housing - Budget &amp; Tracking</v>
      </c>
      <c r="C18" s="38"/>
      <c r="D18" s="38"/>
      <c r="E18" s="39"/>
      <c r="F18" s="36"/>
      <c r="G18" s="43"/>
      <c r="H18" s="2"/>
      <c r="I18" s="31" t="s">
        <v>9</v>
      </c>
      <c r="J18" s="31" t="s">
        <v>0</v>
      </c>
      <c r="K18" s="31" t="s">
        <v>13</v>
      </c>
      <c r="L18" s="31" t="s">
        <v>10</v>
      </c>
      <c r="M18" s="31" t="s">
        <v>11</v>
      </c>
      <c r="N18" s="31" t="s">
        <v>16</v>
      </c>
      <c r="P18" s="43"/>
      <c r="R18" s="27">
        <f t="shared" si="0"/>
        <v>45023</v>
      </c>
      <c r="S18" s="29">
        <f>SUMIFS(Table4420[Amount],Table4420[Date],R18,Table4420[Category],Table136[[#Headers],[Income]])+SUMIFS(Table44[Amount],Table44[Date],R18,Table44[Category],Table136[[#Headers],[Income]])</f>
        <v>0</v>
      </c>
      <c r="T18" s="29">
        <f>SUMIFS(Table4[Amount],Table4[Date],R18,Table4[Category],"&lt;&gt;"&amp;Table136[[#Headers],[Income]])+SUMIFS(Table44[Amount],Table44[Date],R18,Table44[Category],"&lt;&gt;"&amp;Table136[[#Headers],[Income]])</f>
        <v>0</v>
      </c>
      <c r="U18" s="29">
        <f t="shared" si="1"/>
        <v>10000</v>
      </c>
      <c r="V18" s="1">
        <f t="shared" si="2"/>
        <v>10000</v>
      </c>
    </row>
    <row r="19" spans="1:22">
      <c r="A19" s="32"/>
      <c r="B19" s="52" t="s">
        <v>8</v>
      </c>
      <c r="C19" s="31" t="s">
        <v>1</v>
      </c>
      <c r="D19" s="31" t="s">
        <v>2</v>
      </c>
      <c r="E19" s="31" t="s">
        <v>14</v>
      </c>
      <c r="F19" s="36"/>
      <c r="G19" s="43"/>
      <c r="H19" s="2"/>
      <c r="I19" s="1" t="s">
        <v>51</v>
      </c>
      <c r="J19" s="1" t="s">
        <v>8</v>
      </c>
      <c r="K19" s="1" t="s">
        <v>3</v>
      </c>
      <c r="L19" s="4">
        <v>41518</v>
      </c>
      <c r="M19" s="2">
        <v>873.67</v>
      </c>
      <c r="N19" s="1" t="s">
        <v>18</v>
      </c>
      <c r="P19" s="43"/>
      <c r="R19" s="30">
        <f t="shared" si="0"/>
        <v>45024</v>
      </c>
      <c r="S19" s="28">
        <f>SUMIFS(Table4420[Amount],Table4420[Date],R19,Table4420[Category],Table136[[#Headers],[Income]])+SUMIFS(Table44[Amount],Table44[Date],R19,Table44[Category],Table136[[#Headers],[Income]])</f>
        <v>0</v>
      </c>
      <c r="T19" s="28">
        <f>SUMIFS(Table4[Amount],Table4[Date],R19,Table4[Category],"&lt;&gt;"&amp;Table136[[#Headers],[Income]])+SUMIFS(Table44[Amount],Table44[Date],R19,Table44[Category],"&lt;&gt;"&amp;Table136[[#Headers],[Income]])</f>
        <v>0</v>
      </c>
      <c r="U19" s="28">
        <f t="shared" si="1"/>
        <v>10000</v>
      </c>
      <c r="V19" s="1">
        <f t="shared" si="2"/>
        <v>10000</v>
      </c>
    </row>
    <row r="20" spans="1:22">
      <c r="A20" s="32"/>
      <c r="B20" s="1" t="s">
        <v>3</v>
      </c>
      <c r="C20" s="2">
        <v>900</v>
      </c>
      <c r="D20" s="2">
        <f>SUMIFS(Table4[Amount],Table4[Category],Table1[[#Headers],[Housing]],Table4[Sub-Category],Table1[[#This Row],[Housing]])+SUMIFS(Table44[Amount],Table44[Category],Table1[[#Headers],[Housing]],Table44[Sub-Category],Table1[[#This Row],[Housing]])</f>
        <v>873.67</v>
      </c>
      <c r="E20" s="3">
        <f>Table1[[#This Row],[Budget]]-Table1[[#This Row],[Actual]]</f>
        <v>26.330000000000041</v>
      </c>
      <c r="F20" s="36"/>
      <c r="G20" s="43"/>
      <c r="H20" s="2"/>
      <c r="I20" s="11" t="s">
        <v>49</v>
      </c>
      <c r="J20" s="11" t="s">
        <v>8</v>
      </c>
      <c r="K20" s="11" t="s">
        <v>38</v>
      </c>
      <c r="L20" s="24">
        <v>41523</v>
      </c>
      <c r="M20" s="12">
        <v>116.08</v>
      </c>
      <c r="N20" s="11" t="s">
        <v>18</v>
      </c>
      <c r="P20" s="43"/>
      <c r="R20" s="27">
        <f t="shared" si="0"/>
        <v>45025</v>
      </c>
      <c r="S20" s="29">
        <f>SUMIFS(Table4420[Amount],Table4420[Date],R20,Table4420[Category],Table136[[#Headers],[Income]])+SUMIFS(Table44[Amount],Table44[Date],R20,Table44[Category],Table136[[#Headers],[Income]])</f>
        <v>0</v>
      </c>
      <c r="T20" s="29">
        <f>SUMIFS(Table4[Amount],Table4[Date],R20,Table4[Category],"&lt;&gt;"&amp;Table136[[#Headers],[Income]])+SUMIFS(Table44[Amount],Table44[Date],R20,Table44[Category],"&lt;&gt;"&amp;Table136[[#Headers],[Income]])</f>
        <v>0</v>
      </c>
      <c r="U20" s="29">
        <f t="shared" si="1"/>
        <v>10000</v>
      </c>
      <c r="V20" s="1">
        <f t="shared" si="2"/>
        <v>10000</v>
      </c>
    </row>
    <row r="21" spans="1:22">
      <c r="A21" s="32"/>
      <c r="B21" s="1" t="s">
        <v>4</v>
      </c>
      <c r="C21" s="2">
        <v>150</v>
      </c>
      <c r="D21" s="2">
        <f>SUMIFS(Table4[Amount],Table4[Category],Table1[[#Headers],[Housing]],Table4[Sub-Category],Table1[[#This Row],[Housing]])+SUMIFS(Table44[Amount],Table44[Category],Table1[[#Headers],[Housing]],Table44[Sub-Category],Table1[[#This Row],[Housing]])</f>
        <v>126.17</v>
      </c>
      <c r="E21" s="3">
        <f>Table1[[#This Row],[Budget]]-Table1[[#This Row],[Actual]]</f>
        <v>23.83</v>
      </c>
      <c r="F21" s="36"/>
      <c r="G21" s="43"/>
      <c r="H21" s="2"/>
      <c r="I21" s="11" t="s">
        <v>50</v>
      </c>
      <c r="J21" s="11" t="s">
        <v>8</v>
      </c>
      <c r="K21" s="11" t="s">
        <v>29</v>
      </c>
      <c r="L21" s="24">
        <v>41524</v>
      </c>
      <c r="M21" s="12">
        <v>35</v>
      </c>
      <c r="N21" s="11" t="s">
        <v>18</v>
      </c>
      <c r="P21" s="43"/>
      <c r="R21" s="30">
        <f t="shared" si="0"/>
        <v>45026</v>
      </c>
      <c r="S21" s="28">
        <f>SUMIFS(Table4420[Amount],Table4420[Date],R21,Table4420[Category],Table136[[#Headers],[Income]])+SUMIFS(Table44[Amount],Table44[Date],R21,Table44[Category],Table136[[#Headers],[Income]])</f>
        <v>0</v>
      </c>
      <c r="T21" s="28">
        <f>SUMIFS(Table4[Amount],Table4[Date],R21,Table4[Category],"&lt;&gt;"&amp;Table136[[#Headers],[Income]])+SUMIFS(Table44[Amount],Table44[Date],R21,Table44[Category],"&lt;&gt;"&amp;Table136[[#Headers],[Income]])</f>
        <v>0</v>
      </c>
      <c r="U21" s="28">
        <f t="shared" si="1"/>
        <v>10000</v>
      </c>
      <c r="V21" s="1">
        <f t="shared" si="2"/>
        <v>10000</v>
      </c>
    </row>
    <row r="22" spans="1:22">
      <c r="A22" s="32"/>
      <c r="B22" s="1" t="s">
        <v>5</v>
      </c>
      <c r="C22" s="2">
        <v>50</v>
      </c>
      <c r="D22" s="2">
        <f>SUMIFS(Table4[Amount],Table4[Category],Table1[[#Headers],[Housing]],Table4[Sub-Category],Table1[[#This Row],[Housing]])+SUMIFS(Table44[Amount],Table44[Category],Table1[[#Headers],[Housing]],Table44[Sub-Category],Table1[[#This Row],[Housing]])</f>
        <v>40.15</v>
      </c>
      <c r="E22" s="3">
        <f>Table1[[#This Row],[Budget]]-Table1[[#This Row],[Actual]]</f>
        <v>9.8500000000000014</v>
      </c>
      <c r="F22" s="36"/>
      <c r="G22" s="43"/>
      <c r="H22" s="2"/>
      <c r="I22" s="11" t="s">
        <v>52</v>
      </c>
      <c r="J22" s="11" t="s">
        <v>8</v>
      </c>
      <c r="K22" s="11" t="s">
        <v>5</v>
      </c>
      <c r="L22" s="24">
        <v>41526</v>
      </c>
      <c r="M22" s="12">
        <v>40.15</v>
      </c>
      <c r="N22" s="11" t="s">
        <v>18</v>
      </c>
      <c r="P22" s="43"/>
      <c r="R22" s="27">
        <f t="shared" si="0"/>
        <v>45027</v>
      </c>
      <c r="S22" s="29">
        <f>SUMIFS(Table4420[Amount],Table4420[Date],R22,Table4420[Category],Table136[[#Headers],[Income]])+SUMIFS(Table44[Amount],Table44[Date],R22,Table44[Category],Table136[[#Headers],[Income]])</f>
        <v>0</v>
      </c>
      <c r="T22" s="29">
        <f>SUMIFS(Table4[Amount],Table4[Date],R22,Table4[Category],"&lt;&gt;"&amp;Table136[[#Headers],[Income]])+SUMIFS(Table44[Amount],Table44[Date],R22,Table44[Category],"&lt;&gt;"&amp;Table136[[#Headers],[Income]])</f>
        <v>0</v>
      </c>
      <c r="U22" s="29">
        <f t="shared" si="1"/>
        <v>10000</v>
      </c>
      <c r="V22" s="1">
        <f t="shared" si="2"/>
        <v>10000</v>
      </c>
    </row>
    <row r="23" spans="1:22">
      <c r="A23" s="32"/>
      <c r="B23" s="1" t="s">
        <v>6</v>
      </c>
      <c r="C23" s="2">
        <v>50</v>
      </c>
      <c r="D23" s="2">
        <f>SUMIFS(Table4[Amount],Table4[Category],Table1[[#Headers],[Housing]],Table4[Sub-Category],Table1[[#This Row],[Housing]])+SUMIFS(Table44[Amount],Table44[Category],Table1[[#Headers],[Housing]],Table44[Sub-Category],Table1[[#This Row],[Housing]])</f>
        <v>51.17</v>
      </c>
      <c r="E23" s="3">
        <f>Table1[[#This Row],[Budget]]-Table1[[#This Row],[Actual]]</f>
        <v>-1.1700000000000017</v>
      </c>
      <c r="F23" s="36"/>
      <c r="G23" s="43"/>
      <c r="H23" s="2"/>
      <c r="I23" s="11" t="s">
        <v>53</v>
      </c>
      <c r="J23" s="11" t="s">
        <v>8</v>
      </c>
      <c r="K23" s="11" t="s">
        <v>6</v>
      </c>
      <c r="L23" s="24">
        <v>41526</v>
      </c>
      <c r="M23" s="12">
        <v>51.17</v>
      </c>
      <c r="N23" s="11" t="s">
        <v>18</v>
      </c>
      <c r="P23" s="43"/>
      <c r="R23" s="30">
        <f t="shared" si="0"/>
        <v>45028</v>
      </c>
      <c r="S23" s="28">
        <f>SUMIFS(Table4420[Amount],Table4420[Date],R23,Table4420[Category],Table136[[#Headers],[Income]])+SUMIFS(Table44[Amount],Table44[Date],R23,Table44[Category],Table136[[#Headers],[Income]])</f>
        <v>0</v>
      </c>
      <c r="T23" s="28">
        <f>SUMIFS(Table4[Amount],Table4[Date],R23,Table4[Category],"&lt;&gt;"&amp;Table136[[#Headers],[Income]])+SUMIFS(Table44[Amount],Table44[Date],R23,Table44[Category],"&lt;&gt;"&amp;Table136[[#Headers],[Income]])</f>
        <v>0</v>
      </c>
      <c r="U23" s="28">
        <f t="shared" si="1"/>
        <v>10000</v>
      </c>
      <c r="V23" s="1">
        <f t="shared" si="2"/>
        <v>10000</v>
      </c>
    </row>
    <row r="24" spans="1:22">
      <c r="A24" s="32"/>
      <c r="B24" s="1" t="s">
        <v>37</v>
      </c>
      <c r="C24" s="2">
        <v>150</v>
      </c>
      <c r="D24" s="2">
        <f>SUMIFS(Table4[Amount],Table4[Category],Table1[[#Headers],[Housing]],Table4[Sub-Category],Table1[[#This Row],[Housing]])+SUMIFS(Table44[Amount],Table44[Category],Table1[[#Headers],[Housing]],Table44[Sub-Category],Table1[[#This Row],[Housing]])</f>
        <v>150</v>
      </c>
      <c r="E24" s="3">
        <f>Table1[[#This Row],[Budget]]-Table1[[#This Row],[Actual]]</f>
        <v>0</v>
      </c>
      <c r="F24" s="36"/>
      <c r="G24" s="43"/>
      <c r="H24" s="2"/>
      <c r="I24" s="11" t="s">
        <v>54</v>
      </c>
      <c r="J24" s="11" t="s">
        <v>8</v>
      </c>
      <c r="K24" s="11" t="s">
        <v>4</v>
      </c>
      <c r="L24" s="24">
        <v>41531</v>
      </c>
      <c r="M24" s="12">
        <v>126.17</v>
      </c>
      <c r="N24" s="11" t="s">
        <v>18</v>
      </c>
      <c r="P24" s="43"/>
      <c r="R24" s="27">
        <f t="shared" si="0"/>
        <v>45029</v>
      </c>
      <c r="S24" s="29">
        <f>SUMIFS(Table4420[Amount],Table4420[Date],R24,Table4420[Category],Table136[[#Headers],[Income]])+SUMIFS(Table44[Amount],Table44[Date],R24,Table44[Category],Table136[[#Headers],[Income]])</f>
        <v>0</v>
      </c>
      <c r="T24" s="29">
        <f>SUMIFS(Table4[Amount],Table4[Date],R24,Table4[Category],"&lt;&gt;"&amp;Table136[[#Headers],[Income]])+SUMIFS(Table44[Amount],Table44[Date],R24,Table44[Category],"&lt;&gt;"&amp;Table136[[#Headers],[Income]])</f>
        <v>0</v>
      </c>
      <c r="U24" s="29">
        <f t="shared" si="1"/>
        <v>10000</v>
      </c>
      <c r="V24" s="1">
        <f t="shared" si="2"/>
        <v>10000</v>
      </c>
    </row>
    <row r="25" spans="1:22">
      <c r="A25" s="32"/>
      <c r="B25" s="1" t="s">
        <v>36</v>
      </c>
      <c r="C25" s="2">
        <v>50</v>
      </c>
      <c r="D25" s="2">
        <f>SUMIFS(Table4[Amount],Table4[Category],Table1[[#Headers],[Housing]],Table4[Sub-Category],Table1[[#This Row],[Housing]])+SUMIFS(Table44[Amount],Table44[Category],Table1[[#Headers],[Housing]],Table44[Sub-Category],Table1[[#This Row],[Housing]])</f>
        <v>46.17</v>
      </c>
      <c r="E25" s="3">
        <f>Table1[[#This Row],[Budget]]-Table1[[#This Row],[Actual]]</f>
        <v>3.8299999999999983</v>
      </c>
      <c r="F25" s="32"/>
      <c r="G25" s="42"/>
      <c r="I25" s="11" t="s">
        <v>55</v>
      </c>
      <c r="J25" s="11" t="s">
        <v>8</v>
      </c>
      <c r="K25" s="11" t="s">
        <v>36</v>
      </c>
      <c r="L25" s="24">
        <v>41534</v>
      </c>
      <c r="M25" s="12">
        <v>46.17</v>
      </c>
      <c r="N25" s="11" t="s">
        <v>17</v>
      </c>
      <c r="P25" s="42"/>
      <c r="R25" s="30">
        <f t="shared" si="0"/>
        <v>45030</v>
      </c>
      <c r="S25" s="28">
        <f>SUMIFS(Table4420[Amount],Table4420[Date],R25,Table4420[Category],Table136[[#Headers],[Income]])+SUMIFS(Table44[Amount],Table44[Date],R25,Table44[Category],Table136[[#Headers],[Income]])</f>
        <v>0</v>
      </c>
      <c r="T25" s="28">
        <f>SUMIFS(Table4[Amount],Table4[Date],R25,Table4[Category],"&lt;&gt;"&amp;Table136[[#Headers],[Income]])+SUMIFS(Table44[Amount],Table44[Date],R25,Table44[Category],"&lt;&gt;"&amp;Table136[[#Headers],[Income]])</f>
        <v>0</v>
      </c>
      <c r="U25" s="28">
        <f t="shared" si="1"/>
        <v>10000</v>
      </c>
      <c r="V25" s="1">
        <f t="shared" si="2"/>
        <v>10000</v>
      </c>
    </row>
    <row r="26" spans="1:22">
      <c r="A26" s="32"/>
      <c r="B26" s="1" t="s">
        <v>38</v>
      </c>
      <c r="C26" s="2">
        <v>100</v>
      </c>
      <c r="D26" s="2">
        <f>SUMIFS(Table4[Amount],Table4[Category],Table1[[#Headers],[Housing]],Table4[Sub-Category],Table1[[#This Row],[Housing]])+SUMIFS(Table44[Amount],Table44[Category],Table1[[#Headers],[Housing]],Table44[Sub-Category],Table1[[#This Row],[Housing]])</f>
        <v>116.08</v>
      </c>
      <c r="E26" s="3">
        <f>Table1[[#This Row],[Budget]]-Table1[[#This Row],[Actual]]</f>
        <v>-16.079999999999998</v>
      </c>
      <c r="F26" s="32"/>
      <c r="G26" s="42"/>
      <c r="I26" s="11" t="s">
        <v>56</v>
      </c>
      <c r="J26" s="11" t="s">
        <v>12</v>
      </c>
      <c r="K26" s="11" t="s">
        <v>39</v>
      </c>
      <c r="L26" s="24">
        <v>41535</v>
      </c>
      <c r="M26" s="12">
        <v>115.79</v>
      </c>
      <c r="N26" s="11" t="s">
        <v>17</v>
      </c>
      <c r="P26" s="42"/>
      <c r="R26" s="27">
        <f t="shared" si="0"/>
        <v>45031</v>
      </c>
      <c r="S26" s="29">
        <f>SUMIFS(Table4420[Amount],Table4420[Date],R26,Table4420[Category],Table136[[#Headers],[Income]])+SUMIFS(Table44[Amount],Table44[Date],R26,Table44[Category],Table136[[#Headers],[Income]])</f>
        <v>0</v>
      </c>
      <c r="T26" s="29">
        <f>SUMIFS(Table4[Amount],Table4[Date],R26,Table4[Category],"&lt;&gt;"&amp;Table136[[#Headers],[Income]])+SUMIFS(Table44[Amount],Table44[Date],R26,Table44[Category],"&lt;&gt;"&amp;Table136[[#Headers],[Income]])</f>
        <v>0</v>
      </c>
      <c r="U26" s="29">
        <f t="shared" si="1"/>
        <v>10000</v>
      </c>
      <c r="V26" s="1">
        <f t="shared" si="2"/>
        <v>10000</v>
      </c>
    </row>
    <row r="27" spans="1:22">
      <c r="A27" s="32"/>
      <c r="B27" s="1" t="s">
        <v>7</v>
      </c>
      <c r="C27" s="2">
        <v>100</v>
      </c>
      <c r="D27" s="2">
        <f>SUMIFS(Table4[Amount],Table4[Category],Table1[[#Headers],[Housing]],Table4[Sub-Category],Table1[[#This Row],[Housing]])+SUMIFS(Table44[Amount],Table44[Category],Table1[[#Headers],[Housing]],Table44[Sub-Category],Table1[[#This Row],[Housing]])</f>
        <v>110.74000000000001</v>
      </c>
      <c r="E27" s="3">
        <f>Table1[[#This Row],[Budget]]-Table1[[#This Row],[Actual]]</f>
        <v>-10.740000000000009</v>
      </c>
      <c r="F27" s="36"/>
      <c r="G27" s="43"/>
      <c r="H27" s="2"/>
      <c r="I27" s="11" t="s">
        <v>57</v>
      </c>
      <c r="J27" s="11" t="s">
        <v>30</v>
      </c>
      <c r="K27" s="11" t="s">
        <v>62</v>
      </c>
      <c r="L27" s="24">
        <v>41539</v>
      </c>
      <c r="M27" s="12">
        <v>250</v>
      </c>
      <c r="N27" s="11" t="s">
        <v>19</v>
      </c>
      <c r="P27" s="43"/>
      <c r="R27" s="30">
        <f t="shared" si="0"/>
        <v>45032</v>
      </c>
      <c r="S27" s="28">
        <f>SUMIFS(Table4420[Amount],Table4420[Date],R27,Table4420[Category],Table136[[#Headers],[Income]])+SUMIFS(Table44[Amount],Table44[Date],R27,Table44[Category],Table136[[#Headers],[Income]])</f>
        <v>0</v>
      </c>
      <c r="T27" s="28">
        <f>SUMIFS(Table4[Amount],Table4[Date],R27,Table4[Category],"&lt;&gt;"&amp;Table136[[#Headers],[Income]])+SUMIFS(Table44[Amount],Table44[Date],R27,Table44[Category],"&lt;&gt;"&amp;Table136[[#Headers],[Income]])</f>
        <v>0</v>
      </c>
      <c r="U27" s="28">
        <f t="shared" si="1"/>
        <v>10000</v>
      </c>
      <c r="V27" s="1">
        <f t="shared" si="2"/>
        <v>10000</v>
      </c>
    </row>
    <row r="28" spans="1:22">
      <c r="A28" s="32"/>
      <c r="B28" s="11" t="s">
        <v>29</v>
      </c>
      <c r="C28" s="12">
        <v>100</v>
      </c>
      <c r="D28" s="13">
        <f>SUMIFS(Table4[Amount],Table4[Category],Table1[[#Headers],[Housing]],Table4[Sub-Category],Table1[[#This Row],[Housing]])+SUMIFS(Table44[Amount],Table44[Category],Table1[[#Headers],[Housing]],Table44[Sub-Category],Table1[[#This Row],[Housing]])</f>
        <v>35</v>
      </c>
      <c r="E28" s="13">
        <f>Table1[[#This Row],[Budget]]-Table1[[#This Row],[Actual]]</f>
        <v>65</v>
      </c>
      <c r="F28" s="36"/>
      <c r="G28" s="43"/>
      <c r="H28" s="2"/>
      <c r="I28" s="11" t="s">
        <v>58</v>
      </c>
      <c r="J28" s="11" t="s">
        <v>12</v>
      </c>
      <c r="K28" s="11" t="s">
        <v>60</v>
      </c>
      <c r="L28" s="24">
        <v>41541</v>
      </c>
      <c r="M28" s="12">
        <v>350</v>
      </c>
      <c r="N28" s="11" t="s">
        <v>19</v>
      </c>
      <c r="P28" s="43"/>
      <c r="R28" s="27">
        <f t="shared" si="0"/>
        <v>45033</v>
      </c>
      <c r="S28" s="29">
        <f>SUMIFS(Table4420[Amount],Table4420[Date],R28,Table4420[Category],Table136[[#Headers],[Income]])+SUMIFS(Table44[Amount],Table44[Date],R28,Table44[Category],Table136[[#Headers],[Income]])</f>
        <v>0</v>
      </c>
      <c r="T28" s="29">
        <f>SUMIFS(Table4[Amount],Table4[Date],R28,Table4[Category],"&lt;&gt;"&amp;Table136[[#Headers],[Income]])+SUMIFS(Table44[Amount],Table44[Date],R28,Table44[Category],"&lt;&gt;"&amp;Table136[[#Headers],[Income]])</f>
        <v>0</v>
      </c>
      <c r="U28" s="29">
        <f t="shared" si="1"/>
        <v>10000</v>
      </c>
      <c r="V28" s="1">
        <f t="shared" si="2"/>
        <v>10000</v>
      </c>
    </row>
    <row r="29" spans="1:22">
      <c r="A29" s="32"/>
      <c r="B29" s="9" t="s">
        <v>20</v>
      </c>
      <c r="C29" s="10">
        <f>SUBTOTAL(109,Table1[Budget])</f>
        <v>1650</v>
      </c>
      <c r="D29" s="10">
        <f>SUBTOTAL(109,Table1[Actual])</f>
        <v>1549.15</v>
      </c>
      <c r="E29" s="10">
        <f>SUBTOTAL(109,Table1[Variance])</f>
        <v>100.85000000000002</v>
      </c>
      <c r="F29" s="32"/>
      <c r="G29" s="42"/>
      <c r="I29" s="11" t="s">
        <v>59</v>
      </c>
      <c r="J29" s="11" t="s">
        <v>8</v>
      </c>
      <c r="K29" s="11" t="s">
        <v>37</v>
      </c>
      <c r="L29" s="24">
        <v>41541</v>
      </c>
      <c r="M29" s="12">
        <v>150</v>
      </c>
      <c r="N29" s="11" t="s">
        <v>19</v>
      </c>
      <c r="P29" s="42"/>
      <c r="R29" s="30">
        <f t="shared" si="0"/>
        <v>45034</v>
      </c>
      <c r="S29" s="28">
        <f>SUMIFS(Table4420[Amount],Table4420[Date],R29,Table4420[Category],Table136[[#Headers],[Income]])+SUMIFS(Table44[Amount],Table44[Date],R29,Table44[Category],Table136[[#Headers],[Income]])</f>
        <v>0</v>
      </c>
      <c r="T29" s="28">
        <f>SUMIFS(Table4[Amount],Table4[Date],R29,Table4[Category],"&lt;&gt;"&amp;Table136[[#Headers],[Income]])+SUMIFS(Table44[Amount],Table44[Date],R29,Table44[Category],"&lt;&gt;"&amp;Table136[[#Headers],[Income]])</f>
        <v>0</v>
      </c>
      <c r="U29" s="28">
        <f t="shared" si="1"/>
        <v>10000</v>
      </c>
      <c r="V29" s="1">
        <f t="shared" si="2"/>
        <v>10000</v>
      </c>
    </row>
    <row r="30" spans="1:22">
      <c r="A30" s="32"/>
      <c r="B30" s="26"/>
      <c r="C30" s="23"/>
      <c r="D30" s="23"/>
      <c r="E30" s="23"/>
      <c r="F30" s="32"/>
      <c r="G30" s="42"/>
      <c r="I30" s="11" t="s">
        <v>57</v>
      </c>
      <c r="J30" s="11" t="s">
        <v>30</v>
      </c>
      <c r="K30" s="11" t="s">
        <v>63</v>
      </c>
      <c r="L30" s="24">
        <v>41542</v>
      </c>
      <c r="M30" s="12">
        <v>25</v>
      </c>
      <c r="N30" s="11" t="s">
        <v>19</v>
      </c>
      <c r="P30" s="42"/>
      <c r="R30" s="27">
        <f t="shared" si="0"/>
        <v>45035</v>
      </c>
      <c r="S30" s="29">
        <f>SUMIFS(Table4420[Amount],Table4420[Date],R30,Table4420[Category],Table136[[#Headers],[Income]])+SUMIFS(Table44[Amount],Table44[Date],R30,Table44[Category],Table136[[#Headers],[Income]])</f>
        <v>0</v>
      </c>
      <c r="T30" s="29">
        <f>SUMIFS(Table4[Amount],Table4[Date],R30,Table4[Category],"&lt;&gt;"&amp;Table136[[#Headers],[Income]])+SUMIFS(Table44[Amount],Table44[Date],R30,Table44[Category],"&lt;&gt;"&amp;Table136[[#Headers],[Income]])</f>
        <v>0</v>
      </c>
      <c r="U30" s="29">
        <f t="shared" si="1"/>
        <v>10000</v>
      </c>
      <c r="V30" s="1">
        <f t="shared" si="2"/>
        <v>10000</v>
      </c>
    </row>
    <row r="31" spans="1:22">
      <c r="A31" s="32"/>
      <c r="B31" s="37" t="str">
        <f>CONCATENATE(Table13[[#Headers],[Transportation]]," - Budget &amp; Tracking")</f>
        <v>Transportation - Budget &amp; Tracking</v>
      </c>
      <c r="C31" s="38"/>
      <c r="D31" s="38"/>
      <c r="E31" s="39"/>
      <c r="F31" s="32"/>
      <c r="G31" s="42"/>
      <c r="I31" s="11" t="s">
        <v>73</v>
      </c>
      <c r="J31" s="11" t="s">
        <v>12</v>
      </c>
      <c r="K31" s="11" t="s">
        <v>61</v>
      </c>
      <c r="L31" s="24">
        <v>41544</v>
      </c>
      <c r="M31" s="12">
        <v>703</v>
      </c>
      <c r="N31" s="11" t="s">
        <v>19</v>
      </c>
      <c r="P31" s="42"/>
      <c r="R31" s="30">
        <f t="shared" si="0"/>
        <v>45036</v>
      </c>
      <c r="S31" s="28">
        <f>SUMIFS(Table4420[Amount],Table4420[Date],R31,Table4420[Category],Table136[[#Headers],[Income]])+SUMIFS(Table44[Amount],Table44[Date],R31,Table44[Category],Table136[[#Headers],[Income]])</f>
        <v>0</v>
      </c>
      <c r="T31" s="28">
        <f>SUMIFS(Table4[Amount],Table4[Date],R31,Table4[Category],"&lt;&gt;"&amp;Table136[[#Headers],[Income]])+SUMIFS(Table44[Amount],Table44[Date],R31,Table44[Category],"&lt;&gt;"&amp;Table136[[#Headers],[Income]])</f>
        <v>0</v>
      </c>
      <c r="U31" s="28">
        <f t="shared" si="1"/>
        <v>10000</v>
      </c>
      <c r="V31" s="1">
        <f t="shared" si="2"/>
        <v>10000</v>
      </c>
    </row>
    <row r="32" spans="1:22">
      <c r="A32" s="32"/>
      <c r="B32" s="31" t="s">
        <v>12</v>
      </c>
      <c r="C32" s="31" t="s">
        <v>1</v>
      </c>
      <c r="D32" s="31" t="s">
        <v>2</v>
      </c>
      <c r="E32" s="31" t="s">
        <v>14</v>
      </c>
      <c r="F32" s="32"/>
      <c r="G32" s="42"/>
      <c r="I32" s="11"/>
      <c r="J32" s="11"/>
      <c r="K32" s="11"/>
      <c r="L32" s="24"/>
      <c r="M32" s="12"/>
      <c r="N32" s="11"/>
      <c r="P32" s="42"/>
      <c r="R32" s="27">
        <f t="shared" si="0"/>
        <v>45037</v>
      </c>
      <c r="S32" s="29">
        <f>SUMIFS(Table4420[Amount],Table4420[Date],R32,Table4420[Category],Table136[[#Headers],[Income]])+SUMIFS(Table44[Amount],Table44[Date],R32,Table44[Category],Table136[[#Headers],[Income]])</f>
        <v>0</v>
      </c>
      <c r="T32" s="29">
        <f>SUMIFS(Table4[Amount],Table4[Date],R32,Table4[Category],"&lt;&gt;"&amp;Table136[[#Headers],[Income]])+SUMIFS(Table44[Amount],Table44[Date],R32,Table44[Category],"&lt;&gt;"&amp;Table136[[#Headers],[Income]])</f>
        <v>0</v>
      </c>
      <c r="U32" s="29">
        <f t="shared" si="1"/>
        <v>10000</v>
      </c>
      <c r="V32" s="1">
        <f t="shared" si="2"/>
        <v>10000</v>
      </c>
    </row>
    <row r="33" spans="1:22">
      <c r="A33" s="32"/>
      <c r="B33" s="1" t="s">
        <v>60</v>
      </c>
      <c r="C33" s="2">
        <v>250</v>
      </c>
      <c r="D33" s="2">
        <f>SUMIFS(Table4[Amount],Table4[Category],Table13[[#Headers],[Transportation]],Table4[Sub-Category],Table13[[#This Row],[Transportation]])+SUMIFS(Table44[Amount],Table44[Category],Table13[[#Headers],[Transportation]],Table44[Sub-Category],Table13[[#This Row],[Transportation]])</f>
        <v>350</v>
      </c>
      <c r="E33" s="3">
        <f>Table13[[#This Row],[Budget]]-Table13[[#This Row],[Actual]]</f>
        <v>-100</v>
      </c>
      <c r="F33" s="32"/>
      <c r="G33" s="42"/>
      <c r="I33" s="58" t="s">
        <v>44</v>
      </c>
      <c r="J33" s="59"/>
      <c r="K33" s="59"/>
      <c r="L33" s="59"/>
      <c r="M33" s="59"/>
      <c r="N33" s="60"/>
      <c r="P33" s="42"/>
      <c r="R33" s="30">
        <f t="shared" si="0"/>
        <v>45038</v>
      </c>
      <c r="S33" s="28">
        <f>SUMIFS(Table4420[Amount],Table4420[Date],R33,Table4420[Category],Table136[[#Headers],[Income]])+SUMIFS(Table44[Amount],Table44[Date],R33,Table44[Category],Table136[[#Headers],[Income]])</f>
        <v>0</v>
      </c>
      <c r="T33" s="28">
        <f>SUMIFS(Table4[Amount],Table4[Date],R33,Table4[Category],"&lt;&gt;"&amp;Table136[[#Headers],[Income]])+SUMIFS(Table44[Amount],Table44[Date],R33,Table44[Category],"&lt;&gt;"&amp;Table136[[#Headers],[Income]])</f>
        <v>0</v>
      </c>
      <c r="U33" s="28">
        <f t="shared" si="1"/>
        <v>10000</v>
      </c>
      <c r="V33" s="1">
        <f t="shared" si="2"/>
        <v>10000</v>
      </c>
    </row>
    <row r="34" spans="1:22">
      <c r="A34" s="32"/>
      <c r="B34" s="1" t="s">
        <v>61</v>
      </c>
      <c r="C34" s="2">
        <v>300</v>
      </c>
      <c r="D34" s="2">
        <f>SUMIFS(Table4[Amount],Table4[Category],Table13[[#Headers],[Transportation]],Table4[Sub-Category],Table13[[#This Row],[Transportation]])+SUMIFS(Table44[Amount],Table44[Category],Table13[[#Headers],[Transportation]],Table44[Sub-Category],Table13[[#This Row],[Transportation]])</f>
        <v>703</v>
      </c>
      <c r="E34" s="3">
        <f>Table13[[#This Row],[Budget]]-Table13[[#This Row],[Actual]]</f>
        <v>-403</v>
      </c>
      <c r="F34" s="32"/>
      <c r="G34" s="42"/>
      <c r="I34" s="31" t="s">
        <v>9</v>
      </c>
      <c r="J34" s="31" t="s">
        <v>0</v>
      </c>
      <c r="K34" s="31" t="s">
        <v>13</v>
      </c>
      <c r="L34" s="31" t="s">
        <v>10</v>
      </c>
      <c r="M34" s="31" t="s">
        <v>11</v>
      </c>
      <c r="N34" s="31" t="s">
        <v>16</v>
      </c>
      <c r="P34" s="42"/>
      <c r="R34" s="27">
        <f t="shared" si="0"/>
        <v>45039</v>
      </c>
      <c r="S34" s="29">
        <f>SUMIFS(Table4420[Amount],Table4420[Date],R34,Table4420[Category],Table136[[#Headers],[Income]])+SUMIFS(Table44[Amount],Table44[Date],R34,Table44[Category],Table136[[#Headers],[Income]])</f>
        <v>0</v>
      </c>
      <c r="T34" s="29">
        <f>SUMIFS(Table4[Amount],Table4[Date],R34,Table4[Category],"&lt;&gt;"&amp;Table136[[#Headers],[Income]])+SUMIFS(Table44[Amount],Table44[Date],R34,Table44[Category],"&lt;&gt;"&amp;Table136[[#Headers],[Income]])</f>
        <v>0</v>
      </c>
      <c r="U34" s="29">
        <f t="shared" si="1"/>
        <v>10000</v>
      </c>
      <c r="V34" s="1">
        <f t="shared" si="2"/>
        <v>10000</v>
      </c>
    </row>
    <row r="35" spans="1:22">
      <c r="A35" s="32"/>
      <c r="B35" s="11" t="s">
        <v>39</v>
      </c>
      <c r="C35" s="12">
        <v>200</v>
      </c>
      <c r="D35" s="13">
        <f>SUMIFS(Table4[Amount],Table4[Category],Table13[[#Headers],[Transportation]],Table4[Sub-Category],Table13[[#This Row],[Transportation]])+SUMIFS(Table44[Amount],Table44[Category],Table13[[#Headers],[Transportation]],Table44[Sub-Category],Table13[[#This Row],[Transportation]])</f>
        <v>115.79</v>
      </c>
      <c r="E35" s="13">
        <f>Table13[[#This Row],[Budget]]-Table13[[#This Row],[Actual]]</f>
        <v>84.21</v>
      </c>
      <c r="F35" s="32"/>
      <c r="G35" s="42"/>
      <c r="I35" s="1" t="s">
        <v>69</v>
      </c>
      <c r="J35" s="1" t="s">
        <v>25</v>
      </c>
      <c r="K35" s="1" t="s">
        <v>31</v>
      </c>
      <c r="L35" s="4">
        <v>41523</v>
      </c>
      <c r="M35" s="2">
        <v>21.39</v>
      </c>
      <c r="N35" s="1" t="s">
        <v>18</v>
      </c>
      <c r="P35" s="42"/>
      <c r="R35" s="30">
        <f t="shared" si="0"/>
        <v>45040</v>
      </c>
      <c r="S35" s="28">
        <f>SUMIFS(Table4420[Amount],Table4420[Date],R35,Table4420[Category],Table136[[#Headers],[Income]])+SUMIFS(Table44[Amount],Table44[Date],R35,Table44[Category],Table136[[#Headers],[Income]])</f>
        <v>0</v>
      </c>
      <c r="T35" s="28">
        <f>SUMIFS(Table4[Amount],Table4[Date],R35,Table4[Category],"&lt;&gt;"&amp;Table136[[#Headers],[Income]])+SUMIFS(Table44[Amount],Table44[Date],R35,Table44[Category],"&lt;&gt;"&amp;Table136[[#Headers],[Income]])</f>
        <v>0</v>
      </c>
      <c r="U35" s="28">
        <f t="shared" si="1"/>
        <v>10000</v>
      </c>
      <c r="V35" s="1">
        <f t="shared" si="2"/>
        <v>10000</v>
      </c>
    </row>
    <row r="36" spans="1:22">
      <c r="A36" s="32"/>
      <c r="B36" s="11" t="s">
        <v>28</v>
      </c>
      <c r="C36" s="12">
        <v>250</v>
      </c>
      <c r="D36" s="13">
        <f>SUMIFS(Table4[Amount],Table4[Category],Table13[[#Headers],[Transportation]],Table4[Sub-Category],Table13[[#This Row],[Transportation]])+SUMIFS(Table44[Amount],Table44[Category],Table13[[#Headers],[Transportation]],Table44[Sub-Category],Table13[[#This Row],[Transportation]])</f>
        <v>0</v>
      </c>
      <c r="E36" s="13">
        <f>Table13[[#This Row],[Budget]]-Table13[[#This Row],[Actual]]</f>
        <v>250</v>
      </c>
      <c r="F36" s="32"/>
      <c r="G36" s="42"/>
      <c r="I36" s="1" t="s">
        <v>70</v>
      </c>
      <c r="J36" s="1" t="s">
        <v>8</v>
      </c>
      <c r="K36" s="1" t="s">
        <v>7</v>
      </c>
      <c r="L36" s="4">
        <v>41523</v>
      </c>
      <c r="M36" s="2">
        <v>33.24</v>
      </c>
      <c r="N36" s="1" t="s">
        <v>18</v>
      </c>
      <c r="P36" s="42"/>
      <c r="R36" s="27">
        <f t="shared" si="0"/>
        <v>45041</v>
      </c>
      <c r="S36" s="29">
        <f>SUMIFS(Table4420[Amount],Table4420[Date],R36,Table4420[Category],Table136[[#Headers],[Income]])+SUMIFS(Table44[Amount],Table44[Date],R36,Table44[Category],Table136[[#Headers],[Income]])</f>
        <v>0</v>
      </c>
      <c r="T36" s="29">
        <f>SUMIFS(Table4[Amount],Table4[Date],R36,Table4[Category],"&lt;&gt;"&amp;Table136[[#Headers],[Income]])+SUMIFS(Table44[Amount],Table44[Date],R36,Table44[Category],"&lt;&gt;"&amp;Table136[[#Headers],[Income]])</f>
        <v>0</v>
      </c>
      <c r="U36" s="29">
        <f t="shared" si="1"/>
        <v>10000</v>
      </c>
      <c r="V36" s="1">
        <f t="shared" si="2"/>
        <v>10000</v>
      </c>
    </row>
    <row r="37" spans="1:22">
      <c r="A37" s="32"/>
      <c r="B37" s="9" t="s">
        <v>20</v>
      </c>
      <c r="C37" s="10">
        <f>SUBTOTAL(109,Table13[Budget])</f>
        <v>1000</v>
      </c>
      <c r="D37" s="10">
        <f>SUBTOTAL(109,Table13[Actual])</f>
        <v>1168.79</v>
      </c>
      <c r="E37" s="10">
        <f>SUBTOTAL(109,Table13[Variance])</f>
        <v>-168.79000000000002</v>
      </c>
      <c r="F37" s="32"/>
      <c r="G37" s="42"/>
      <c r="I37" s="1" t="s">
        <v>70</v>
      </c>
      <c r="J37" s="1" t="s">
        <v>8</v>
      </c>
      <c r="K37" s="1" t="s">
        <v>7</v>
      </c>
      <c r="L37" s="4">
        <v>41523</v>
      </c>
      <c r="M37" s="2">
        <v>31.69</v>
      </c>
      <c r="N37" s="1" t="s">
        <v>18</v>
      </c>
      <c r="P37" s="42"/>
      <c r="R37" s="30">
        <f t="shared" si="0"/>
        <v>45042</v>
      </c>
      <c r="S37" s="28">
        <f>SUMIFS(Table4420[Amount],Table4420[Date],R37,Table4420[Category],Table136[[#Headers],[Income]])+SUMIFS(Table44[Amount],Table44[Date],R37,Table44[Category],Table136[[#Headers],[Income]])</f>
        <v>0</v>
      </c>
      <c r="T37" s="28">
        <f>SUMIFS(Table4[Amount],Table4[Date],R37,Table4[Category],"&lt;&gt;"&amp;Table136[[#Headers],[Income]])+SUMIFS(Table44[Amount],Table44[Date],R37,Table44[Category],"&lt;&gt;"&amp;Table136[[#Headers],[Income]])</f>
        <v>0</v>
      </c>
      <c r="U37" s="28">
        <f t="shared" si="1"/>
        <v>10000</v>
      </c>
      <c r="V37" s="1">
        <f t="shared" si="2"/>
        <v>10000</v>
      </c>
    </row>
    <row r="38" spans="1:22">
      <c r="A38" s="32"/>
      <c r="B38" s="26"/>
      <c r="C38" s="23"/>
      <c r="D38" s="23"/>
      <c r="E38" s="23"/>
      <c r="F38" s="32"/>
      <c r="G38" s="42"/>
      <c r="I38" s="11" t="s">
        <v>71</v>
      </c>
      <c r="J38" s="11" t="s">
        <v>24</v>
      </c>
      <c r="K38" s="11" t="s">
        <v>26</v>
      </c>
      <c r="L38" s="24">
        <v>41523</v>
      </c>
      <c r="M38" s="12">
        <v>10.88</v>
      </c>
      <c r="N38" s="11" t="s">
        <v>18</v>
      </c>
      <c r="P38" s="42"/>
      <c r="R38" s="27">
        <f t="shared" si="0"/>
        <v>45043</v>
      </c>
      <c r="S38" s="29">
        <f>SUMIFS(Table4420[Amount],Table4420[Date],R38,Table4420[Category],Table136[[#Headers],[Income]])+SUMIFS(Table44[Amount],Table44[Date],R38,Table44[Category],Table136[[#Headers],[Income]])</f>
        <v>0</v>
      </c>
      <c r="T38" s="29">
        <f>SUMIFS(Table4[Amount],Table4[Date],R38,Table4[Category],"&lt;&gt;"&amp;Table136[[#Headers],[Income]])+SUMIFS(Table44[Amount],Table44[Date],R38,Table44[Category],"&lt;&gt;"&amp;Table136[[#Headers],[Income]])</f>
        <v>0</v>
      </c>
      <c r="U38" s="29">
        <f t="shared" si="1"/>
        <v>10000</v>
      </c>
      <c r="V38" s="1">
        <f t="shared" si="2"/>
        <v>10000</v>
      </c>
    </row>
    <row r="39" spans="1:22">
      <c r="A39" s="32"/>
      <c r="B39" s="37" t="str">
        <f>CONCATENATE(Table13910[[#Headers],[Bills]]," - Budget &amp; Tracking")</f>
        <v>Bills - Budget &amp; Tracking</v>
      </c>
      <c r="C39" s="38"/>
      <c r="D39" s="38"/>
      <c r="E39" s="39"/>
      <c r="F39" s="32"/>
      <c r="G39" s="42"/>
      <c r="I39" s="11" t="s">
        <v>70</v>
      </c>
      <c r="J39" s="11" t="s">
        <v>8</v>
      </c>
      <c r="K39" s="11" t="s">
        <v>7</v>
      </c>
      <c r="L39" s="24">
        <v>41524</v>
      </c>
      <c r="M39" s="12">
        <v>7.58</v>
      </c>
      <c r="N39" s="11" t="s">
        <v>18</v>
      </c>
      <c r="P39" s="42"/>
      <c r="R39" s="30">
        <f t="shared" si="0"/>
        <v>45044</v>
      </c>
      <c r="S39" s="28">
        <f>SUMIFS(Table4420[Amount],Table4420[Date],R39,Table4420[Category],Table136[[#Headers],[Income]])+SUMIFS(Table44[Amount],Table44[Date],R39,Table44[Category],Table136[[#Headers],[Income]])</f>
        <v>0</v>
      </c>
      <c r="T39" s="28">
        <f>SUMIFS(Table4[Amount],Table4[Date],R39,Table4[Category],"&lt;&gt;"&amp;Table136[[#Headers],[Income]])+SUMIFS(Table44[Amount],Table44[Date],R39,Table44[Category],"&lt;&gt;"&amp;Table136[[#Headers],[Income]])</f>
        <v>0</v>
      </c>
      <c r="U39" s="28">
        <f t="shared" si="1"/>
        <v>10000</v>
      </c>
      <c r="V39" s="1">
        <f t="shared" si="2"/>
        <v>10000</v>
      </c>
    </row>
    <row r="40" spans="1:22">
      <c r="A40" s="32"/>
      <c r="B40" s="31" t="s">
        <v>30</v>
      </c>
      <c r="C40" s="31" t="s">
        <v>1</v>
      </c>
      <c r="D40" s="31" t="s">
        <v>2</v>
      </c>
      <c r="E40" s="31" t="s">
        <v>14</v>
      </c>
      <c r="F40" s="32"/>
      <c r="G40" s="42"/>
      <c r="I40" s="11" t="s">
        <v>72</v>
      </c>
      <c r="J40" s="11" t="s">
        <v>8</v>
      </c>
      <c r="K40" s="11" t="s">
        <v>7</v>
      </c>
      <c r="L40" s="24">
        <v>41526</v>
      </c>
      <c r="M40" s="12">
        <v>38.229999999999997</v>
      </c>
      <c r="N40" s="11" t="s">
        <v>18</v>
      </c>
      <c r="P40" s="42"/>
      <c r="R40" s="27">
        <f t="shared" si="0"/>
        <v>45045</v>
      </c>
      <c r="S40" s="29">
        <f>SUMIFS(Table4420[Amount],Table4420[Date],R40,Table4420[Category],Table136[[#Headers],[Income]])+SUMIFS(Table44[Amount],Table44[Date],R40,Table44[Category],Table136[[#Headers],[Income]])</f>
        <v>0</v>
      </c>
      <c r="T40" s="29">
        <f>SUMIFS(Table4[Amount],Table4[Date],R40,Table4[Category],"&lt;&gt;"&amp;Table136[[#Headers],[Income]])+SUMIFS(Table44[Amount],Table44[Date],R40,Table44[Category],"&lt;&gt;"&amp;Table136[[#Headers],[Income]])</f>
        <v>0</v>
      </c>
      <c r="U40" s="29">
        <f t="shared" si="1"/>
        <v>10000</v>
      </c>
      <c r="V40" s="1">
        <f t="shared" si="2"/>
        <v>10000</v>
      </c>
    </row>
    <row r="41" spans="1:22">
      <c r="A41" s="32"/>
      <c r="B41" s="1" t="s">
        <v>62</v>
      </c>
      <c r="C41" s="2">
        <v>50</v>
      </c>
      <c r="D41" s="2">
        <f>SUMIFS(Table4[Amount],Table4[Category],Table13910[[#Headers],[Bills]],Table4[Sub-Category],Table13910[[#This Row],[Bills]])+SUMIFS(Table44[Amount],Table44[Category],Table13910[[#Headers],[Bills]],Table44[Sub-Category],Table13910[[#This Row],[Bills]])</f>
        <v>250</v>
      </c>
      <c r="E41" s="3">
        <f>Table13910[[#This Row],[Budget]]-Table13910[[#This Row],[Actual]]</f>
        <v>-200</v>
      </c>
      <c r="F41" s="32"/>
      <c r="G41" s="42"/>
      <c r="P41" s="42"/>
      <c r="R41" s="30">
        <f t="shared" si="0"/>
        <v>45046</v>
      </c>
      <c r="S41" s="28">
        <f>SUMIFS(Table4420[Amount],Table4420[Date],R41,Table4420[Category],Table136[[#Headers],[Income]])+SUMIFS(Table44[Amount],Table44[Date],R41,Table44[Category],Table136[[#Headers],[Income]])</f>
        <v>0</v>
      </c>
      <c r="T41" s="28">
        <f>SUMIFS(Table4[Amount],Table4[Date],R41,Table4[Category],"&lt;&gt;"&amp;Table136[[#Headers],[Income]])+SUMIFS(Table44[Amount],Table44[Date],R41,Table44[Category],"&lt;&gt;"&amp;Table136[[#Headers],[Income]])</f>
        <v>0</v>
      </c>
      <c r="U41" s="28">
        <f t="shared" si="1"/>
        <v>10000</v>
      </c>
      <c r="V41" s="1">
        <f t="shared" si="2"/>
        <v>10000</v>
      </c>
    </row>
    <row r="42" spans="1:22">
      <c r="A42" s="32"/>
      <c r="B42" s="1" t="s">
        <v>63</v>
      </c>
      <c r="C42" s="2">
        <v>250</v>
      </c>
      <c r="D42" s="2">
        <f>SUMIFS(Table4[Amount],Table4[Category],Table13910[[#Headers],[Bills]],Table4[Sub-Category],Table13910[[#This Row],[Bills]])+SUMIFS(Table44[Amount],Table44[Category],Table13910[[#Headers],[Bills]],Table44[Sub-Category],Table13910[[#This Row],[Bills]])</f>
        <v>25</v>
      </c>
      <c r="E42" s="3">
        <f>Table13910[[#This Row],[Budget]]-Table13910[[#This Row],[Actual]]</f>
        <v>225</v>
      </c>
      <c r="F42" s="32"/>
      <c r="G42" s="42"/>
      <c r="P42" s="42"/>
      <c r="R42" s="27">
        <f t="shared" si="0"/>
        <v>45047</v>
      </c>
      <c r="S42" s="29">
        <f>SUMIFS(Table4420[Amount],Table4420[Date],R42,Table4420[Category],Table136[[#Headers],[Income]])+SUMIFS(Table44[Amount],Table44[Date],R42,Table44[Category],Table136[[#Headers],[Income]])</f>
        <v>0</v>
      </c>
      <c r="T42" s="29">
        <f>SUMIFS(Table4[Amount],Table4[Date],R42,Table4[Category],"&lt;&gt;"&amp;Table136[[#Headers],[Income]])+SUMIFS(Table44[Amount],Table44[Date],R42,Table44[Category],"&lt;&gt;"&amp;Table136[[#Headers],[Income]])</f>
        <v>0</v>
      </c>
      <c r="U42" s="29">
        <f t="shared" si="1"/>
        <v>10000</v>
      </c>
      <c r="V42" s="1">
        <f t="shared" si="2"/>
        <v>10000</v>
      </c>
    </row>
    <row r="43" spans="1:22">
      <c r="A43" s="32"/>
      <c r="B43" s="11" t="s">
        <v>64</v>
      </c>
      <c r="C43" s="12">
        <v>25</v>
      </c>
      <c r="D43" s="13">
        <f>SUMIFS(Table4[Amount],Table4[Category],Table13910[[#Headers],[Bills]],Table4[Sub-Category],Table13910[[#This Row],[Bills]])+SUMIFS(Table44[Amount],Table44[Category],Table13910[[#Headers],[Bills]],Table44[Sub-Category],Table13910[[#This Row],[Bills]])</f>
        <v>0</v>
      </c>
      <c r="E43" s="13">
        <f>Table13910[[#This Row],[Budget]]-Table13910[[#This Row],[Actual]]</f>
        <v>25</v>
      </c>
      <c r="F43" s="32"/>
      <c r="G43" s="42"/>
      <c r="P43" s="42"/>
      <c r="R43" s="8"/>
    </row>
    <row r="44" spans="1:22">
      <c r="A44" s="32"/>
      <c r="B44" s="11" t="s">
        <v>65</v>
      </c>
      <c r="C44" s="12">
        <v>25</v>
      </c>
      <c r="D44" s="13">
        <f>SUMIFS(Table4[Amount],Table4[Category],Table13910[[#Headers],[Bills]],Table4[Sub-Category],Table13910[[#This Row],[Bills]])+SUMIFS(Table44[Amount],Table44[Category],Table13910[[#Headers],[Bills]],Table44[Sub-Category],Table13910[[#This Row],[Bills]])</f>
        <v>0</v>
      </c>
      <c r="E44" s="13">
        <f>Table13910[[#This Row],[Budget]]-Table13910[[#This Row],[Actual]]</f>
        <v>25</v>
      </c>
      <c r="F44" s="32"/>
      <c r="G44" s="42"/>
      <c r="P44" s="42"/>
      <c r="R44" s="8"/>
    </row>
    <row r="45" spans="1:22">
      <c r="A45" s="32"/>
      <c r="B45" s="11" t="s">
        <v>66</v>
      </c>
      <c r="C45" s="12">
        <v>35</v>
      </c>
      <c r="D45" s="13">
        <f>SUMIFS(Table4[Amount],Table4[Category],Table13910[[#Headers],[Bills]],Table4[Sub-Category],Table13910[[#This Row],[Bills]])+SUMIFS(Table44[Amount],Table44[Category],Table13910[[#Headers],[Bills]],Table44[Sub-Category],Table13910[[#This Row],[Bills]])</f>
        <v>0</v>
      </c>
      <c r="E45" s="13">
        <f>Table13910[[#This Row],[Budget]]-Table13910[[#This Row],[Actual]]</f>
        <v>35</v>
      </c>
      <c r="F45" s="32"/>
      <c r="G45" s="42"/>
      <c r="P45" s="42"/>
    </row>
    <row r="46" spans="1:22">
      <c r="A46" s="32"/>
      <c r="B46" s="9" t="s">
        <v>20</v>
      </c>
      <c r="C46" s="10">
        <f>SUBTOTAL(109,Table13910[Budget])</f>
        <v>385</v>
      </c>
      <c r="D46" s="10">
        <f>SUBTOTAL(109,Table13910[Actual])</f>
        <v>275</v>
      </c>
      <c r="E46" s="10">
        <f>SUBTOTAL(109,Table13910[Variance])</f>
        <v>110</v>
      </c>
      <c r="F46" s="32"/>
      <c r="G46" s="42"/>
      <c r="P46" s="42"/>
    </row>
    <row r="47" spans="1:22">
      <c r="A47" s="32"/>
      <c r="B47" s="20"/>
      <c r="C47" s="21"/>
      <c r="D47" s="21"/>
      <c r="E47" s="22"/>
      <c r="F47" s="32"/>
      <c r="G47" s="42"/>
      <c r="P47" s="42"/>
    </row>
    <row r="48" spans="1:22">
      <c r="A48" s="32"/>
      <c r="B48" s="37" t="str">
        <f>CONCATENATE(Table137[[#Headers],[Living]]," - Budget &amp; Tracking")</f>
        <v>Living - Budget &amp; Tracking</v>
      </c>
      <c r="C48" s="38"/>
      <c r="D48" s="38"/>
      <c r="E48" s="39"/>
      <c r="F48" s="32"/>
      <c r="G48" s="42"/>
      <c r="P48" s="42"/>
    </row>
    <row r="49" spans="1:16">
      <c r="A49" s="32"/>
      <c r="B49" s="31" t="s">
        <v>25</v>
      </c>
      <c r="C49" s="31" t="s">
        <v>1</v>
      </c>
      <c r="D49" s="31" t="s">
        <v>2</v>
      </c>
      <c r="E49" s="31" t="s">
        <v>14</v>
      </c>
      <c r="F49" s="32"/>
      <c r="G49" s="42"/>
      <c r="P49" s="42"/>
    </row>
    <row r="50" spans="1:16">
      <c r="A50" s="32"/>
      <c r="B50" s="1" t="s">
        <v>31</v>
      </c>
      <c r="C50" s="2">
        <v>400</v>
      </c>
      <c r="D50" s="2">
        <f>SUMIFS(Table4[Amount],Table4[Category],Table137[[#Headers],[Living]],Table4[Sub-Category],Table137[[#This Row],[Living]])+SUMIFS(Table44[Amount],Table44[Category],Table137[[#Headers],[Living]],Table44[Sub-Category],Table137[[#This Row],[Living]])</f>
        <v>21.39</v>
      </c>
      <c r="E50" s="3">
        <f>Table137[[#This Row],[Budget]]-Table137[[#This Row],[Actual]]</f>
        <v>378.61</v>
      </c>
      <c r="F50" s="32"/>
      <c r="G50" s="42"/>
      <c r="P50" s="42"/>
    </row>
    <row r="51" spans="1:16">
      <c r="A51" s="32"/>
      <c r="B51" s="1" t="s">
        <v>67</v>
      </c>
      <c r="C51" s="2">
        <v>150</v>
      </c>
      <c r="D51" s="2">
        <f>SUMIFS(Table4[Amount],Table4[Category],Table137[[#Headers],[Living]],Table4[Sub-Category],Table137[[#This Row],[Living]])+SUMIFS(Table44[Amount],Table44[Category],Table137[[#Headers],[Living]],Table44[Sub-Category],Table137[[#This Row],[Living]])</f>
        <v>0</v>
      </c>
      <c r="E51" s="3">
        <f>Table137[[#This Row],[Budget]]-Table137[[#This Row],[Actual]]</f>
        <v>150</v>
      </c>
      <c r="F51" s="32"/>
      <c r="G51" s="42"/>
      <c r="P51" s="42"/>
    </row>
    <row r="52" spans="1:16">
      <c r="A52" s="32"/>
      <c r="B52" s="11" t="s">
        <v>68</v>
      </c>
      <c r="C52" s="12">
        <v>150</v>
      </c>
      <c r="D52" s="13">
        <f>SUMIFS(Table4[Amount],Table4[Category],Table137[[#Headers],[Living]],Table4[Sub-Category],Table137[[#This Row],[Living]])+SUMIFS(Table44[Amount],Table44[Category],Table137[[#Headers],[Living]],Table44[Sub-Category],Table137[[#This Row],[Living]])</f>
        <v>0</v>
      </c>
      <c r="E52" s="13">
        <f>Table137[[#This Row],[Budget]]-Table137[[#This Row],[Actual]]</f>
        <v>150</v>
      </c>
      <c r="F52" s="32"/>
      <c r="G52" s="42"/>
      <c r="P52" s="42"/>
    </row>
    <row r="53" spans="1:16">
      <c r="A53" s="32"/>
      <c r="B53" s="11" t="s">
        <v>29</v>
      </c>
      <c r="C53" s="12">
        <v>100</v>
      </c>
      <c r="D53" s="13">
        <f>SUMIFS(Table4[Amount],Table4[Category],Table137[[#Headers],[Living]],Table4[Sub-Category],Table137[[#This Row],[Living]])+SUMIFS(Table44[Amount],Table44[Category],Table137[[#Headers],[Living]],Table44[Sub-Category],Table137[[#This Row],[Living]])</f>
        <v>0</v>
      </c>
      <c r="E53" s="13">
        <f>Table137[[#This Row],[Budget]]-Table137[[#This Row],[Actual]]</f>
        <v>100</v>
      </c>
      <c r="F53" s="32"/>
      <c r="G53" s="42"/>
      <c r="P53" s="42"/>
    </row>
    <row r="54" spans="1:16">
      <c r="A54" s="32"/>
      <c r="B54" s="9" t="s">
        <v>20</v>
      </c>
      <c r="C54" s="10">
        <f>SUBTOTAL(109,Table137[Budget])</f>
        <v>800</v>
      </c>
      <c r="D54" s="10">
        <f>SUBTOTAL(109,Table137[Actual])</f>
        <v>21.39</v>
      </c>
      <c r="E54" s="10">
        <f>SUBTOTAL(109,Table137[Variance])</f>
        <v>778.61</v>
      </c>
      <c r="F54" s="32"/>
      <c r="G54" s="42"/>
      <c r="P54" s="42"/>
    </row>
    <row r="55" spans="1:16">
      <c r="A55" s="32"/>
      <c r="B55" s="20"/>
      <c r="C55" s="21"/>
      <c r="D55" s="21"/>
      <c r="E55" s="22"/>
      <c r="F55" s="32"/>
      <c r="G55" s="42"/>
      <c r="P55" s="42"/>
    </row>
    <row r="56" spans="1:16">
      <c r="A56" s="32"/>
      <c r="B56" s="37" t="str">
        <f>CONCATENATE(Table138[[#Headers],[Entertainment]]," - Budget &amp; Tracking")</f>
        <v>Entertainment - Budget &amp; Tracking</v>
      </c>
      <c r="C56" s="38"/>
      <c r="D56" s="38"/>
      <c r="E56" s="39"/>
      <c r="F56" s="32"/>
      <c r="G56" s="42"/>
      <c r="P56" s="42"/>
    </row>
    <row r="57" spans="1:16">
      <c r="A57" s="32"/>
      <c r="B57" s="31" t="s">
        <v>24</v>
      </c>
      <c r="C57" s="31" t="s">
        <v>1</v>
      </c>
      <c r="D57" s="31" t="s">
        <v>2</v>
      </c>
      <c r="E57" s="31" t="s">
        <v>14</v>
      </c>
      <c r="F57" s="32"/>
      <c r="G57" s="42"/>
      <c r="P57" s="42"/>
    </row>
    <row r="58" spans="1:16">
      <c r="A58" s="32"/>
      <c r="B58" s="1" t="s">
        <v>26</v>
      </c>
      <c r="C58" s="2">
        <v>200</v>
      </c>
      <c r="D58" s="2">
        <f>SUMIFS(Table4[Amount],Table4[Category],Table138[[#Headers],[Entertainment]],Table4[Sub-Category],Table138[[#This Row],[Entertainment]])+SUMIFS(Table44[Amount],Table44[Category],Table138[[#Headers],[Entertainment]],Table44[Sub-Category],Table138[[#This Row],[Entertainment]])</f>
        <v>10.88</v>
      </c>
      <c r="E58" s="3">
        <f>Table138[[#This Row],[Budget]]-Table138[[#This Row],[Actual]]</f>
        <v>189.12</v>
      </c>
      <c r="F58" s="32"/>
      <c r="G58" s="42"/>
      <c r="P58" s="42"/>
    </row>
    <row r="59" spans="1:16">
      <c r="A59" s="33"/>
      <c r="B59" s="1" t="s">
        <v>29</v>
      </c>
      <c r="C59" s="2">
        <v>100</v>
      </c>
      <c r="D59" s="2">
        <f>SUMIFS(Table4[Amount],Table4[Category],Table138[[#Headers],[Entertainment]],Table4[Sub-Category],Table138[[#This Row],[Entertainment]])+SUMIFS(Table44[Amount],Table44[Category],Table138[[#Headers],[Entertainment]],Table44[Sub-Category],Table138[[#This Row],[Entertainment]])</f>
        <v>0</v>
      </c>
      <c r="E59" s="3">
        <f>Table138[[#This Row],[Budget]]-Table138[[#This Row],[Actual]]</f>
        <v>100</v>
      </c>
      <c r="F59" s="33"/>
      <c r="G59" s="42"/>
      <c r="P59" s="42"/>
    </row>
    <row r="60" spans="1:16">
      <c r="B60" s="9" t="s">
        <v>20</v>
      </c>
      <c r="C60" s="10">
        <f>SUBTOTAL(109,Table138[Budget])</f>
        <v>300</v>
      </c>
      <c r="D60" s="10">
        <f>SUBTOTAL(109,Table138[Actual])</f>
        <v>10.88</v>
      </c>
      <c r="E60" s="10">
        <f>SUBTOTAL(109,Table138[Variance])</f>
        <v>289.12</v>
      </c>
      <c r="G60" s="42"/>
      <c r="P60" s="42"/>
    </row>
    <row r="61" spans="1:16">
      <c r="B61" s="26"/>
      <c r="C61" s="23"/>
      <c r="D61" s="23"/>
      <c r="E61" s="23"/>
      <c r="G61" s="42"/>
      <c r="P61" s="42"/>
    </row>
    <row r="62" spans="1:16">
      <c r="B62" s="37" t="str">
        <f>CONCATENATE(Table139[[#Headers],[Misc.]]," - Budget &amp; Tracking")</f>
        <v>Misc. - Budget &amp; Tracking</v>
      </c>
      <c r="C62" s="38"/>
      <c r="D62" s="38"/>
      <c r="E62" s="39"/>
      <c r="G62" s="42"/>
      <c r="P62" s="42"/>
    </row>
    <row r="63" spans="1:16">
      <c r="B63" s="31" t="s">
        <v>27</v>
      </c>
      <c r="C63" s="31" t="s">
        <v>1</v>
      </c>
      <c r="D63" s="31" t="s">
        <v>2</v>
      </c>
      <c r="E63" s="31" t="s">
        <v>14</v>
      </c>
      <c r="G63" s="42"/>
      <c r="P63" s="42"/>
    </row>
    <row r="64" spans="1:16">
      <c r="B64" s="11" t="s">
        <v>41</v>
      </c>
      <c r="C64" s="12">
        <v>50</v>
      </c>
      <c r="D64" s="13">
        <f>SUMIFS(Table4[Amount],Table4[Category],Table139[[#Headers],[Misc.]],Table4[Sub-Category],Table139[[#This Row],[Misc.]])+SUMIFS(Table44[Amount],Table44[Category],Table139[[#Headers],[Misc.]],Table44[Sub-Category],Table139[[#This Row],[Misc.]])</f>
        <v>0</v>
      </c>
      <c r="E64" s="13">
        <f>Table139[[#This Row],[Budget]]-Table139[[#This Row],[Actual]]</f>
        <v>50</v>
      </c>
      <c r="G64" s="42"/>
      <c r="P64" s="42"/>
    </row>
    <row r="65" spans="2:16">
      <c r="B65" s="11" t="s">
        <v>29</v>
      </c>
      <c r="C65" s="12">
        <v>100</v>
      </c>
      <c r="D65" s="13">
        <f>SUMIFS(Table4[Amount],Table4[Category],Table139[[#Headers],[Misc.]],Table4[Sub-Category],Table139[[#This Row],[Misc.]])+SUMIFS(Table44[Amount],Table44[Category],Table139[[#Headers],[Misc.]],Table44[Sub-Category],Table139[[#This Row],[Misc.]])</f>
        <v>0</v>
      </c>
      <c r="E65" s="13">
        <f>Table139[[#This Row],[Budget]]-Table139[[#This Row],[Actual]]</f>
        <v>100</v>
      </c>
      <c r="G65" s="42"/>
      <c r="P65" s="42"/>
    </row>
    <row r="66" spans="2:16">
      <c r="B66" s="9" t="s">
        <v>20</v>
      </c>
      <c r="C66" s="10">
        <f>SUBTOTAL(109,Table139[Budget])</f>
        <v>150</v>
      </c>
      <c r="D66" s="10">
        <f>SUBTOTAL(109,Table139[Actual])</f>
        <v>0</v>
      </c>
      <c r="E66" s="10">
        <f>SUBTOTAL(109,Table139[Variance])</f>
        <v>150</v>
      </c>
      <c r="G66" s="42"/>
      <c r="P66" s="42"/>
    </row>
    <row r="67" spans="2:16">
      <c r="B67" s="26"/>
      <c r="C67" s="23"/>
      <c r="D67" s="23"/>
      <c r="E67" s="23"/>
    </row>
  </sheetData>
  <mergeCells count="6">
    <mergeCell ref="R10:U10"/>
    <mergeCell ref="B1:E1"/>
    <mergeCell ref="B10:E10"/>
    <mergeCell ref="I10:N10"/>
    <mergeCell ref="I17:N17"/>
    <mergeCell ref="I33:N33"/>
  </mergeCells>
  <conditionalFormatting sqref="E33:E36">
    <cfRule type="iconSet" priority="70">
      <iconSet iconSet="3Symbols">
        <cfvo type="percent" val="0"/>
        <cfvo type="num" val="0"/>
        <cfvo type="num" val="10"/>
      </iconSet>
    </cfRule>
  </conditionalFormatting>
  <conditionalFormatting sqref="E50:E53">
    <cfRule type="iconSet" priority="65">
      <iconSet iconSet="3Symbols">
        <cfvo type="percent" val="0"/>
        <cfvo type="num" val="0"/>
        <cfvo type="num" val="10"/>
      </iconSet>
    </cfRule>
  </conditionalFormatting>
  <conditionalFormatting sqref="E58:E59">
    <cfRule type="iconSet" priority="63">
      <iconSet iconSet="3Symbols">
        <cfvo type="percent" val="0"/>
        <cfvo type="num" val="0"/>
        <cfvo type="num" val="10"/>
      </iconSet>
    </cfRule>
  </conditionalFormatting>
  <conditionalFormatting sqref="E41:E45">
    <cfRule type="iconSet" priority="59">
      <iconSet iconSet="3Symbols">
        <cfvo type="percent" val="0"/>
        <cfvo type="num" val="0"/>
        <cfvo type="num" val="10"/>
      </iconSet>
    </cfRule>
  </conditionalFormatting>
  <conditionalFormatting sqref="C6:D6">
    <cfRule type="iconSet" priority="53">
      <iconSet iconSet="3Symbols">
        <cfvo type="percent" val="0"/>
        <cfvo type="num" val="0" gte="0"/>
        <cfvo type="num" val="10"/>
      </iconSet>
    </cfRule>
  </conditionalFormatting>
  <conditionalFormatting sqref="E3:E6">
    <cfRule type="iconSet" priority="52">
      <iconSet iconSet="3Arrows">
        <cfvo type="percent" val="0"/>
        <cfvo type="num" val="-50"/>
        <cfvo type="num" val="0" gte="0"/>
      </iconSet>
    </cfRule>
  </conditionalFormatting>
  <conditionalFormatting sqref="E20:E28">
    <cfRule type="iconSet" priority="74">
      <iconSet iconSet="3Symbols">
        <cfvo type="percent" val="0"/>
        <cfvo type="num" val="0"/>
        <cfvo type="num" val="10"/>
      </iconSet>
    </cfRule>
  </conditionalFormatting>
  <conditionalFormatting sqref="R12">
    <cfRule type="cellIs" dxfId="191" priority="51" operator="equal">
      <formula>TODAY()</formula>
    </cfRule>
  </conditionalFormatting>
  <conditionalFormatting sqref="S12 S20:T42">
    <cfRule type="expression" dxfId="190" priority="42">
      <formula>IF($R12=TODAY(),TRUE)</formula>
    </cfRule>
  </conditionalFormatting>
  <conditionalFormatting sqref="T12">
    <cfRule type="expression" dxfId="189" priority="32">
      <formula>IF($R12=TODAY(),TRUE)</formula>
    </cfRule>
  </conditionalFormatting>
  <conditionalFormatting sqref="U12 U20:U42">
    <cfRule type="expression" dxfId="188" priority="28">
      <formula>IF($R12=TODAY(),TRUE)</formula>
    </cfRule>
  </conditionalFormatting>
  <conditionalFormatting sqref="R13:R15">
    <cfRule type="cellIs" dxfId="187" priority="12" operator="equal">
      <formula>TODAY()</formula>
    </cfRule>
  </conditionalFormatting>
  <conditionalFormatting sqref="S13:S15">
    <cfRule type="expression" dxfId="186" priority="11">
      <formula>IF($R13=TODAY(),TRUE)</formula>
    </cfRule>
  </conditionalFormatting>
  <conditionalFormatting sqref="T13:T15">
    <cfRule type="expression" dxfId="185" priority="10">
      <formula>IF($R13=TODAY(),TRUE)</formula>
    </cfRule>
  </conditionalFormatting>
  <conditionalFormatting sqref="U13:U15">
    <cfRule type="expression" dxfId="184" priority="9">
      <formula>IF($R13=TODAY(),TRUE)</formula>
    </cfRule>
  </conditionalFormatting>
  <conditionalFormatting sqref="R16 R20 R24 R28 R32 R36 R40">
    <cfRule type="cellIs" dxfId="183" priority="8" operator="equal">
      <formula>TODAY()</formula>
    </cfRule>
  </conditionalFormatting>
  <conditionalFormatting sqref="S16">
    <cfRule type="expression" dxfId="182" priority="7">
      <formula>IF($R16=TODAY(),TRUE)</formula>
    </cfRule>
  </conditionalFormatting>
  <conditionalFormatting sqref="T16">
    <cfRule type="expression" dxfId="181" priority="6">
      <formula>IF($R16=TODAY(),TRUE)</formula>
    </cfRule>
  </conditionalFormatting>
  <conditionalFormatting sqref="U16">
    <cfRule type="expression" dxfId="180" priority="5">
      <formula>IF($R16=TODAY(),TRUE)</formula>
    </cfRule>
  </conditionalFormatting>
  <conditionalFormatting sqref="R17:R19 R21:R23 R25:R27 R29:R31 R33:R35 R37:R39 R41:R42">
    <cfRule type="cellIs" dxfId="179" priority="4" operator="equal">
      <formula>TODAY()</formula>
    </cfRule>
  </conditionalFormatting>
  <conditionalFormatting sqref="S17:S19">
    <cfRule type="expression" dxfId="178" priority="3">
      <formula>IF($R17=TODAY(),TRUE)</formula>
    </cfRule>
  </conditionalFormatting>
  <conditionalFormatting sqref="T17:T19">
    <cfRule type="expression" dxfId="177" priority="2">
      <formula>IF($R17=TODAY(),TRUE)</formula>
    </cfRule>
  </conditionalFormatting>
  <conditionalFormatting sqref="U17:U19">
    <cfRule type="expression" dxfId="176" priority="1">
      <formula>IF($R17=TODAY(),TRUE)</formula>
    </cfRule>
  </conditionalFormatting>
  <conditionalFormatting sqref="E60:E61">
    <cfRule type="iconSet" priority="76">
      <iconSet iconSet="3Symbols">
        <cfvo type="percent" val="0"/>
        <cfvo type="num" val="0" gte="0"/>
        <cfvo type="num" val="10"/>
      </iconSet>
    </cfRule>
  </conditionalFormatting>
  <conditionalFormatting sqref="E54:E55">
    <cfRule type="iconSet" priority="77">
      <iconSet iconSet="3Symbols">
        <cfvo type="percent" val="0"/>
        <cfvo type="num" val="0" gte="0"/>
        <cfvo type="num" val="10" gte="0"/>
      </iconSet>
    </cfRule>
  </conditionalFormatting>
  <conditionalFormatting sqref="E46:E47">
    <cfRule type="iconSet" priority="78">
      <iconSet iconSet="3Symbols">
        <cfvo type="percent" val="0"/>
        <cfvo type="num" val="0" gte="0"/>
        <cfvo type="num" val="10"/>
      </iconSet>
    </cfRule>
  </conditionalFormatting>
  <conditionalFormatting sqref="E37:E38">
    <cfRule type="iconSet" priority="79">
      <iconSet iconSet="3Symbols">
        <cfvo type="percent" val="0"/>
        <cfvo type="num" val="0" gte="0"/>
        <cfvo type="num" val="10"/>
      </iconSet>
    </cfRule>
  </conditionalFormatting>
  <conditionalFormatting sqref="E29:E30">
    <cfRule type="iconSet" priority="80">
      <iconSet iconSet="3Symbols">
        <cfvo type="percent" val="0"/>
        <cfvo type="num" val="0" gte="0"/>
        <cfvo type="num" val="10"/>
      </iconSet>
    </cfRule>
  </conditionalFormatting>
  <conditionalFormatting sqref="E64:E65">
    <cfRule type="iconSet" priority="83">
      <iconSet iconSet="3Symbols">
        <cfvo type="percent" val="0"/>
        <cfvo type="num" val="0"/>
        <cfvo type="num" val="10"/>
      </iconSet>
    </cfRule>
  </conditionalFormatting>
  <conditionalFormatting sqref="E66:E67">
    <cfRule type="iconSet" priority="84">
      <iconSet iconSet="3Symbols">
        <cfvo type="percent" val="0"/>
        <cfvo type="num" val="0" gte="0"/>
        <cfvo type="num" val="10"/>
      </iconSet>
    </cfRule>
  </conditionalFormatting>
  <dataValidations count="3">
    <dataValidation type="list" allowBlank="1" showInputMessage="1" showErrorMessage="1" sqref="K35:K40 K12:K16 K19:K32" xr:uid="{00000000-0002-0000-0000-000000000000}">
      <formula1>INDIRECT(J12)</formula1>
    </dataValidation>
    <dataValidation type="list" allowBlank="1" showInputMessage="1" showErrorMessage="1" sqref="J35:J40 J19:J32 J12:J16" xr:uid="{00000000-0002-0000-0000-000001000000}">
      <formula1>$Q$2:$Q$8</formula1>
    </dataValidation>
    <dataValidation type="list" allowBlank="1" showInputMessage="1" showErrorMessage="1" sqref="N35:N40 N19:N32 N12:N16" xr:uid="{00000000-0002-0000-0000-000002000000}">
      <formula1>$T$2:$T$4</formula1>
    </dataValidation>
  </dataValidations>
  <printOptions horizontalCentered="1"/>
  <pageMargins left="0.2" right="0.2" top="0.25" bottom="0.25" header="0.3" footer="0.3"/>
  <pageSetup scale="76" orientation="landscape" r:id="rId1"/>
  <drawing r:id="rId2"/>
  <legacyDrawing r:id="rId3"/>
  <tableParts count="10">
    <tablePart r:id="rId4"/>
    <tablePart r:id="rId5"/>
    <tablePart r:id="rId6"/>
    <tablePart r:id="rId7"/>
    <tablePart r:id="rId8"/>
    <tablePart r:id="rId9"/>
    <tablePart r:id="rId10"/>
    <tablePart r:id="rId11"/>
    <tablePart r:id="rId12"/>
    <tablePart r:id="rId13"/>
  </tableParts>
  <extLst>
    <ext xmlns:x14="http://schemas.microsoft.com/office/spreadsheetml/2009/9/main" uri="{78C0D931-6437-407d-A8EE-F0AAD7539E65}">
      <x14:conditionalFormattings>
        <x14:conditionalFormatting xmlns:xm="http://schemas.microsoft.com/office/excel/2006/main">
          <x14:cfRule type="iconSet" priority="69" id="{9EA4519D-F140-4B53-875C-E7C97AF75CC8}">
            <x14:iconSet iconSet="3Symbols" custom="1">
              <x14:cfvo type="percent">
                <xm:f>0</xm:f>
              </x14:cfvo>
              <x14:cfvo type="num">
                <xm:f>0</xm:f>
              </x14:cfvo>
              <x14:cfvo type="num">
                <xm:f>10</xm:f>
              </x14:cfvo>
              <x14:cfIcon iconSet="3Symbols" iconId="0"/>
              <x14:cfIcon iconSet="3Symbols" iconId="1"/>
              <x14:cfIcon iconSet="3Symbols" iconId="2"/>
            </x14:iconSet>
          </x14:cfRule>
          <xm:sqref>E12:E15</xm:sqref>
        </x14:conditionalFormatting>
        <x14:conditionalFormatting xmlns:xm="http://schemas.microsoft.com/office/excel/2006/main">
          <x14:cfRule type="iconSet" priority="81" id="{AEEA8C54-35B8-42B0-9BD5-F7C9862F6FC0}">
            <x14:iconSet iconSet="3Symbols" custom="1">
              <x14:cfvo type="percent">
                <xm:f>0</xm:f>
              </x14:cfvo>
              <x14:cfvo type="num" gte="0">
                <xm:f>0</xm:f>
              </x14:cfvo>
              <x14:cfvo type="num">
                <xm:f>10</xm:f>
              </x14:cfvo>
              <x14:cfIcon iconSet="3Symbols" iconId="0"/>
              <x14:cfIcon iconSet="3Symbols" iconId="1"/>
              <x14:cfIcon iconSet="3Symbols" iconId="2"/>
            </x14:iconSet>
          </x14:cfRule>
          <xm:sqref>E16:E17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DATE(YEAR(Mo.9!C1),MONTH(Mo.9!C1)+1,DAY(Mo.9!C1))</f>
        <v>45292</v>
      </c>
      <c r="D1" s="61"/>
      <c r="E1" s="61"/>
      <c r="F1" s="61"/>
      <c r="R1" s="45" t="s">
        <v>0</v>
      </c>
      <c r="S1" s="45" t="s">
        <v>1</v>
      </c>
      <c r="T1" s="45" t="s">
        <v>2</v>
      </c>
      <c r="U1" s="45" t="s">
        <v>16</v>
      </c>
      <c r="V1" s="45" t="s">
        <v>45</v>
      </c>
    </row>
    <row r="2" spans="2:23">
      <c r="D2" s="18" t="s">
        <v>1</v>
      </c>
      <c r="E2" s="19" t="s">
        <v>2</v>
      </c>
      <c r="F2" s="19" t="s">
        <v>14</v>
      </c>
      <c r="R2" s="45" t="str">
        <f>Table136105[[#Headers],[Income]]</f>
        <v>Income</v>
      </c>
      <c r="S2" s="45">
        <f>SUM(Table136105[Budget])</f>
        <v>0</v>
      </c>
      <c r="T2" s="45">
        <f>SUM(Table136105[Actual])</f>
        <v>0</v>
      </c>
      <c r="U2" s="45" t="s">
        <v>19</v>
      </c>
      <c r="V2" s="45">
        <f>AVERAGE(V12:V42)</f>
        <v>1156.7400000000005</v>
      </c>
    </row>
    <row r="3" spans="2:23">
      <c r="C3" s="17" t="s">
        <v>35</v>
      </c>
      <c r="D3" s="5">
        <f>Mo.9!D6</f>
        <v>1156.74</v>
      </c>
      <c r="E3" s="14">
        <f>Mo.9!E6</f>
        <v>1156.74</v>
      </c>
      <c r="F3" s="14">
        <f>E3-D3</f>
        <v>0</v>
      </c>
      <c r="R3" s="45" t="str">
        <f>Table1102[[#Headers],[Housing]]</f>
        <v>Housing</v>
      </c>
      <c r="S3" s="45">
        <f>SUM(Table1102[Budget])</f>
        <v>0</v>
      </c>
      <c r="T3" s="45">
        <f>SUM(Table1102[Actual])</f>
        <v>0</v>
      </c>
      <c r="U3" s="45" t="s">
        <v>17</v>
      </c>
      <c r="V3" s="45"/>
    </row>
    <row r="4" spans="2:23">
      <c r="C4" s="17" t="s">
        <v>32</v>
      </c>
      <c r="D4" s="5">
        <f>Table136105[[#Totals],[Budget]]</f>
        <v>0</v>
      </c>
      <c r="E4" s="5">
        <f>Table136105[[#Totals],[Actual]]</f>
        <v>0</v>
      </c>
      <c r="F4" s="5">
        <f>E4-D4</f>
        <v>0</v>
      </c>
      <c r="R4" s="45" t="str">
        <f>Table13103[[#Headers],[Transportation]]</f>
        <v>Transportation</v>
      </c>
      <c r="S4" s="45">
        <f>SUM(Table13103[Budget])</f>
        <v>0</v>
      </c>
      <c r="T4" s="45">
        <f>SUM(Table13103[Actual])</f>
        <v>0</v>
      </c>
      <c r="U4" s="45" t="s">
        <v>18</v>
      </c>
      <c r="V4" s="45"/>
    </row>
    <row r="5" spans="2:23">
      <c r="C5" s="17" t="s">
        <v>33</v>
      </c>
      <c r="D5" s="5">
        <f>Table1102[[#Totals],[Budget]]+Table13103[[#Totals],[Budget]]+Table13910109[[#Totals],[Budget]]+Table137106[[#Totals],[Budget]]+Table138107[[#Totals],[Budget]]+Table139108[[#Totals],[Budget]]</f>
        <v>0</v>
      </c>
      <c r="E5" s="5">
        <f>Table1102[[#Totals],[Actual]]+Table13103[[#Totals],[Actual]]+Table13910109[[#Totals],[Actual]]+Table137106[[#Totals],[Actual]]+Table138107[[#Totals],[Actual]]+Table139108[[#Totals],[Actual]]</f>
        <v>0</v>
      </c>
      <c r="F5" s="5">
        <f>E5-D5</f>
        <v>0</v>
      </c>
      <c r="R5" s="45" t="str">
        <f>Table13910109[[#Headers],[Bills]]</f>
        <v>Bills</v>
      </c>
      <c r="S5" s="45">
        <f>SUM(Table13910109[Budget])</f>
        <v>0</v>
      </c>
      <c r="T5" s="45">
        <f>SUM(Table13910109[Actual])</f>
        <v>0</v>
      </c>
      <c r="U5" s="45"/>
      <c r="V5" s="45"/>
    </row>
    <row r="6" spans="2:23">
      <c r="C6" s="15" t="s">
        <v>34</v>
      </c>
      <c r="D6" s="16">
        <f>D3+D4-D5</f>
        <v>1156.74</v>
      </c>
      <c r="E6" s="16">
        <f>E3+E4-E5</f>
        <v>1156.74</v>
      </c>
      <c r="F6" s="16">
        <f>F3+F4-F5</f>
        <v>0</v>
      </c>
      <c r="R6" s="45" t="str">
        <f>Table137106[[#Headers],[Living]]</f>
        <v>Living</v>
      </c>
      <c r="S6" s="45">
        <f>SUM(Table137106[Budget])</f>
        <v>0</v>
      </c>
      <c r="T6" s="45">
        <f>SUM(Table137106[Actual])</f>
        <v>0</v>
      </c>
      <c r="U6" s="45"/>
      <c r="V6" s="45"/>
    </row>
    <row r="7" spans="2:23" ht="3.75" customHeight="1">
      <c r="D7" s="2"/>
      <c r="R7" s="45" t="str">
        <f>Table138107[[#Headers],[Entertainment]]</f>
        <v>Entertainment</v>
      </c>
      <c r="S7" s="45">
        <f>SUM(Table138107[Budget])</f>
        <v>0</v>
      </c>
      <c r="T7" s="45">
        <f>SUM(Table138107[Actual])</f>
        <v>0</v>
      </c>
      <c r="U7" s="45"/>
      <c r="V7" s="45"/>
    </row>
    <row r="8" spans="2:23" ht="1.5" customHeight="1">
      <c r="C8" s="42"/>
      <c r="D8" s="43"/>
      <c r="E8" s="42"/>
      <c r="F8" s="42"/>
      <c r="G8" s="42"/>
      <c r="H8" s="42"/>
      <c r="I8" s="42"/>
      <c r="J8" s="42"/>
      <c r="K8" s="42"/>
      <c r="L8" s="42"/>
      <c r="M8" s="42"/>
      <c r="N8" s="42"/>
      <c r="O8" s="42"/>
      <c r="P8" s="42"/>
      <c r="Q8" s="42"/>
      <c r="R8" s="44" t="str">
        <f>Table139108[[#Headers],[Misc.]]</f>
        <v>Misc.</v>
      </c>
      <c r="S8" s="44">
        <f>SUM(Table139108[Budget])</f>
        <v>0</v>
      </c>
      <c r="T8" s="44">
        <f>SUM(Table139108[Actual])</f>
        <v>0</v>
      </c>
      <c r="U8" s="44"/>
      <c r="V8" s="44"/>
    </row>
    <row r="9" spans="2:23" ht="3.75" customHeight="1">
      <c r="D9" s="2"/>
      <c r="H9" s="42"/>
      <c r="Q9" s="42"/>
    </row>
    <row r="10" spans="2:23" s="25" customFormat="1">
      <c r="B10" s="35"/>
      <c r="C10" s="37" t="str">
        <f>CONCATENATE(Table136105[[#Headers],[Income]],"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SUMIFS(Table4420111[Amount],Table4420111[Category],Table136105[[#Headers],[Income]],Table4420111[Sub-Category],Table136105[[#This Row],[Income]])+SUMIFS(Table44110[Amount],Table44110[Category],Table136105[[#Headers],[Income]],Table44110[Sub-Category],Table136105[[#This Row],[Income]])</f>
        <v>0</v>
      </c>
      <c r="F12" s="3">
        <f>Table136105[[#This Row],[Actual]]-Table136105[[#This Row],[Budget]]</f>
        <v>0</v>
      </c>
      <c r="G12" s="32"/>
      <c r="H12" s="42"/>
      <c r="M12" s="4"/>
      <c r="N12" s="2"/>
      <c r="Q12" s="42"/>
      <c r="S12" s="27">
        <f>C1</f>
        <v>45292</v>
      </c>
      <c r="T12" s="29">
        <f>SUMIFS(Table4420111[Amount],Table4420111[Date],S12,Table4420111[Category],Table136105[[#Headers],[Income]])+SUMIFS(Table44110[Amount],Table44110[Date],S12,Table44110[Category],Table136105[[#Headers],[Income]])</f>
        <v>0</v>
      </c>
      <c r="U12" s="29">
        <f>SUMIFS(Table4104[Amount],Table4104[Date],S12,Table4104[Category],"&lt;&gt;"&amp;Table136105[[#Headers],[Income]])+SUMIFS(Table44110[Amount],Table44110[Date],S12,Table44110[Category],"&lt;&gt;"&amp;Table136105[[#Headers],[Income]])</f>
        <v>0</v>
      </c>
      <c r="V12" s="29">
        <f>E3+T12-U12</f>
        <v>1156.74</v>
      </c>
      <c r="W12" s="1">
        <f>V2</f>
        <v>1156.7400000000005</v>
      </c>
    </row>
    <row r="13" spans="2:23">
      <c r="B13" s="32"/>
      <c r="D13" s="2"/>
      <c r="E13" s="2">
        <f>SUMIFS(Table4420111[Amount],Table4420111[Category],Table136105[[#Headers],[Income]],Table4420111[Sub-Category],Table136105[[#This Row],[Income]])+SUMIFS(Table44110[Amount],Table44110[Category],Table136105[[#Headers],[Income]],Table44110[Sub-Category],Table136105[[#This Row],[Income]])</f>
        <v>0</v>
      </c>
      <c r="F13" s="3">
        <f>Table136105[[#This Row],[Actual]]-Table136105[[#This Row],[Budget]]</f>
        <v>0</v>
      </c>
      <c r="G13" s="32"/>
      <c r="H13" s="42"/>
      <c r="M13" s="4"/>
      <c r="N13" s="2"/>
      <c r="Q13" s="42"/>
      <c r="S13" s="30">
        <f t="shared" ref="S13:S42" si="0">S12+1</f>
        <v>45293</v>
      </c>
      <c r="T13" s="28">
        <f>SUMIFS(Table4420111[Amount],Table4420111[Date],S13,Table4420111[Category],Table136105[[#Headers],[Income]])+SUMIFS(Table44110[Amount],Table44110[Date],S13,Table44110[Category],Table136105[[#Headers],[Income]])</f>
        <v>0</v>
      </c>
      <c r="U13" s="28">
        <f>SUMIFS(Table4104[Amount],Table4104[Date],S13,Table4104[Category],"&lt;&gt;"&amp;Table136105[[#Headers],[Income]])+SUMIFS(Table44110[Amount],Table44110[Date],S13,Table44110[Category],"&lt;&gt;"&amp;Table136105[[#Headers],[Income]])</f>
        <v>0</v>
      </c>
      <c r="V13" s="28">
        <f>V12+T13-U13</f>
        <v>1156.74</v>
      </c>
      <c r="W13" s="1">
        <f>W12</f>
        <v>1156.7400000000005</v>
      </c>
    </row>
    <row r="14" spans="2:23">
      <c r="B14" s="32"/>
      <c r="D14" s="12"/>
      <c r="E14" s="12">
        <f>SUMIFS(Table4420111[Amount],Table4420111[Category],Table136105[[#Headers],[Income]],Table4420111[Sub-Category],Table136105[[#This Row],[Income]])+SUMIFS(Table44110[Amount],Table44110[Category],Table136105[[#Headers],[Income]],Table44110[Sub-Category],Table136105[[#This Row],[Income]])</f>
        <v>0</v>
      </c>
      <c r="F14" s="2">
        <f>Table136105[[#This Row],[Actual]]-Table136105[[#This Row],[Budget]]</f>
        <v>0</v>
      </c>
      <c r="G14" s="32"/>
      <c r="H14" s="42"/>
      <c r="M14" s="4"/>
      <c r="N14" s="2"/>
      <c r="Q14" s="42"/>
      <c r="S14" s="27">
        <f t="shared" si="0"/>
        <v>45294</v>
      </c>
      <c r="T14" s="29">
        <f>SUMIFS(Table4420111[Amount],Table4420111[Date],S14,Table4420111[Category],Table136105[[#Headers],[Income]])+SUMIFS(Table44110[Amount],Table44110[Date],S14,Table44110[Category],Table136105[[#Headers],[Income]])</f>
        <v>0</v>
      </c>
      <c r="U14" s="29">
        <f>SUMIFS(Table4104[Amount],Table4104[Date],S14,Table4104[Category],"&lt;&gt;"&amp;Table136105[[#Headers],[Income]])+SUMIFS(Table44110[Amount],Table44110[Date],S14,Table44110[Category],"&lt;&gt;"&amp;Table136105[[#Headers],[Income]])</f>
        <v>0</v>
      </c>
      <c r="V14" s="29">
        <f t="shared" ref="V14:V42" si="1">V13+T14-U14</f>
        <v>1156.74</v>
      </c>
      <c r="W14" s="1">
        <f t="shared" ref="W14:W42" si="2">W13</f>
        <v>1156.7400000000005</v>
      </c>
    </row>
    <row r="15" spans="2:23">
      <c r="B15" s="32"/>
      <c r="D15" s="2"/>
      <c r="E15" s="3">
        <f>SUMIFS(Table4420111[Amount],Table4420111[Category],Table136105[[#Headers],[Income]],Table4420111[Sub-Category],Table136105[[#This Row],[Income]])+SUMIFS(Table44110[Amount],Table44110[Category],Table136105[[#Headers],[Income]],Table44110[Sub-Category],Table136105[[#This Row],[Income]])</f>
        <v>0</v>
      </c>
      <c r="F15" s="3">
        <f>Table136105[[#This Row],[Actual]]-Table136105[[#This Row],[Budget]]</f>
        <v>0</v>
      </c>
      <c r="G15" s="32"/>
      <c r="H15" s="42"/>
      <c r="J15" s="11"/>
      <c r="K15" s="11"/>
      <c r="L15" s="11"/>
      <c r="M15" s="24"/>
      <c r="N15" s="12"/>
      <c r="O15" s="11"/>
      <c r="Q15" s="42"/>
      <c r="S15" s="30">
        <f t="shared" si="0"/>
        <v>45295</v>
      </c>
      <c r="T15" s="28">
        <f>SUMIFS(Table4420111[Amount],Table4420111[Date],S15,Table4420111[Category],Table136105[[#Headers],[Income]])+SUMIFS(Table44110[Amount],Table44110[Date],S15,Table44110[Category],Table136105[[#Headers],[Income]])</f>
        <v>0</v>
      </c>
      <c r="U15" s="28">
        <f>SUMIFS(Table4104[Amount],Table4104[Date],S15,Table4104[Category],"&lt;&gt;"&amp;Table136105[[#Headers],[Income]])+SUMIFS(Table44110[Amount],Table44110[Date],S15,Table44110[Category],"&lt;&gt;"&amp;Table136105[[#Headers],[Income]])</f>
        <v>0</v>
      </c>
      <c r="V15" s="28">
        <f t="shared" si="1"/>
        <v>1156.74</v>
      </c>
      <c r="W15" s="1">
        <f t="shared" si="2"/>
        <v>1156.7400000000005</v>
      </c>
    </row>
    <row r="16" spans="2:23">
      <c r="B16" s="32"/>
      <c r="C16" s="6" t="s">
        <v>20</v>
      </c>
      <c r="D16" s="7">
        <f>SUBTOTAL(109,Table136105[Budget])</f>
        <v>0</v>
      </c>
      <c r="E16" s="7">
        <f>SUBTOTAL(109,Table136105[Actual])</f>
        <v>0</v>
      </c>
      <c r="F16" s="7">
        <f>SUBTOTAL(109,Table136105[Variance])</f>
        <v>0</v>
      </c>
      <c r="G16" s="36"/>
      <c r="H16" s="43"/>
      <c r="I16" s="2"/>
      <c r="M16" s="4"/>
      <c r="N16" s="2"/>
      <c r="Q16" s="43"/>
      <c r="S16" s="27">
        <f t="shared" si="0"/>
        <v>45296</v>
      </c>
      <c r="T16" s="29">
        <f>SUMIFS(Table4420111[Amount],Table4420111[Date],S16,Table4420111[Category],Table136105[[#Headers],[Income]])+SUMIFS(Table44110[Amount],Table44110[Date],S16,Table44110[Category],Table136105[[#Headers],[Income]])</f>
        <v>0</v>
      </c>
      <c r="U16" s="29">
        <f>SUMIFS(Table4104[Amount],Table4104[Date],S16,Table4104[Category],"&lt;&gt;"&amp;Table136105[[#Headers],[Income]])+SUMIFS(Table44110[Amount],Table44110[Date],S16,Table44110[Category],"&lt;&gt;"&amp;Table136105[[#Headers],[Income]])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45297</v>
      </c>
      <c r="T17" s="28">
        <f>SUMIFS(Table4420111[Amount],Table4420111[Date],S17,Table4420111[Category],Table136105[[#Headers],[Income]])+SUMIFS(Table44110[Amount],Table44110[Date],S17,Table44110[Category],Table136105[[#Headers],[Income]])</f>
        <v>0</v>
      </c>
      <c r="U17" s="28">
        <f>SUMIFS(Table4104[Amount],Table4104[Date],S17,Table4104[Category],"&lt;&gt;"&amp;Table136105[[#Headers],[Income]])+SUMIFS(Table44110[Amount],Table44110[Date],S17,Table44110[Category],"&lt;&gt;"&amp;Table136105[[#Headers],[Income]])</f>
        <v>0</v>
      </c>
      <c r="V17" s="28">
        <f t="shared" si="1"/>
        <v>1156.74</v>
      </c>
      <c r="W17" s="1">
        <f t="shared" si="2"/>
        <v>1156.7400000000005</v>
      </c>
    </row>
    <row r="18" spans="2:23">
      <c r="B18" s="32"/>
      <c r="C18" s="37" t="str">
        <f>CONCATENATE(Table1102[[#Headers],[Housing]],"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45298</v>
      </c>
      <c r="T18" s="29">
        <f>SUMIFS(Table4420111[Amount],Table4420111[Date],S18,Table4420111[Category],Table136105[[#Headers],[Income]])+SUMIFS(Table44110[Amount],Table44110[Date],S18,Table44110[Category],Table136105[[#Headers],[Income]])</f>
        <v>0</v>
      </c>
      <c r="U18" s="29">
        <f>SUMIFS(Table4104[Amount],Table4104[Date],S18,Table4104[Category],"&lt;&gt;"&amp;Table136105[[#Headers],[Income]])+SUMIFS(Table44110[Amount],Table44110[Date],S18,Table44110[Category],"&lt;&gt;"&amp;Table136105[[#Headers],[Income]])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45299</v>
      </c>
      <c r="T19" s="28">
        <f>SUMIFS(Table4420111[Amount],Table4420111[Date],S19,Table4420111[Category],Table136105[[#Headers],[Income]])+SUMIFS(Table44110[Amount],Table44110[Date],S19,Table44110[Category],Table136105[[#Headers],[Income]])</f>
        <v>0</v>
      </c>
      <c r="U19" s="28">
        <f>SUMIFS(Table4104[Amount],Table4104[Date],S19,Table4104[Category],"&lt;&gt;"&amp;Table136105[[#Headers],[Income]])+SUMIFS(Table44110[Amount],Table44110[Date],S19,Table44110[Category],"&lt;&gt;"&amp;Table136105[[#Headers],[Income]])</f>
        <v>0</v>
      </c>
      <c r="V19" s="28">
        <f t="shared" si="1"/>
        <v>1156.74</v>
      </c>
      <c r="W19" s="1">
        <f t="shared" si="2"/>
        <v>1156.7400000000005</v>
      </c>
    </row>
    <row r="20" spans="2:23">
      <c r="B20" s="32"/>
      <c r="D20" s="2"/>
      <c r="E20" s="2">
        <f>SUMIFS(Table4104[Amount],Table4104[Category],Table1102[[#Headers],[Housing]],Table4104[Sub-Category],Table1102[[#This Row],[Housing]])+SUMIFS(Table44110[Amount],Table44110[Category],Table1102[[#Headers],[Housing]],Table44110[Sub-Category],Table1102[[#This Row],[Housing]])</f>
        <v>0</v>
      </c>
      <c r="F20" s="3">
        <f>Table1102[[#This Row],[Budget]]-Table1102[[#This Row],[Actual]]</f>
        <v>0</v>
      </c>
      <c r="G20" s="36"/>
      <c r="H20" s="43"/>
      <c r="I20" s="2"/>
      <c r="J20" s="11"/>
      <c r="K20" s="11"/>
      <c r="L20" s="11"/>
      <c r="M20" s="24"/>
      <c r="N20" s="12"/>
      <c r="O20" s="11"/>
      <c r="Q20" s="43"/>
      <c r="S20" s="27">
        <f t="shared" si="0"/>
        <v>45300</v>
      </c>
      <c r="T20" s="29">
        <f>SUMIFS(Table4420111[Amount],Table4420111[Date],S20,Table4420111[Category],Table136105[[#Headers],[Income]])+SUMIFS(Table44110[Amount],Table44110[Date],S20,Table44110[Category],Table136105[[#Headers],[Income]])</f>
        <v>0</v>
      </c>
      <c r="U20" s="29">
        <f>SUMIFS(Table4104[Amount],Table4104[Date],S20,Table4104[Category],"&lt;&gt;"&amp;Table136105[[#Headers],[Income]])+SUMIFS(Table44110[Amount],Table44110[Date],S20,Table44110[Category],"&lt;&gt;"&amp;Table136105[[#Headers],[Income]])</f>
        <v>0</v>
      </c>
      <c r="V20" s="29">
        <f t="shared" si="1"/>
        <v>1156.74</v>
      </c>
      <c r="W20" s="1">
        <f t="shared" si="2"/>
        <v>1156.7400000000005</v>
      </c>
    </row>
    <row r="21" spans="2:23">
      <c r="B21" s="32"/>
      <c r="D21" s="2"/>
      <c r="E21" s="2">
        <f>SUMIFS(Table4104[Amount],Table4104[Category],Table1102[[#Headers],[Housing]],Table4104[Sub-Category],Table1102[[#This Row],[Housing]])+SUMIFS(Table44110[Amount],Table44110[Category],Table1102[[#Headers],[Housing]],Table44110[Sub-Category],Table1102[[#This Row],[Housing]])</f>
        <v>0</v>
      </c>
      <c r="F21" s="3">
        <f>Table1102[[#This Row],[Budget]]-Table1102[[#This Row],[Actual]]</f>
        <v>0</v>
      </c>
      <c r="G21" s="36"/>
      <c r="H21" s="43"/>
      <c r="I21" s="2"/>
      <c r="J21" s="11"/>
      <c r="K21" s="11"/>
      <c r="L21" s="11"/>
      <c r="M21" s="24"/>
      <c r="N21" s="12"/>
      <c r="O21" s="11"/>
      <c r="Q21" s="43"/>
      <c r="S21" s="30">
        <f t="shared" si="0"/>
        <v>45301</v>
      </c>
      <c r="T21" s="28">
        <f>SUMIFS(Table4420111[Amount],Table4420111[Date],S21,Table4420111[Category],Table136105[[#Headers],[Income]])+SUMIFS(Table44110[Amount],Table44110[Date],S21,Table44110[Category],Table136105[[#Headers],[Income]])</f>
        <v>0</v>
      </c>
      <c r="U21" s="28">
        <f>SUMIFS(Table4104[Amount],Table4104[Date],S21,Table4104[Category],"&lt;&gt;"&amp;Table136105[[#Headers],[Income]])+SUMIFS(Table44110[Amount],Table44110[Date],S21,Table44110[Category],"&lt;&gt;"&amp;Table136105[[#Headers],[Income]])</f>
        <v>0</v>
      </c>
      <c r="V21" s="28">
        <f t="shared" si="1"/>
        <v>1156.74</v>
      </c>
      <c r="W21" s="1">
        <f t="shared" si="2"/>
        <v>1156.7400000000005</v>
      </c>
    </row>
    <row r="22" spans="2:23">
      <c r="B22" s="32"/>
      <c r="D22" s="2"/>
      <c r="E22" s="2">
        <f>SUMIFS(Table4104[Amount],Table4104[Category],Table1102[[#Headers],[Housing]],Table4104[Sub-Category],Table1102[[#This Row],[Housing]])+SUMIFS(Table44110[Amount],Table44110[Category],Table1102[[#Headers],[Housing]],Table44110[Sub-Category],Table1102[[#This Row],[Housing]])</f>
        <v>0</v>
      </c>
      <c r="F22" s="3">
        <f>Table1102[[#This Row],[Budget]]-Table1102[[#This Row],[Actual]]</f>
        <v>0</v>
      </c>
      <c r="G22" s="36"/>
      <c r="H22" s="43"/>
      <c r="I22" s="2"/>
      <c r="J22" s="11"/>
      <c r="K22" s="11"/>
      <c r="L22" s="11"/>
      <c r="M22" s="24"/>
      <c r="N22" s="12"/>
      <c r="O22" s="11"/>
      <c r="Q22" s="43"/>
      <c r="S22" s="27">
        <f t="shared" si="0"/>
        <v>45302</v>
      </c>
      <c r="T22" s="29">
        <f>SUMIFS(Table4420111[Amount],Table4420111[Date],S22,Table4420111[Category],Table136105[[#Headers],[Income]])+SUMIFS(Table44110[Amount],Table44110[Date],S22,Table44110[Category],Table136105[[#Headers],[Income]])</f>
        <v>0</v>
      </c>
      <c r="U22" s="29">
        <f>SUMIFS(Table4104[Amount],Table4104[Date],S22,Table4104[Category],"&lt;&gt;"&amp;Table136105[[#Headers],[Income]])+SUMIFS(Table44110[Amount],Table44110[Date],S22,Table44110[Category],"&lt;&gt;"&amp;Table136105[[#Headers],[Income]])</f>
        <v>0</v>
      </c>
      <c r="V22" s="29">
        <f t="shared" si="1"/>
        <v>1156.74</v>
      </c>
      <c r="W22" s="1">
        <f t="shared" si="2"/>
        <v>1156.7400000000005</v>
      </c>
    </row>
    <row r="23" spans="2:23">
      <c r="B23" s="32"/>
      <c r="D23" s="2"/>
      <c r="E23" s="2">
        <f>SUMIFS(Table4104[Amount],Table4104[Category],Table1102[[#Headers],[Housing]],Table4104[Sub-Category],Table1102[[#This Row],[Housing]])+SUMIFS(Table44110[Amount],Table44110[Category],Table1102[[#Headers],[Housing]],Table44110[Sub-Category],Table1102[[#This Row],[Housing]])</f>
        <v>0</v>
      </c>
      <c r="F23" s="3">
        <f>Table1102[[#This Row],[Budget]]-Table1102[[#This Row],[Actual]]</f>
        <v>0</v>
      </c>
      <c r="G23" s="36"/>
      <c r="H23" s="43"/>
      <c r="I23" s="2"/>
      <c r="J23" s="11"/>
      <c r="K23" s="11"/>
      <c r="L23" s="11"/>
      <c r="M23" s="24"/>
      <c r="N23" s="12"/>
      <c r="O23" s="11"/>
      <c r="Q23" s="43"/>
      <c r="S23" s="30">
        <f t="shared" si="0"/>
        <v>45303</v>
      </c>
      <c r="T23" s="28">
        <f>SUMIFS(Table4420111[Amount],Table4420111[Date],S23,Table4420111[Category],Table136105[[#Headers],[Income]])+SUMIFS(Table44110[Amount],Table44110[Date],S23,Table44110[Category],Table136105[[#Headers],[Income]])</f>
        <v>0</v>
      </c>
      <c r="U23" s="28">
        <f>SUMIFS(Table4104[Amount],Table4104[Date],S23,Table4104[Category],"&lt;&gt;"&amp;Table136105[[#Headers],[Income]])+SUMIFS(Table44110[Amount],Table44110[Date],S23,Table44110[Category],"&lt;&gt;"&amp;Table136105[[#Headers],[Income]])</f>
        <v>0</v>
      </c>
      <c r="V23" s="28">
        <f t="shared" si="1"/>
        <v>1156.74</v>
      </c>
      <c r="W23" s="1">
        <f t="shared" si="2"/>
        <v>1156.7400000000005</v>
      </c>
    </row>
    <row r="24" spans="2:23">
      <c r="B24" s="32"/>
      <c r="D24" s="2"/>
      <c r="E24" s="2">
        <f>SUMIFS(Table4104[Amount],Table4104[Category],Table1102[[#Headers],[Housing]],Table4104[Sub-Category],Table1102[[#This Row],[Housing]])+SUMIFS(Table44110[Amount],Table44110[Category],Table1102[[#Headers],[Housing]],Table44110[Sub-Category],Table1102[[#This Row],[Housing]])</f>
        <v>0</v>
      </c>
      <c r="F24" s="3">
        <f>Table1102[[#This Row],[Budget]]-Table1102[[#This Row],[Actual]]</f>
        <v>0</v>
      </c>
      <c r="G24" s="36"/>
      <c r="H24" s="43"/>
      <c r="I24" s="2"/>
      <c r="J24" s="11"/>
      <c r="K24" s="11"/>
      <c r="L24" s="11"/>
      <c r="M24" s="24"/>
      <c r="N24" s="12"/>
      <c r="O24" s="11"/>
      <c r="Q24" s="43"/>
      <c r="S24" s="27">
        <f t="shared" si="0"/>
        <v>45304</v>
      </c>
      <c r="T24" s="29">
        <f>SUMIFS(Table4420111[Amount],Table4420111[Date],S24,Table4420111[Category],Table136105[[#Headers],[Income]])+SUMIFS(Table44110[Amount],Table44110[Date],S24,Table44110[Category],Table136105[[#Headers],[Income]])</f>
        <v>0</v>
      </c>
      <c r="U24" s="29">
        <f>SUMIFS(Table4104[Amount],Table4104[Date],S24,Table4104[Category],"&lt;&gt;"&amp;Table136105[[#Headers],[Income]])+SUMIFS(Table44110[Amount],Table44110[Date],S24,Table44110[Category],"&lt;&gt;"&amp;Table136105[[#Headers],[Income]])</f>
        <v>0</v>
      </c>
      <c r="V24" s="29">
        <f t="shared" si="1"/>
        <v>1156.74</v>
      </c>
      <c r="W24" s="1">
        <f t="shared" si="2"/>
        <v>1156.7400000000005</v>
      </c>
    </row>
    <row r="25" spans="2:23">
      <c r="B25" s="32"/>
      <c r="D25" s="2"/>
      <c r="E25" s="2">
        <f>SUMIFS(Table4104[Amount],Table4104[Category],Table1102[[#Headers],[Housing]],Table4104[Sub-Category],Table1102[[#This Row],[Housing]])+SUMIFS(Table44110[Amount],Table44110[Category],Table1102[[#Headers],[Housing]],Table44110[Sub-Category],Table1102[[#This Row],[Housing]])</f>
        <v>0</v>
      </c>
      <c r="F25" s="3">
        <f>Table1102[[#This Row],[Budget]]-Table1102[[#This Row],[Actual]]</f>
        <v>0</v>
      </c>
      <c r="G25" s="32"/>
      <c r="H25" s="42"/>
      <c r="J25" s="11"/>
      <c r="K25" s="11"/>
      <c r="L25" s="11"/>
      <c r="M25" s="24"/>
      <c r="N25" s="12"/>
      <c r="O25" s="11"/>
      <c r="Q25" s="42"/>
      <c r="S25" s="30">
        <f t="shared" si="0"/>
        <v>45305</v>
      </c>
      <c r="T25" s="28">
        <f>SUMIFS(Table4420111[Amount],Table4420111[Date],S25,Table4420111[Category],Table136105[[#Headers],[Income]])+SUMIFS(Table44110[Amount],Table44110[Date],S25,Table44110[Category],Table136105[[#Headers],[Income]])</f>
        <v>0</v>
      </c>
      <c r="U25" s="28">
        <f>SUMIFS(Table4104[Amount],Table4104[Date],S25,Table4104[Category],"&lt;&gt;"&amp;Table136105[[#Headers],[Income]])+SUMIFS(Table44110[Amount],Table44110[Date],S25,Table44110[Category],"&lt;&gt;"&amp;Table136105[[#Headers],[Income]])</f>
        <v>0</v>
      </c>
      <c r="V25" s="28">
        <f t="shared" si="1"/>
        <v>1156.74</v>
      </c>
      <c r="W25" s="1">
        <f t="shared" si="2"/>
        <v>1156.7400000000005</v>
      </c>
    </row>
    <row r="26" spans="2:23">
      <c r="B26" s="32"/>
      <c r="D26" s="2"/>
      <c r="E26" s="2">
        <f>SUMIFS(Table4104[Amount],Table4104[Category],Table1102[[#Headers],[Housing]],Table4104[Sub-Category],Table1102[[#This Row],[Housing]])+SUMIFS(Table44110[Amount],Table44110[Category],Table1102[[#Headers],[Housing]],Table44110[Sub-Category],Table1102[[#This Row],[Housing]])</f>
        <v>0</v>
      </c>
      <c r="F26" s="3">
        <f>Table1102[[#This Row],[Budget]]-Table1102[[#This Row],[Actual]]</f>
        <v>0</v>
      </c>
      <c r="G26" s="32"/>
      <c r="H26" s="42"/>
      <c r="J26" s="11"/>
      <c r="K26" s="11"/>
      <c r="L26" s="11"/>
      <c r="M26" s="24"/>
      <c r="N26" s="12"/>
      <c r="O26" s="11"/>
      <c r="Q26" s="42"/>
      <c r="S26" s="27">
        <f t="shared" si="0"/>
        <v>45306</v>
      </c>
      <c r="T26" s="29">
        <f>SUMIFS(Table4420111[Amount],Table4420111[Date],S26,Table4420111[Category],Table136105[[#Headers],[Income]])+SUMIFS(Table44110[Amount],Table44110[Date],S26,Table44110[Category],Table136105[[#Headers],[Income]])</f>
        <v>0</v>
      </c>
      <c r="U26" s="29">
        <f>SUMIFS(Table4104[Amount],Table4104[Date],S26,Table4104[Category],"&lt;&gt;"&amp;Table136105[[#Headers],[Income]])+SUMIFS(Table44110[Amount],Table44110[Date],S26,Table44110[Category],"&lt;&gt;"&amp;Table136105[[#Headers],[Income]])</f>
        <v>0</v>
      </c>
      <c r="V26" s="29">
        <f t="shared" si="1"/>
        <v>1156.74</v>
      </c>
      <c r="W26" s="1">
        <f t="shared" si="2"/>
        <v>1156.7400000000005</v>
      </c>
    </row>
    <row r="27" spans="2:23">
      <c r="B27" s="32"/>
      <c r="D27" s="2"/>
      <c r="E27" s="2">
        <f>SUMIFS(Table4104[Amount],Table4104[Category],Table1102[[#Headers],[Housing]],Table4104[Sub-Category],Table1102[[#This Row],[Housing]])+SUMIFS(Table44110[Amount],Table44110[Category],Table1102[[#Headers],[Housing]],Table44110[Sub-Category],Table1102[[#This Row],[Housing]])</f>
        <v>0</v>
      </c>
      <c r="F27" s="3">
        <f>Table1102[[#This Row],[Budget]]-Table1102[[#This Row],[Actual]]</f>
        <v>0</v>
      </c>
      <c r="G27" s="36"/>
      <c r="H27" s="43"/>
      <c r="I27" s="2"/>
      <c r="J27" s="11"/>
      <c r="K27" s="11"/>
      <c r="L27" s="11"/>
      <c r="M27" s="24"/>
      <c r="N27" s="12"/>
      <c r="O27" s="11"/>
      <c r="Q27" s="43"/>
      <c r="S27" s="30">
        <f t="shared" si="0"/>
        <v>45307</v>
      </c>
      <c r="T27" s="28">
        <f>SUMIFS(Table4420111[Amount],Table4420111[Date],S27,Table4420111[Category],Table136105[[#Headers],[Income]])+SUMIFS(Table44110[Amount],Table44110[Date],S27,Table44110[Category],Table136105[[#Headers],[Income]])</f>
        <v>0</v>
      </c>
      <c r="U27" s="28">
        <f>SUMIFS(Table4104[Amount],Table4104[Date],S27,Table4104[Category],"&lt;&gt;"&amp;Table136105[[#Headers],[Income]])+SUMIFS(Table44110[Amount],Table44110[Date],S27,Table44110[Category],"&lt;&gt;"&amp;Table136105[[#Headers],[Income]])</f>
        <v>0</v>
      </c>
      <c r="V27" s="28">
        <f t="shared" si="1"/>
        <v>1156.74</v>
      </c>
      <c r="W27" s="1">
        <f t="shared" si="2"/>
        <v>1156.7400000000005</v>
      </c>
    </row>
    <row r="28" spans="2:23">
      <c r="B28" s="32"/>
      <c r="C28" s="11"/>
      <c r="D28" s="12"/>
      <c r="E28" s="13">
        <f>SUMIFS(Table4104[Amount],Table4104[Category],Table1102[[#Headers],[Housing]],Table4104[Sub-Category],Table1102[[#This Row],[Housing]])+SUMIFS(Table44110[Amount],Table44110[Category],Table1102[[#Headers],[Housing]],Table44110[Sub-Category],Table1102[[#This Row],[Housing]])</f>
        <v>0</v>
      </c>
      <c r="F28" s="13">
        <f>Table1102[[#This Row],[Budget]]-Table1102[[#This Row],[Actual]]</f>
        <v>0</v>
      </c>
      <c r="G28" s="36"/>
      <c r="H28" s="43"/>
      <c r="I28" s="2"/>
      <c r="J28" s="11"/>
      <c r="K28" s="11"/>
      <c r="L28" s="11"/>
      <c r="M28" s="24"/>
      <c r="N28" s="12"/>
      <c r="O28" s="11"/>
      <c r="Q28" s="43"/>
      <c r="S28" s="27">
        <f t="shared" si="0"/>
        <v>45308</v>
      </c>
      <c r="T28" s="29">
        <f>SUMIFS(Table4420111[Amount],Table4420111[Date],S28,Table4420111[Category],Table136105[[#Headers],[Income]])+SUMIFS(Table44110[Amount],Table44110[Date],S28,Table44110[Category],Table136105[[#Headers],[Income]])</f>
        <v>0</v>
      </c>
      <c r="U28" s="29">
        <f>SUMIFS(Table4104[Amount],Table4104[Date],S28,Table4104[Category],"&lt;&gt;"&amp;Table136105[[#Headers],[Income]])+SUMIFS(Table44110[Amount],Table44110[Date],S28,Table44110[Category],"&lt;&gt;"&amp;Table136105[[#Headers],[Income]])</f>
        <v>0</v>
      </c>
      <c r="V28" s="29">
        <f t="shared" si="1"/>
        <v>1156.74</v>
      </c>
      <c r="W28" s="1">
        <f t="shared" si="2"/>
        <v>1156.7400000000005</v>
      </c>
    </row>
    <row r="29" spans="2:23">
      <c r="B29" s="32"/>
      <c r="C29" s="9" t="s">
        <v>20</v>
      </c>
      <c r="D29" s="10">
        <f>SUBTOTAL(109,Table1102[Budget])</f>
        <v>0</v>
      </c>
      <c r="E29" s="10">
        <f>SUBTOTAL(109,Table1102[Actual])</f>
        <v>0</v>
      </c>
      <c r="F29" s="10">
        <f>SUBTOTAL(109,Table1102[Variance])</f>
        <v>0</v>
      </c>
      <c r="G29" s="32"/>
      <c r="H29" s="42"/>
      <c r="J29" s="11"/>
      <c r="K29" s="11"/>
      <c r="L29" s="11"/>
      <c r="M29" s="24"/>
      <c r="N29" s="12"/>
      <c r="O29" s="11"/>
      <c r="Q29" s="42"/>
      <c r="S29" s="30">
        <f t="shared" si="0"/>
        <v>45309</v>
      </c>
      <c r="T29" s="28">
        <f>SUMIFS(Table4420111[Amount],Table4420111[Date],S29,Table4420111[Category],Table136105[[#Headers],[Income]])+SUMIFS(Table44110[Amount],Table44110[Date],S29,Table44110[Category],Table136105[[#Headers],[Income]])</f>
        <v>0</v>
      </c>
      <c r="U29" s="28">
        <f>SUMIFS(Table4104[Amount],Table4104[Date],S29,Table4104[Category],"&lt;&gt;"&amp;Table136105[[#Headers],[Income]])+SUMIFS(Table44110[Amount],Table44110[Date],S29,Table44110[Category],"&lt;&gt;"&amp;Table136105[[#Headers],[Income]])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45310</v>
      </c>
      <c r="T30" s="29">
        <f>SUMIFS(Table4420111[Amount],Table4420111[Date],S30,Table4420111[Category],Table136105[[#Headers],[Income]])+SUMIFS(Table44110[Amount],Table44110[Date],S30,Table44110[Category],Table136105[[#Headers],[Income]])</f>
        <v>0</v>
      </c>
      <c r="U30" s="29">
        <f>SUMIFS(Table4104[Amount],Table4104[Date],S30,Table4104[Category],"&lt;&gt;"&amp;Table136105[[#Headers],[Income]])+SUMIFS(Table44110[Amount],Table44110[Date],S30,Table44110[Category],"&lt;&gt;"&amp;Table136105[[#Headers],[Income]])</f>
        <v>0</v>
      </c>
      <c r="V30" s="29">
        <f t="shared" si="1"/>
        <v>1156.74</v>
      </c>
      <c r="W30" s="1">
        <f t="shared" si="2"/>
        <v>1156.7400000000005</v>
      </c>
    </row>
    <row r="31" spans="2:23">
      <c r="B31" s="32"/>
      <c r="C31" s="37" t="str">
        <f>CONCATENATE(Table13103[[#Headers],[Transportation]]," - Budget &amp; Tracking")</f>
        <v>Transportation - Budget &amp; Tracking</v>
      </c>
      <c r="D31" s="38"/>
      <c r="E31" s="38"/>
      <c r="F31" s="39"/>
      <c r="G31" s="32"/>
      <c r="H31" s="42"/>
      <c r="J31" s="11"/>
      <c r="K31" s="11"/>
      <c r="L31" s="11"/>
      <c r="M31" s="24"/>
      <c r="N31" s="12"/>
      <c r="O31" s="11"/>
      <c r="Q31" s="42"/>
      <c r="S31" s="30">
        <f t="shared" si="0"/>
        <v>45311</v>
      </c>
      <c r="T31" s="28">
        <f>SUMIFS(Table4420111[Amount],Table4420111[Date],S31,Table4420111[Category],Table136105[[#Headers],[Income]])+SUMIFS(Table44110[Amount],Table44110[Date],S31,Table44110[Category],Table136105[[#Headers],[Income]])</f>
        <v>0</v>
      </c>
      <c r="U31" s="28">
        <f>SUMIFS(Table4104[Amount],Table4104[Date],S31,Table4104[Category],"&lt;&gt;"&amp;Table136105[[#Headers],[Income]])+SUMIFS(Table44110[Amount],Table44110[Date],S31,Table44110[Category],"&lt;&gt;"&amp;Table136105[[#Headers],[Income]])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45312</v>
      </c>
      <c r="T32" s="29">
        <f>SUMIFS(Table4420111[Amount],Table4420111[Date],S32,Table4420111[Category],Table136105[[#Headers],[Income]])+SUMIFS(Table44110[Amount],Table44110[Date],S32,Table44110[Category],Table136105[[#Headers],[Income]])</f>
        <v>0</v>
      </c>
      <c r="U32" s="29">
        <f>SUMIFS(Table4104[Amount],Table4104[Date],S32,Table4104[Category],"&lt;&gt;"&amp;Table136105[[#Headers],[Income]])+SUMIFS(Table44110[Amount],Table44110[Date],S32,Table44110[Category],"&lt;&gt;"&amp;Table136105[[#Headers],[Income]])</f>
        <v>0</v>
      </c>
      <c r="V32" s="29">
        <f t="shared" si="1"/>
        <v>1156.74</v>
      </c>
      <c r="W32" s="1">
        <f t="shared" si="2"/>
        <v>1156.7400000000005</v>
      </c>
    </row>
    <row r="33" spans="2:23">
      <c r="B33" s="32"/>
      <c r="D33" s="2"/>
      <c r="E33" s="2">
        <f>SUMIFS(Table4104[Amount],Table4104[Category],Table13103[[#Headers],[Transportation]],Table4104[Sub-Category],Table13103[[#This Row],[Transportation]])+SUMIFS(Table44110[Amount],Table44110[Category],Table13103[[#Headers],[Transportation]],Table44110[Sub-Category],Table13103[[#This Row],[Transportation]])</f>
        <v>0</v>
      </c>
      <c r="F33" s="3">
        <f>Table13103[[#This Row],[Budget]]-Table13103[[#This Row],[Actual]]</f>
        <v>0</v>
      </c>
      <c r="G33" s="32"/>
      <c r="H33" s="42"/>
      <c r="J33" s="37" t="s">
        <v>44</v>
      </c>
      <c r="K33" s="38"/>
      <c r="L33" s="38"/>
      <c r="M33" s="38"/>
      <c r="N33" s="38"/>
      <c r="O33" s="39"/>
      <c r="Q33" s="42"/>
      <c r="S33" s="30">
        <f t="shared" si="0"/>
        <v>45313</v>
      </c>
      <c r="T33" s="28">
        <f>SUMIFS(Table4420111[Amount],Table4420111[Date],S33,Table4420111[Category],Table136105[[#Headers],[Income]])+SUMIFS(Table44110[Amount],Table44110[Date],S33,Table44110[Category],Table136105[[#Headers],[Income]])</f>
        <v>0</v>
      </c>
      <c r="U33" s="28">
        <f>SUMIFS(Table4104[Amount],Table4104[Date],S33,Table4104[Category],"&lt;&gt;"&amp;Table136105[[#Headers],[Income]])+SUMIFS(Table44110[Amount],Table44110[Date],S33,Table44110[Category],"&lt;&gt;"&amp;Table136105[[#Headers],[Income]])</f>
        <v>0</v>
      </c>
      <c r="V33" s="28">
        <f t="shared" si="1"/>
        <v>1156.74</v>
      </c>
      <c r="W33" s="1">
        <f t="shared" si="2"/>
        <v>1156.7400000000005</v>
      </c>
    </row>
    <row r="34" spans="2:23">
      <c r="B34" s="32"/>
      <c r="D34" s="2"/>
      <c r="E34" s="2">
        <f>SUMIFS(Table4104[Amount],Table4104[Category],Table13103[[#Headers],[Transportation]],Table4104[Sub-Category],Table13103[[#This Row],[Transportation]])+SUMIFS(Table44110[Amount],Table44110[Category],Table13103[[#Headers],[Transportation]],Table44110[Sub-Category],Table13103[[#This Row],[Transportation]])</f>
        <v>0</v>
      </c>
      <c r="F34" s="3">
        <f>Table13103[[#This Row],[Budget]]-Table13103[[#This Row],[Actual]]</f>
        <v>0</v>
      </c>
      <c r="G34" s="32"/>
      <c r="H34" s="42"/>
      <c r="J34" s="31" t="s">
        <v>9</v>
      </c>
      <c r="K34" s="31" t="s">
        <v>0</v>
      </c>
      <c r="L34" s="31" t="s">
        <v>13</v>
      </c>
      <c r="M34" s="31" t="s">
        <v>10</v>
      </c>
      <c r="N34" s="31" t="s">
        <v>11</v>
      </c>
      <c r="O34" s="31" t="s">
        <v>16</v>
      </c>
      <c r="Q34" s="42"/>
      <c r="S34" s="27">
        <f t="shared" si="0"/>
        <v>45314</v>
      </c>
      <c r="T34" s="29">
        <f>SUMIFS(Table4420111[Amount],Table4420111[Date],S34,Table4420111[Category],Table136105[[#Headers],[Income]])+SUMIFS(Table44110[Amount],Table44110[Date],S34,Table44110[Category],Table136105[[#Headers],[Income]])</f>
        <v>0</v>
      </c>
      <c r="U34" s="29">
        <f>SUMIFS(Table4104[Amount],Table4104[Date],S34,Table4104[Category],"&lt;&gt;"&amp;Table136105[[#Headers],[Income]])+SUMIFS(Table44110[Amount],Table44110[Date],S34,Table44110[Category],"&lt;&gt;"&amp;Table136105[[#Headers],[Income]])</f>
        <v>0</v>
      </c>
      <c r="V34" s="29">
        <f t="shared" si="1"/>
        <v>1156.74</v>
      </c>
      <c r="W34" s="1">
        <f t="shared" si="2"/>
        <v>1156.7400000000005</v>
      </c>
    </row>
    <row r="35" spans="2:23">
      <c r="B35" s="32"/>
      <c r="C35" s="11"/>
      <c r="D35" s="12"/>
      <c r="E35" s="13">
        <f>SUMIFS(Table4104[Amount],Table4104[Category],Table13103[[#Headers],[Transportation]],Table4104[Sub-Category],Table13103[[#This Row],[Transportation]])+SUMIFS(Table44110[Amount],Table44110[Category],Table13103[[#Headers],[Transportation]],Table44110[Sub-Category],Table13103[[#This Row],[Transportation]])</f>
        <v>0</v>
      </c>
      <c r="F35" s="13">
        <f>Table13103[[#This Row],[Budget]]-Table13103[[#This Row],[Actual]]</f>
        <v>0</v>
      </c>
      <c r="G35" s="32"/>
      <c r="H35" s="42"/>
      <c r="M35" s="4"/>
      <c r="N35" s="2"/>
      <c r="Q35" s="42"/>
      <c r="S35" s="30">
        <f t="shared" si="0"/>
        <v>45315</v>
      </c>
      <c r="T35" s="28">
        <f>SUMIFS(Table4420111[Amount],Table4420111[Date],S35,Table4420111[Category],Table136105[[#Headers],[Income]])+SUMIFS(Table44110[Amount],Table44110[Date],S35,Table44110[Category],Table136105[[#Headers],[Income]])</f>
        <v>0</v>
      </c>
      <c r="U35" s="28">
        <f>SUMIFS(Table4104[Amount],Table4104[Date],S35,Table4104[Category],"&lt;&gt;"&amp;Table136105[[#Headers],[Income]])+SUMIFS(Table44110[Amount],Table44110[Date],S35,Table44110[Category],"&lt;&gt;"&amp;Table136105[[#Headers],[Income]])</f>
        <v>0</v>
      </c>
      <c r="V35" s="28">
        <f t="shared" si="1"/>
        <v>1156.74</v>
      </c>
      <c r="W35" s="1">
        <f t="shared" si="2"/>
        <v>1156.7400000000005</v>
      </c>
    </row>
    <row r="36" spans="2:23">
      <c r="B36" s="32"/>
      <c r="C36" s="11"/>
      <c r="D36" s="12"/>
      <c r="E36" s="13">
        <f>SUMIFS(Table4104[Amount],Table4104[Category],Table13103[[#Headers],[Transportation]],Table4104[Sub-Category],Table13103[[#This Row],[Transportation]])+SUMIFS(Table44110[Amount],Table44110[Category],Table13103[[#Headers],[Transportation]],Table44110[Sub-Category],Table13103[[#This Row],[Transportation]])</f>
        <v>0</v>
      </c>
      <c r="F36" s="13">
        <f>Table13103[[#This Row],[Budget]]-Table13103[[#This Row],[Actual]]</f>
        <v>0</v>
      </c>
      <c r="G36" s="32"/>
      <c r="H36" s="42"/>
      <c r="M36" s="4"/>
      <c r="N36" s="2"/>
      <c r="Q36" s="42"/>
      <c r="S36" s="27">
        <f t="shared" si="0"/>
        <v>45316</v>
      </c>
      <c r="T36" s="29">
        <f>SUMIFS(Table4420111[Amount],Table4420111[Date],S36,Table4420111[Category],Table136105[[#Headers],[Income]])+SUMIFS(Table44110[Amount],Table44110[Date],S36,Table44110[Category],Table136105[[#Headers],[Income]])</f>
        <v>0</v>
      </c>
      <c r="U36" s="29">
        <f>SUMIFS(Table4104[Amount],Table4104[Date],S36,Table4104[Category],"&lt;&gt;"&amp;Table136105[[#Headers],[Income]])+SUMIFS(Table44110[Amount],Table44110[Date],S36,Table44110[Category],"&lt;&gt;"&amp;Table136105[[#Headers],[Income]])</f>
        <v>0</v>
      </c>
      <c r="V36" s="29">
        <f t="shared" si="1"/>
        <v>1156.74</v>
      </c>
      <c r="W36" s="1">
        <f t="shared" si="2"/>
        <v>1156.7400000000005</v>
      </c>
    </row>
    <row r="37" spans="2:23">
      <c r="B37" s="32"/>
      <c r="C37" s="9" t="s">
        <v>20</v>
      </c>
      <c r="D37" s="10">
        <f>SUBTOTAL(109,Table13103[Budget])</f>
        <v>0</v>
      </c>
      <c r="E37" s="10">
        <f>SUBTOTAL(109,Table13103[Actual])</f>
        <v>0</v>
      </c>
      <c r="F37" s="10">
        <f>SUBTOTAL(109,Table13103[Variance])</f>
        <v>0</v>
      </c>
      <c r="G37" s="32"/>
      <c r="H37" s="42"/>
      <c r="M37" s="4"/>
      <c r="N37" s="2"/>
      <c r="Q37" s="42"/>
      <c r="S37" s="30">
        <f t="shared" si="0"/>
        <v>45317</v>
      </c>
      <c r="T37" s="28">
        <f>SUMIFS(Table4420111[Amount],Table4420111[Date],S37,Table4420111[Category],Table136105[[#Headers],[Income]])+SUMIFS(Table44110[Amount],Table44110[Date],S37,Table44110[Category],Table136105[[#Headers],[Income]])</f>
        <v>0</v>
      </c>
      <c r="U37" s="28">
        <f>SUMIFS(Table4104[Amount],Table4104[Date],S37,Table4104[Category],"&lt;&gt;"&amp;Table136105[[#Headers],[Income]])+SUMIFS(Table44110[Amount],Table44110[Date],S37,Table44110[Category],"&lt;&gt;"&amp;Table136105[[#Headers],[Income]])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45318</v>
      </c>
      <c r="T38" s="29">
        <f>SUMIFS(Table4420111[Amount],Table4420111[Date],S38,Table4420111[Category],Table136105[[#Headers],[Income]])+SUMIFS(Table44110[Amount],Table44110[Date],S38,Table44110[Category],Table136105[[#Headers],[Income]])</f>
        <v>0</v>
      </c>
      <c r="U38" s="29">
        <f>SUMIFS(Table4104[Amount],Table4104[Date],S38,Table4104[Category],"&lt;&gt;"&amp;Table136105[[#Headers],[Income]])+SUMIFS(Table44110[Amount],Table44110[Date],S38,Table44110[Category],"&lt;&gt;"&amp;Table136105[[#Headers],[Income]])</f>
        <v>0</v>
      </c>
      <c r="V38" s="29">
        <f t="shared" si="1"/>
        <v>1156.74</v>
      </c>
      <c r="W38" s="1">
        <f t="shared" si="2"/>
        <v>1156.7400000000005</v>
      </c>
    </row>
    <row r="39" spans="2:23">
      <c r="B39" s="32"/>
      <c r="C39" s="37" t="str">
        <f>CONCATENATE(Table13910109[[#Headers],[Bills]]," - Budget &amp; Tracking")</f>
        <v>Bills - Budget &amp; Tracking</v>
      </c>
      <c r="D39" s="38"/>
      <c r="E39" s="38"/>
      <c r="F39" s="39"/>
      <c r="G39" s="32"/>
      <c r="H39" s="42"/>
      <c r="J39" s="11"/>
      <c r="K39" s="11"/>
      <c r="L39" s="11"/>
      <c r="M39" s="24"/>
      <c r="N39" s="12"/>
      <c r="O39" s="11"/>
      <c r="Q39" s="42"/>
      <c r="S39" s="30">
        <f t="shared" si="0"/>
        <v>45319</v>
      </c>
      <c r="T39" s="28">
        <f>SUMIFS(Table4420111[Amount],Table4420111[Date],S39,Table4420111[Category],Table136105[[#Headers],[Income]])+SUMIFS(Table44110[Amount],Table44110[Date],S39,Table44110[Category],Table136105[[#Headers],[Income]])</f>
        <v>0</v>
      </c>
      <c r="U39" s="28">
        <f>SUMIFS(Table4104[Amount],Table4104[Date],S39,Table4104[Category],"&lt;&gt;"&amp;Table136105[[#Headers],[Income]])+SUMIFS(Table44110[Amount],Table44110[Date],S39,Table44110[Category],"&lt;&gt;"&amp;Table136105[[#Headers],[Income]])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45320</v>
      </c>
      <c r="T40" s="29">
        <f>SUMIFS(Table4420111[Amount],Table4420111[Date],S40,Table4420111[Category],Table136105[[#Headers],[Income]])+SUMIFS(Table44110[Amount],Table44110[Date],S40,Table44110[Category],Table136105[[#Headers],[Income]])</f>
        <v>0</v>
      </c>
      <c r="U40" s="29">
        <f>SUMIFS(Table4104[Amount],Table4104[Date],S40,Table4104[Category],"&lt;&gt;"&amp;Table136105[[#Headers],[Income]])+SUMIFS(Table44110[Amount],Table44110[Date],S40,Table44110[Category],"&lt;&gt;"&amp;Table136105[[#Headers],[Income]])</f>
        <v>0</v>
      </c>
      <c r="V40" s="29">
        <f t="shared" si="1"/>
        <v>1156.74</v>
      </c>
      <c r="W40" s="1">
        <f t="shared" si="2"/>
        <v>1156.7400000000005</v>
      </c>
    </row>
    <row r="41" spans="2:23">
      <c r="B41" s="32"/>
      <c r="D41" s="2"/>
      <c r="E41" s="2">
        <f>SUMIFS(Table4104[Amount],Table4104[Category],Table13910109[[#Headers],[Bills]],Table4104[Sub-Category],Table13910109[[#This Row],[Bills]])+SUMIFS(Table44110[Amount],Table44110[Category],Table13910109[[#Headers],[Bills]],Table44110[Sub-Category],Table13910109[[#This Row],[Bills]])</f>
        <v>0</v>
      </c>
      <c r="F41" s="3">
        <f>Table13910109[[#This Row],[Budget]]-Table13910109[[#This Row],[Actual]]</f>
        <v>0</v>
      </c>
      <c r="G41" s="32"/>
      <c r="H41" s="42"/>
      <c r="Q41" s="42"/>
      <c r="S41" s="30">
        <f t="shared" si="0"/>
        <v>45321</v>
      </c>
      <c r="T41" s="28">
        <f>SUMIFS(Table4420111[Amount],Table4420111[Date],S41,Table4420111[Category],Table136105[[#Headers],[Income]])+SUMIFS(Table44110[Amount],Table44110[Date],S41,Table44110[Category],Table136105[[#Headers],[Income]])</f>
        <v>0</v>
      </c>
      <c r="U41" s="28">
        <f>SUMIFS(Table4104[Amount],Table4104[Date],S41,Table4104[Category],"&lt;&gt;"&amp;Table136105[[#Headers],[Income]])+SUMIFS(Table44110[Amount],Table44110[Date],S41,Table44110[Category],"&lt;&gt;"&amp;Table136105[[#Headers],[Income]])</f>
        <v>0</v>
      </c>
      <c r="V41" s="28">
        <f t="shared" si="1"/>
        <v>1156.74</v>
      </c>
      <c r="W41" s="1">
        <f t="shared" si="2"/>
        <v>1156.7400000000005</v>
      </c>
    </row>
    <row r="42" spans="2:23">
      <c r="B42" s="32"/>
      <c r="D42" s="2"/>
      <c r="E42" s="2">
        <f>SUMIFS(Table4104[Amount],Table4104[Category],Table13910109[[#Headers],[Bills]],Table4104[Sub-Category],Table13910109[[#This Row],[Bills]])+SUMIFS(Table44110[Amount],Table44110[Category],Table13910109[[#Headers],[Bills]],Table44110[Sub-Category],Table13910109[[#This Row],[Bills]])</f>
        <v>0</v>
      </c>
      <c r="F42" s="3">
        <f>Table13910109[[#This Row],[Budget]]-Table13910109[[#This Row],[Actual]]</f>
        <v>0</v>
      </c>
      <c r="G42" s="32"/>
      <c r="H42" s="42"/>
      <c r="Q42" s="42"/>
      <c r="S42" s="27">
        <f t="shared" si="0"/>
        <v>45322</v>
      </c>
      <c r="T42" s="29">
        <f>SUMIFS(Table4420111[Amount],Table4420111[Date],S42,Table4420111[Category],Table136105[[#Headers],[Income]])+SUMIFS(Table44110[Amount],Table44110[Date],S42,Table44110[Category],Table136105[[#Headers],[Income]])</f>
        <v>0</v>
      </c>
      <c r="U42" s="29">
        <f>SUMIFS(Table4104[Amount],Table4104[Date],S42,Table4104[Category],"&lt;&gt;"&amp;Table136105[[#Headers],[Income]])+SUMIFS(Table44110[Amount],Table44110[Date],S42,Table44110[Category],"&lt;&gt;"&amp;Table136105[[#Headers],[Income]])</f>
        <v>0</v>
      </c>
      <c r="V42" s="29">
        <f t="shared" si="1"/>
        <v>1156.74</v>
      </c>
      <c r="W42" s="1">
        <f t="shared" si="2"/>
        <v>1156.7400000000005</v>
      </c>
    </row>
    <row r="43" spans="2:23">
      <c r="B43" s="32"/>
      <c r="C43" s="11"/>
      <c r="D43" s="12"/>
      <c r="E43" s="13">
        <f>SUMIFS(Table4104[Amount],Table4104[Category],Table13910109[[#Headers],[Bills]],Table4104[Sub-Category],Table13910109[[#This Row],[Bills]])+SUMIFS(Table44110[Amount],Table44110[Category],Table13910109[[#Headers],[Bills]],Table44110[Sub-Category],Table13910109[[#This Row],[Bills]])</f>
        <v>0</v>
      </c>
      <c r="F43" s="13">
        <f>Table13910109[[#This Row],[Budget]]-Table13910109[[#This Row],[Actual]]</f>
        <v>0</v>
      </c>
      <c r="G43" s="32"/>
      <c r="H43" s="42"/>
      <c r="Q43" s="42"/>
      <c r="S43" s="8"/>
    </row>
    <row r="44" spans="2:23">
      <c r="B44" s="32"/>
      <c r="C44" s="11"/>
      <c r="D44" s="12"/>
      <c r="E44" s="13">
        <f>SUMIFS(Table4104[Amount],Table4104[Category],Table13910109[[#Headers],[Bills]],Table4104[Sub-Category],Table13910109[[#This Row],[Bills]])+SUMIFS(Table44110[Amount],Table44110[Category],Table13910109[[#Headers],[Bills]],Table44110[Sub-Category],Table13910109[[#This Row],[Bills]])</f>
        <v>0</v>
      </c>
      <c r="F44" s="13">
        <f>Table13910109[[#This Row],[Budget]]-Table13910109[[#This Row],[Actual]]</f>
        <v>0</v>
      </c>
      <c r="G44" s="32"/>
      <c r="H44" s="42"/>
      <c r="Q44" s="42"/>
      <c r="S44" s="8"/>
    </row>
    <row r="45" spans="2:23">
      <c r="B45" s="32"/>
      <c r="C45" s="11"/>
      <c r="D45" s="12"/>
      <c r="E45" s="13">
        <f>SUMIFS(Table4104[Amount],Table4104[Category],Table13910109[[#Headers],[Bills]],Table4104[Sub-Category],Table13910109[[#This Row],[Bills]])+SUMIFS(Table44110[Amount],Table44110[Category],Table13910109[[#Headers],[Bills]],Table44110[Sub-Category],Table13910109[[#This Row],[Bills]])</f>
        <v>0</v>
      </c>
      <c r="F45" s="13">
        <f>Table13910109[[#This Row],[Budget]]-Table13910109[[#This Row],[Actual]]</f>
        <v>0</v>
      </c>
      <c r="G45" s="32"/>
      <c r="H45" s="42"/>
      <c r="Q45" s="42"/>
    </row>
    <row r="46" spans="2:23">
      <c r="B46" s="32"/>
      <c r="C46" s="9" t="s">
        <v>20</v>
      </c>
      <c r="D46" s="10">
        <f>SUBTOTAL(109,Table13910109[Budget])</f>
        <v>0</v>
      </c>
      <c r="E46" s="10">
        <f>SUBTOTAL(109,Table13910109[Actual])</f>
        <v>0</v>
      </c>
      <c r="F46" s="10">
        <f>SUBTOTAL(109,Table13910109[Variance])</f>
        <v>0</v>
      </c>
      <c r="G46" s="32"/>
      <c r="H46" s="42"/>
      <c r="Q46" s="42"/>
    </row>
    <row r="47" spans="2:23">
      <c r="B47" s="32"/>
      <c r="C47" s="20"/>
      <c r="D47" s="21"/>
      <c r="E47" s="21"/>
      <c r="F47" s="22"/>
      <c r="G47" s="32"/>
      <c r="H47" s="42"/>
      <c r="Q47" s="42"/>
    </row>
    <row r="48" spans="2:23">
      <c r="B48" s="32"/>
      <c r="C48" s="37" t="str">
        <f>CONCATENATE(Table137106[[#Headers],[Living]],"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SUMIFS(Table4104[Amount],Table4104[Category],Table137106[[#Headers],[Living]],Table4104[Sub-Category],Table137106[[#This Row],[Living]])+SUMIFS(Table44110[Amount],Table44110[Category],Table137106[[#Headers],[Living]],Table44110[Sub-Category],Table137106[[#This Row],[Living]])</f>
        <v>0</v>
      </c>
      <c r="F50" s="3">
        <f>Table137106[[#This Row],[Budget]]-Table137106[[#This Row],[Actual]]</f>
        <v>0</v>
      </c>
      <c r="G50" s="32"/>
      <c r="H50" s="42"/>
      <c r="Q50" s="42"/>
    </row>
    <row r="51" spans="2:17">
      <c r="B51" s="32"/>
      <c r="D51" s="2"/>
      <c r="E51" s="2">
        <f>SUMIFS(Table4104[Amount],Table4104[Category],Table137106[[#Headers],[Living]],Table4104[Sub-Category],Table137106[[#This Row],[Living]])+SUMIFS(Table44110[Amount],Table44110[Category],Table137106[[#Headers],[Living]],Table44110[Sub-Category],Table137106[[#This Row],[Living]])</f>
        <v>0</v>
      </c>
      <c r="F51" s="3">
        <f>Table137106[[#This Row],[Budget]]-Table137106[[#This Row],[Actual]]</f>
        <v>0</v>
      </c>
      <c r="G51" s="32"/>
      <c r="H51" s="42"/>
      <c r="Q51" s="42"/>
    </row>
    <row r="52" spans="2:17">
      <c r="B52" s="32"/>
      <c r="C52" s="11"/>
      <c r="D52" s="12"/>
      <c r="E52" s="13">
        <f>SUMIFS(Table4104[Amount],Table4104[Category],Table137106[[#Headers],[Living]],Table4104[Sub-Category],Table137106[[#This Row],[Living]])+SUMIFS(Table44110[Amount],Table44110[Category],Table137106[[#Headers],[Living]],Table44110[Sub-Category],Table137106[[#This Row],[Living]])</f>
        <v>0</v>
      </c>
      <c r="F52" s="13">
        <f>Table137106[[#This Row],[Budget]]-Table137106[[#This Row],[Actual]]</f>
        <v>0</v>
      </c>
      <c r="G52" s="32"/>
      <c r="H52" s="42"/>
      <c r="Q52" s="42"/>
    </row>
    <row r="53" spans="2:17">
      <c r="B53" s="32"/>
      <c r="C53" s="11"/>
      <c r="D53" s="12"/>
      <c r="E53" s="13">
        <f>SUMIFS(Table4104[Amount],Table4104[Category],Table137106[[#Headers],[Living]],Table4104[Sub-Category],Table137106[[#This Row],[Living]])+SUMIFS(Table44110[Amount],Table44110[Category],Table137106[[#Headers],[Living]],Table44110[Sub-Category],Table137106[[#This Row],[Living]])</f>
        <v>0</v>
      </c>
      <c r="F53" s="13">
        <f>Table137106[[#This Row],[Budget]]-Table137106[[#This Row],[Actual]]</f>
        <v>0</v>
      </c>
      <c r="G53" s="32"/>
      <c r="H53" s="42"/>
      <c r="Q53" s="42"/>
    </row>
    <row r="54" spans="2:17">
      <c r="B54" s="32"/>
      <c r="C54" s="9" t="s">
        <v>20</v>
      </c>
      <c r="D54" s="10">
        <f>SUBTOTAL(109,Table137106[Budget])</f>
        <v>0</v>
      </c>
      <c r="E54" s="10">
        <f>SUBTOTAL(109,Table137106[Actual])</f>
        <v>0</v>
      </c>
      <c r="F54" s="10">
        <f>SUBTOTAL(109,Table137106[Variance])</f>
        <v>0</v>
      </c>
      <c r="G54" s="32"/>
      <c r="H54" s="42"/>
      <c r="Q54" s="42"/>
    </row>
    <row r="55" spans="2:17">
      <c r="B55" s="32"/>
      <c r="C55" s="20"/>
      <c r="D55" s="21"/>
      <c r="E55" s="21"/>
      <c r="F55" s="22"/>
      <c r="G55" s="32"/>
      <c r="H55" s="42"/>
      <c r="Q55" s="42"/>
    </row>
    <row r="56" spans="2:17">
      <c r="B56" s="32"/>
      <c r="C56" s="37" t="str">
        <f>CONCATENATE(Table138107[[#Headers],[Entertainment]],"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SUMIFS(Table4104[Amount],Table4104[Category],Table138107[[#Headers],[Entertainment]],Table4104[Sub-Category],Table138107[[#This Row],[Entertainment]])+SUMIFS(Table44110[Amount],Table44110[Category],Table138107[[#Headers],[Entertainment]],Table44110[Sub-Category],Table138107[[#This Row],[Entertainment]])</f>
        <v>0</v>
      </c>
      <c r="F58" s="3">
        <f>Table138107[[#This Row],[Budget]]-Table138107[[#This Row],[Actual]]</f>
        <v>0</v>
      </c>
      <c r="G58" s="32"/>
      <c r="H58" s="42"/>
      <c r="Q58" s="42"/>
    </row>
    <row r="59" spans="2:17">
      <c r="B59" s="33"/>
      <c r="D59" s="2"/>
      <c r="E59" s="2">
        <f>SUMIFS(Table4104[Amount],Table4104[Category],Table138107[[#Headers],[Entertainment]],Table4104[Sub-Category],Table138107[[#This Row],[Entertainment]])+SUMIFS(Table44110[Amount],Table44110[Category],Table138107[[#Headers],[Entertainment]],Table44110[Sub-Category],Table138107[[#This Row],[Entertainment]])</f>
        <v>0</v>
      </c>
      <c r="F59" s="3">
        <f>Table138107[[#This Row],[Budget]]-Table138107[[#This Row],[Actual]]</f>
        <v>0</v>
      </c>
      <c r="G59" s="33"/>
      <c r="H59" s="42"/>
      <c r="Q59" s="42"/>
    </row>
    <row r="60" spans="2:17">
      <c r="C60" s="9" t="s">
        <v>20</v>
      </c>
      <c r="D60" s="10">
        <f>SUBTOTAL(109,Table138107[Budget])</f>
        <v>0</v>
      </c>
      <c r="E60" s="10">
        <f>SUBTOTAL(109,Table138107[Actual])</f>
        <v>0</v>
      </c>
      <c r="F60" s="10">
        <f>SUBTOTAL(109,Table138107[Variance])</f>
        <v>0</v>
      </c>
      <c r="H60" s="42"/>
      <c r="Q60" s="42"/>
    </row>
    <row r="61" spans="2:17">
      <c r="C61" s="26"/>
      <c r="D61" s="23"/>
      <c r="E61" s="23"/>
      <c r="F61" s="23"/>
      <c r="H61" s="42"/>
      <c r="Q61" s="42"/>
    </row>
    <row r="62" spans="2:17">
      <c r="C62" s="37" t="str">
        <f>CONCATENATE(Table139108[[#Headers],[Misc.]],"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SUMIFS(Table4104[Amount],Table4104[Category],Table139108[[#Headers],[Misc.]],Table4104[Sub-Category],Table139108[[#This Row],[Misc.]])+SUMIFS(Table44110[Amount],Table44110[Category],Table139108[[#Headers],[Misc.]],Table44110[Sub-Category],Table139108[[#This Row],[Misc.]])</f>
        <v>0</v>
      </c>
      <c r="F64" s="13">
        <f>Table139108[[#This Row],[Budget]]-Table139108[[#This Row],[Actual]]</f>
        <v>0</v>
      </c>
      <c r="H64" s="42"/>
      <c r="Q64" s="42"/>
    </row>
    <row r="65" spans="3:17">
      <c r="C65" s="11"/>
      <c r="D65" s="12"/>
      <c r="E65" s="13">
        <f>SUMIFS(Table4104[Amount],Table4104[Category],Table139108[[#Headers],[Misc.]],Table4104[Sub-Category],Table139108[[#This Row],[Misc.]])+SUMIFS(Table44110[Amount],Table44110[Category],Table139108[[#Headers],[Misc.]],Table44110[Sub-Category],Table139108[[#This Row],[Misc.]])</f>
        <v>0</v>
      </c>
      <c r="F65" s="13">
        <f>Table139108[[#This Row],[Budget]]-Table139108[[#This Row],[Actual]]</f>
        <v>0</v>
      </c>
      <c r="H65" s="42"/>
      <c r="Q65" s="42"/>
    </row>
    <row r="66" spans="3:17">
      <c r="C66" s="9" t="s">
        <v>20</v>
      </c>
      <c r="D66" s="10">
        <f>SUBTOTAL(109,Table139108[Budget])</f>
        <v>0</v>
      </c>
      <c r="E66" s="10">
        <f>SUBTOTAL(109,Table139108[Actual])</f>
        <v>0</v>
      </c>
      <c r="F66" s="10">
        <f>SUBTOTAL(109,Table139108[Variance])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47" priority="16" operator="equal">
      <formula>TODAY()</formula>
    </cfRule>
  </conditionalFormatting>
  <conditionalFormatting sqref="T12 T20:U42">
    <cfRule type="expression" dxfId="46" priority="15">
      <formula>IF($S12=TODAY(),TRUE)</formula>
    </cfRule>
  </conditionalFormatting>
  <conditionalFormatting sqref="U12">
    <cfRule type="expression" dxfId="45" priority="14">
      <formula>IF($S12=TODAY(),TRUE)</formula>
    </cfRule>
  </conditionalFormatting>
  <conditionalFormatting sqref="V12 V20:V42">
    <cfRule type="expression" dxfId="44" priority="13">
      <formula>IF($S12=TODAY(),TRUE)</formula>
    </cfRule>
  </conditionalFormatting>
  <conditionalFormatting sqref="S13:S15">
    <cfRule type="cellIs" dxfId="43" priority="12" operator="equal">
      <formula>TODAY()</formula>
    </cfRule>
  </conditionalFormatting>
  <conditionalFormatting sqref="T13:T15">
    <cfRule type="expression" dxfId="42" priority="11">
      <formula>IF($S13=TODAY(),TRUE)</formula>
    </cfRule>
  </conditionalFormatting>
  <conditionalFormatting sqref="U13:U15">
    <cfRule type="expression" dxfId="41" priority="10">
      <formula>IF($S13=TODAY(),TRUE)</formula>
    </cfRule>
  </conditionalFormatting>
  <conditionalFormatting sqref="V13:V15">
    <cfRule type="expression" dxfId="40" priority="9">
      <formula>IF($S13=TODAY(),TRUE)</formula>
    </cfRule>
  </conditionalFormatting>
  <conditionalFormatting sqref="S16 S20 S24 S28 S32 S36 S40">
    <cfRule type="cellIs" dxfId="39" priority="8" operator="equal">
      <formula>TODAY()</formula>
    </cfRule>
  </conditionalFormatting>
  <conditionalFormatting sqref="T16">
    <cfRule type="expression" dxfId="38" priority="7">
      <formula>IF($S16=TODAY(),TRUE)</formula>
    </cfRule>
  </conditionalFormatting>
  <conditionalFormatting sqref="U16">
    <cfRule type="expression" dxfId="37" priority="6">
      <formula>IF($S16=TODAY(),TRUE)</formula>
    </cfRule>
  </conditionalFormatting>
  <conditionalFormatting sqref="V16">
    <cfRule type="expression" dxfId="36" priority="5">
      <formula>IF($S16=TODAY(),TRUE)</formula>
    </cfRule>
  </conditionalFormatting>
  <conditionalFormatting sqref="S17:S19 S21:S23 S25:S27 S29:S31 S33:S35 S37:S39 S41:S42">
    <cfRule type="cellIs" dxfId="35" priority="4" operator="equal">
      <formula>TODAY()</formula>
    </cfRule>
  </conditionalFormatting>
  <conditionalFormatting sqref="T17:T19">
    <cfRule type="expression" dxfId="34" priority="3">
      <formula>IF($S17=TODAY(),TRUE)</formula>
    </cfRule>
  </conditionalFormatting>
  <conditionalFormatting sqref="U17:U19">
    <cfRule type="expression" dxfId="33" priority="2">
      <formula>IF($S17=TODAY(),TRUE)</formula>
    </cfRule>
  </conditionalFormatting>
  <conditionalFormatting sqref="V17:V19">
    <cfRule type="expression" dxfId="32"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900-000000000000}">
      <formula1>$U$2:$U$4</formula1>
    </dataValidation>
    <dataValidation type="list" allowBlank="1" showInputMessage="1" showErrorMessage="1" sqref="K35:K40 K19:K32 K12:K16" xr:uid="{00000000-0002-0000-0900-000001000000}">
      <formula1>$R$2:$R$8</formula1>
    </dataValidation>
    <dataValidation type="list" allowBlank="1" showInputMessage="1" showErrorMessage="1" sqref="L35:L40 L12:L16 L19:L32" xr:uid="{00000000-0002-0000-09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E21969D3-EA21-4C0E-9176-421F5D6D402D}">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36F019A6-A3A0-4D81-A1C7-1B4022171A1E}">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DATE(YEAR(Mo.10!C1),MONTH(Mo.10!C1)+1,DAY(Mo.10!C1))</f>
        <v>45323</v>
      </c>
      <c r="D1" s="61"/>
      <c r="E1" s="61"/>
      <c r="F1" s="61"/>
      <c r="R1" s="45" t="s">
        <v>0</v>
      </c>
      <c r="S1" s="45" t="s">
        <v>1</v>
      </c>
      <c r="T1" s="45" t="s">
        <v>2</v>
      </c>
      <c r="U1" s="45" t="s">
        <v>16</v>
      </c>
      <c r="V1" s="45" t="s">
        <v>45</v>
      </c>
    </row>
    <row r="2" spans="2:23">
      <c r="D2" s="18" t="s">
        <v>1</v>
      </c>
      <c r="E2" s="19" t="s">
        <v>2</v>
      </c>
      <c r="F2" s="19" t="s">
        <v>14</v>
      </c>
      <c r="R2" s="45" t="str">
        <f>Table136115[[#Headers],[Income]]</f>
        <v>Income</v>
      </c>
      <c r="S2" s="45">
        <f>SUM(Table136115[Budget])</f>
        <v>0</v>
      </c>
      <c r="T2" s="45">
        <f>SUM(Table136115[Actual])</f>
        <v>0</v>
      </c>
      <c r="U2" s="45" t="s">
        <v>19</v>
      </c>
      <c r="V2" s="45">
        <f>AVERAGE(V12:V42)</f>
        <v>1156.7400000000005</v>
      </c>
    </row>
    <row r="3" spans="2:23">
      <c r="C3" s="17" t="s">
        <v>35</v>
      </c>
      <c r="D3" s="5">
        <f>Mo.10!D6</f>
        <v>1156.74</v>
      </c>
      <c r="E3" s="14">
        <f>Mo.10!E6</f>
        <v>1156.74</v>
      </c>
      <c r="F3" s="14">
        <f>E3-D3</f>
        <v>0</v>
      </c>
      <c r="R3" s="45" t="str">
        <f>Table1112[[#Headers],[Housing]]</f>
        <v>Housing</v>
      </c>
      <c r="S3" s="45">
        <f>SUM(Table1112[Budget])</f>
        <v>0</v>
      </c>
      <c r="T3" s="45">
        <f>SUM(Table1112[Actual])</f>
        <v>0</v>
      </c>
      <c r="U3" s="45" t="s">
        <v>17</v>
      </c>
      <c r="V3" s="45"/>
    </row>
    <row r="4" spans="2:23">
      <c r="C4" s="17" t="s">
        <v>32</v>
      </c>
      <c r="D4" s="5">
        <f>Table136115[[#Totals],[Budget]]</f>
        <v>0</v>
      </c>
      <c r="E4" s="5">
        <f>Table136115[[#Totals],[Actual]]</f>
        <v>0</v>
      </c>
      <c r="F4" s="5">
        <f>E4-D4</f>
        <v>0</v>
      </c>
      <c r="R4" s="45" t="str">
        <f>Table13113[[#Headers],[Transportation]]</f>
        <v>Transportation</v>
      </c>
      <c r="S4" s="45">
        <f>SUM(Table13113[Budget])</f>
        <v>0</v>
      </c>
      <c r="T4" s="45">
        <f>SUM(Table13113[Actual])</f>
        <v>0</v>
      </c>
      <c r="U4" s="45" t="s">
        <v>18</v>
      </c>
      <c r="V4" s="45"/>
    </row>
    <row r="5" spans="2:23">
      <c r="C5" s="17" t="s">
        <v>33</v>
      </c>
      <c r="D5" s="5">
        <f>Table1112[[#Totals],[Budget]]+Table13113[[#Totals],[Budget]]+Table13910119[[#Totals],[Budget]]+Table137116[[#Totals],[Budget]]+Table138117[[#Totals],[Budget]]+Table139118[[#Totals],[Budget]]</f>
        <v>0</v>
      </c>
      <c r="E5" s="5">
        <f>Table1112[[#Totals],[Actual]]+Table13113[[#Totals],[Actual]]+Table13910119[[#Totals],[Actual]]+Table137116[[#Totals],[Actual]]+Table138117[[#Totals],[Actual]]+Table139118[[#Totals],[Actual]]</f>
        <v>0</v>
      </c>
      <c r="F5" s="5">
        <f>E5-D5</f>
        <v>0</v>
      </c>
      <c r="R5" s="45" t="str">
        <f>Table13910119[[#Headers],[Bills]]</f>
        <v>Bills</v>
      </c>
      <c r="S5" s="45">
        <f>SUM(Table13910119[Budget])</f>
        <v>0</v>
      </c>
      <c r="T5" s="45">
        <f>SUM(Table13910119[Actual])</f>
        <v>0</v>
      </c>
      <c r="U5" s="45"/>
      <c r="V5" s="45"/>
    </row>
    <row r="6" spans="2:23">
      <c r="C6" s="15" t="s">
        <v>34</v>
      </c>
      <c r="D6" s="16">
        <f>D3+D4-D5</f>
        <v>1156.74</v>
      </c>
      <c r="E6" s="16">
        <f>E3+E4-E5</f>
        <v>1156.74</v>
      </c>
      <c r="F6" s="16">
        <f>F3+F4-F5</f>
        <v>0</v>
      </c>
      <c r="R6" s="45" t="str">
        <f>Table137116[[#Headers],[Living]]</f>
        <v>Living</v>
      </c>
      <c r="S6" s="45">
        <f>SUM(Table137116[Budget])</f>
        <v>0</v>
      </c>
      <c r="T6" s="45">
        <f>SUM(Table137116[Actual])</f>
        <v>0</v>
      </c>
      <c r="U6" s="45"/>
      <c r="V6" s="45"/>
    </row>
    <row r="7" spans="2:23" ht="3.75" customHeight="1">
      <c r="D7" s="2"/>
      <c r="R7" s="45" t="str">
        <f>Table138117[[#Headers],[Entertainment]]</f>
        <v>Entertainment</v>
      </c>
      <c r="S7" s="45">
        <f>SUM(Table138117[Budget])</f>
        <v>0</v>
      </c>
      <c r="T7" s="45">
        <f>SUM(Table138117[Actual])</f>
        <v>0</v>
      </c>
      <c r="U7" s="45"/>
      <c r="V7" s="45"/>
    </row>
    <row r="8" spans="2:23" ht="1.5" customHeight="1">
      <c r="C8" s="42"/>
      <c r="D8" s="43"/>
      <c r="E8" s="42"/>
      <c r="F8" s="42"/>
      <c r="G8" s="42"/>
      <c r="H8" s="42"/>
      <c r="I8" s="42"/>
      <c r="J8" s="42"/>
      <c r="K8" s="42"/>
      <c r="L8" s="42"/>
      <c r="M8" s="42"/>
      <c r="N8" s="42"/>
      <c r="O8" s="42"/>
      <c r="P8" s="42"/>
      <c r="Q8" s="42"/>
      <c r="R8" s="44" t="str">
        <f>Table139118[[#Headers],[Misc.]]</f>
        <v>Misc.</v>
      </c>
      <c r="S8" s="44">
        <f>SUM(Table139118[Budget])</f>
        <v>0</v>
      </c>
      <c r="T8" s="44">
        <f>SUM(Table139118[Actual])</f>
        <v>0</v>
      </c>
      <c r="U8" s="44"/>
      <c r="V8" s="44"/>
    </row>
    <row r="9" spans="2:23" ht="3.75" customHeight="1">
      <c r="D9" s="2"/>
      <c r="H9" s="42"/>
      <c r="Q9" s="42"/>
    </row>
    <row r="10" spans="2:23" s="25" customFormat="1">
      <c r="B10" s="35"/>
      <c r="C10" s="37" t="str">
        <f>CONCATENATE(Table136115[[#Headers],[Income]],"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SUMIFS(Table4420121[Amount],Table4420121[Category],Table136115[[#Headers],[Income]],Table4420121[Sub-Category],Table136115[[#This Row],[Income]])+SUMIFS(Table44120[Amount],Table44120[Category],Table136115[[#Headers],[Income]],Table44120[Sub-Category],Table136115[[#This Row],[Income]])</f>
        <v>0</v>
      </c>
      <c r="F12" s="3">
        <f>Table136115[[#This Row],[Actual]]-Table136115[[#This Row],[Budget]]</f>
        <v>0</v>
      </c>
      <c r="G12" s="32"/>
      <c r="H12" s="42"/>
      <c r="M12" s="4"/>
      <c r="N12" s="2"/>
      <c r="Q12" s="42"/>
      <c r="S12" s="27">
        <f>C1</f>
        <v>45323</v>
      </c>
      <c r="T12" s="29">
        <f>SUMIFS(Table4420121[Amount],Table4420121[Date],S12,Table4420121[Category],Table136115[[#Headers],[Income]])+SUMIFS(Table44120[Amount],Table44120[Date],S12,Table44120[Category],Table136115[[#Headers],[Income]])</f>
        <v>0</v>
      </c>
      <c r="U12" s="29">
        <f>SUMIFS(Table4114[Amount],Table4114[Date],S12,Table4114[Category],"&lt;&gt;"&amp;Table136115[[#Headers],[Income]])+SUMIFS(Table44120[Amount],Table44120[Date],S12,Table44120[Category],"&lt;&gt;"&amp;Table136115[[#Headers],[Income]])</f>
        <v>0</v>
      </c>
      <c r="V12" s="29">
        <f>E3+T12-U12</f>
        <v>1156.74</v>
      </c>
      <c r="W12" s="1">
        <f>V2</f>
        <v>1156.7400000000005</v>
      </c>
    </row>
    <row r="13" spans="2:23">
      <c r="B13" s="32"/>
      <c r="D13" s="2"/>
      <c r="E13" s="2">
        <f>SUMIFS(Table4420121[Amount],Table4420121[Category],Table136115[[#Headers],[Income]],Table4420121[Sub-Category],Table136115[[#This Row],[Income]])+SUMIFS(Table44120[Amount],Table44120[Category],Table136115[[#Headers],[Income]],Table44120[Sub-Category],Table136115[[#This Row],[Income]])</f>
        <v>0</v>
      </c>
      <c r="F13" s="3">
        <f>Table136115[[#This Row],[Actual]]-Table136115[[#This Row],[Budget]]</f>
        <v>0</v>
      </c>
      <c r="G13" s="32"/>
      <c r="H13" s="42"/>
      <c r="M13" s="4"/>
      <c r="N13" s="2"/>
      <c r="Q13" s="42"/>
      <c r="S13" s="30">
        <f t="shared" ref="S13:S42" si="0">S12+1</f>
        <v>45324</v>
      </c>
      <c r="T13" s="28">
        <f>SUMIFS(Table4420121[Amount],Table4420121[Date],S13,Table4420121[Category],Table136115[[#Headers],[Income]])+SUMIFS(Table44120[Amount],Table44120[Date],S13,Table44120[Category],Table136115[[#Headers],[Income]])</f>
        <v>0</v>
      </c>
      <c r="U13" s="28">
        <f>SUMIFS(Table4114[Amount],Table4114[Date],S13,Table4114[Category],"&lt;&gt;"&amp;Table136115[[#Headers],[Income]])+SUMIFS(Table44120[Amount],Table44120[Date],S13,Table44120[Category],"&lt;&gt;"&amp;Table136115[[#Headers],[Income]])</f>
        <v>0</v>
      </c>
      <c r="V13" s="28">
        <f>V12+T13-U13</f>
        <v>1156.74</v>
      </c>
      <c r="W13" s="1">
        <f>W12</f>
        <v>1156.7400000000005</v>
      </c>
    </row>
    <row r="14" spans="2:23">
      <c r="B14" s="32"/>
      <c r="D14" s="12"/>
      <c r="E14" s="12">
        <f>SUMIFS(Table4420121[Amount],Table4420121[Category],Table136115[[#Headers],[Income]],Table4420121[Sub-Category],Table136115[[#This Row],[Income]])+SUMIFS(Table44120[Amount],Table44120[Category],Table136115[[#Headers],[Income]],Table44120[Sub-Category],Table136115[[#This Row],[Income]])</f>
        <v>0</v>
      </c>
      <c r="F14" s="2">
        <f>Table136115[[#This Row],[Actual]]-Table136115[[#This Row],[Budget]]</f>
        <v>0</v>
      </c>
      <c r="G14" s="32"/>
      <c r="H14" s="42"/>
      <c r="M14" s="4"/>
      <c r="N14" s="2"/>
      <c r="Q14" s="42"/>
      <c r="S14" s="27">
        <f t="shared" si="0"/>
        <v>45325</v>
      </c>
      <c r="T14" s="29">
        <f>SUMIFS(Table4420121[Amount],Table4420121[Date],S14,Table4420121[Category],Table136115[[#Headers],[Income]])+SUMIFS(Table44120[Amount],Table44120[Date],S14,Table44120[Category],Table136115[[#Headers],[Income]])</f>
        <v>0</v>
      </c>
      <c r="U14" s="29">
        <f>SUMIFS(Table4114[Amount],Table4114[Date],S14,Table4114[Category],"&lt;&gt;"&amp;Table136115[[#Headers],[Income]])+SUMIFS(Table44120[Amount],Table44120[Date],S14,Table44120[Category],"&lt;&gt;"&amp;Table136115[[#Headers],[Income]])</f>
        <v>0</v>
      </c>
      <c r="V14" s="29">
        <f t="shared" ref="V14:V42" si="1">V13+T14-U14</f>
        <v>1156.74</v>
      </c>
      <c r="W14" s="1">
        <f t="shared" ref="W14:W42" si="2">W13</f>
        <v>1156.7400000000005</v>
      </c>
    </row>
    <row r="15" spans="2:23">
      <c r="B15" s="32"/>
      <c r="D15" s="2"/>
      <c r="E15" s="3">
        <f>SUMIFS(Table4420121[Amount],Table4420121[Category],Table136115[[#Headers],[Income]],Table4420121[Sub-Category],Table136115[[#This Row],[Income]])+SUMIFS(Table44120[Amount],Table44120[Category],Table136115[[#Headers],[Income]],Table44120[Sub-Category],Table136115[[#This Row],[Income]])</f>
        <v>0</v>
      </c>
      <c r="F15" s="3">
        <f>Table136115[[#This Row],[Actual]]-Table136115[[#This Row],[Budget]]</f>
        <v>0</v>
      </c>
      <c r="G15" s="32"/>
      <c r="H15" s="42"/>
      <c r="J15" s="11"/>
      <c r="K15" s="11"/>
      <c r="L15" s="11"/>
      <c r="M15" s="24"/>
      <c r="N15" s="12"/>
      <c r="O15" s="11"/>
      <c r="Q15" s="42"/>
      <c r="S15" s="30">
        <f t="shared" si="0"/>
        <v>45326</v>
      </c>
      <c r="T15" s="28">
        <f>SUMIFS(Table4420121[Amount],Table4420121[Date],S15,Table4420121[Category],Table136115[[#Headers],[Income]])+SUMIFS(Table44120[Amount],Table44120[Date],S15,Table44120[Category],Table136115[[#Headers],[Income]])</f>
        <v>0</v>
      </c>
      <c r="U15" s="28">
        <f>SUMIFS(Table4114[Amount],Table4114[Date],S15,Table4114[Category],"&lt;&gt;"&amp;Table136115[[#Headers],[Income]])+SUMIFS(Table44120[Amount],Table44120[Date],S15,Table44120[Category],"&lt;&gt;"&amp;Table136115[[#Headers],[Income]])</f>
        <v>0</v>
      </c>
      <c r="V15" s="28">
        <f t="shared" si="1"/>
        <v>1156.74</v>
      </c>
      <c r="W15" s="1">
        <f t="shared" si="2"/>
        <v>1156.7400000000005</v>
      </c>
    </row>
    <row r="16" spans="2:23">
      <c r="B16" s="32"/>
      <c r="C16" s="6" t="s">
        <v>20</v>
      </c>
      <c r="D16" s="7">
        <f>SUBTOTAL(109,Table136115[Budget])</f>
        <v>0</v>
      </c>
      <c r="E16" s="7">
        <f>SUBTOTAL(109,Table136115[Actual])</f>
        <v>0</v>
      </c>
      <c r="F16" s="7">
        <f>SUBTOTAL(109,Table136115[Variance])</f>
        <v>0</v>
      </c>
      <c r="G16" s="36"/>
      <c r="H16" s="43"/>
      <c r="I16" s="2"/>
      <c r="M16" s="4"/>
      <c r="N16" s="2"/>
      <c r="Q16" s="43"/>
      <c r="S16" s="27">
        <f t="shared" si="0"/>
        <v>45327</v>
      </c>
      <c r="T16" s="29">
        <f>SUMIFS(Table4420121[Amount],Table4420121[Date],S16,Table4420121[Category],Table136115[[#Headers],[Income]])+SUMIFS(Table44120[Amount],Table44120[Date],S16,Table44120[Category],Table136115[[#Headers],[Income]])</f>
        <v>0</v>
      </c>
      <c r="U16" s="29">
        <f>SUMIFS(Table4114[Amount],Table4114[Date],S16,Table4114[Category],"&lt;&gt;"&amp;Table136115[[#Headers],[Income]])+SUMIFS(Table44120[Amount],Table44120[Date],S16,Table44120[Category],"&lt;&gt;"&amp;Table136115[[#Headers],[Income]])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45328</v>
      </c>
      <c r="T17" s="28">
        <f>SUMIFS(Table4420121[Amount],Table4420121[Date],S17,Table4420121[Category],Table136115[[#Headers],[Income]])+SUMIFS(Table44120[Amount],Table44120[Date],S17,Table44120[Category],Table136115[[#Headers],[Income]])</f>
        <v>0</v>
      </c>
      <c r="U17" s="28">
        <f>SUMIFS(Table4114[Amount],Table4114[Date],S17,Table4114[Category],"&lt;&gt;"&amp;Table136115[[#Headers],[Income]])+SUMIFS(Table44120[Amount],Table44120[Date],S17,Table44120[Category],"&lt;&gt;"&amp;Table136115[[#Headers],[Income]])</f>
        <v>0</v>
      </c>
      <c r="V17" s="28">
        <f t="shared" si="1"/>
        <v>1156.74</v>
      </c>
      <c r="W17" s="1">
        <f t="shared" si="2"/>
        <v>1156.7400000000005</v>
      </c>
    </row>
    <row r="18" spans="2:23">
      <c r="B18" s="32"/>
      <c r="C18" s="37" t="str">
        <f>CONCATENATE(Table1112[[#Headers],[Housing]],"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45329</v>
      </c>
      <c r="T18" s="29">
        <f>SUMIFS(Table4420121[Amount],Table4420121[Date],S18,Table4420121[Category],Table136115[[#Headers],[Income]])+SUMIFS(Table44120[Amount],Table44120[Date],S18,Table44120[Category],Table136115[[#Headers],[Income]])</f>
        <v>0</v>
      </c>
      <c r="U18" s="29">
        <f>SUMIFS(Table4114[Amount],Table4114[Date],S18,Table4114[Category],"&lt;&gt;"&amp;Table136115[[#Headers],[Income]])+SUMIFS(Table44120[Amount],Table44120[Date],S18,Table44120[Category],"&lt;&gt;"&amp;Table136115[[#Headers],[Income]])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45330</v>
      </c>
      <c r="T19" s="28">
        <f>SUMIFS(Table4420121[Amount],Table4420121[Date],S19,Table4420121[Category],Table136115[[#Headers],[Income]])+SUMIFS(Table44120[Amount],Table44120[Date],S19,Table44120[Category],Table136115[[#Headers],[Income]])</f>
        <v>0</v>
      </c>
      <c r="U19" s="28">
        <f>SUMIFS(Table4114[Amount],Table4114[Date],S19,Table4114[Category],"&lt;&gt;"&amp;Table136115[[#Headers],[Income]])+SUMIFS(Table44120[Amount],Table44120[Date],S19,Table44120[Category],"&lt;&gt;"&amp;Table136115[[#Headers],[Income]])</f>
        <v>0</v>
      </c>
      <c r="V19" s="28">
        <f t="shared" si="1"/>
        <v>1156.74</v>
      </c>
      <c r="W19" s="1">
        <f t="shared" si="2"/>
        <v>1156.7400000000005</v>
      </c>
    </row>
    <row r="20" spans="2:23">
      <c r="B20" s="32"/>
      <c r="D20" s="2"/>
      <c r="E20" s="2">
        <f>SUMIFS(Table4114[Amount],Table4114[Category],Table1112[[#Headers],[Housing]],Table4114[Sub-Category],Table1112[[#This Row],[Housing]])+SUMIFS(Table44120[Amount],Table44120[Category],Table1112[[#Headers],[Housing]],Table44120[Sub-Category],Table1112[[#This Row],[Housing]])</f>
        <v>0</v>
      </c>
      <c r="F20" s="3">
        <f>Table1112[[#This Row],[Budget]]-Table1112[[#This Row],[Actual]]</f>
        <v>0</v>
      </c>
      <c r="G20" s="36"/>
      <c r="H20" s="43"/>
      <c r="I20" s="2"/>
      <c r="J20" s="11"/>
      <c r="K20" s="11"/>
      <c r="L20" s="11"/>
      <c r="M20" s="24"/>
      <c r="N20" s="12"/>
      <c r="O20" s="11"/>
      <c r="Q20" s="43"/>
      <c r="S20" s="27">
        <f t="shared" si="0"/>
        <v>45331</v>
      </c>
      <c r="T20" s="29">
        <f>SUMIFS(Table4420121[Amount],Table4420121[Date],S20,Table4420121[Category],Table136115[[#Headers],[Income]])+SUMIFS(Table44120[Amount],Table44120[Date],S20,Table44120[Category],Table136115[[#Headers],[Income]])</f>
        <v>0</v>
      </c>
      <c r="U20" s="29">
        <f>SUMIFS(Table4114[Amount],Table4114[Date],S20,Table4114[Category],"&lt;&gt;"&amp;Table136115[[#Headers],[Income]])+SUMIFS(Table44120[Amount],Table44120[Date],S20,Table44120[Category],"&lt;&gt;"&amp;Table136115[[#Headers],[Income]])</f>
        <v>0</v>
      </c>
      <c r="V20" s="29">
        <f t="shared" si="1"/>
        <v>1156.74</v>
      </c>
      <c r="W20" s="1">
        <f t="shared" si="2"/>
        <v>1156.7400000000005</v>
      </c>
    </row>
    <row r="21" spans="2:23">
      <c r="B21" s="32"/>
      <c r="D21" s="2"/>
      <c r="E21" s="2">
        <f>SUMIFS(Table4114[Amount],Table4114[Category],Table1112[[#Headers],[Housing]],Table4114[Sub-Category],Table1112[[#This Row],[Housing]])+SUMIFS(Table44120[Amount],Table44120[Category],Table1112[[#Headers],[Housing]],Table44120[Sub-Category],Table1112[[#This Row],[Housing]])</f>
        <v>0</v>
      </c>
      <c r="F21" s="3">
        <f>Table1112[[#This Row],[Budget]]-Table1112[[#This Row],[Actual]]</f>
        <v>0</v>
      </c>
      <c r="G21" s="36"/>
      <c r="H21" s="43"/>
      <c r="I21" s="2"/>
      <c r="J21" s="11"/>
      <c r="K21" s="11"/>
      <c r="L21" s="11"/>
      <c r="M21" s="24"/>
      <c r="N21" s="12"/>
      <c r="O21" s="11"/>
      <c r="Q21" s="43"/>
      <c r="S21" s="30">
        <f t="shared" si="0"/>
        <v>45332</v>
      </c>
      <c r="T21" s="28">
        <f>SUMIFS(Table4420121[Amount],Table4420121[Date],S21,Table4420121[Category],Table136115[[#Headers],[Income]])+SUMIFS(Table44120[Amount],Table44120[Date],S21,Table44120[Category],Table136115[[#Headers],[Income]])</f>
        <v>0</v>
      </c>
      <c r="U21" s="28">
        <f>SUMIFS(Table4114[Amount],Table4114[Date],S21,Table4114[Category],"&lt;&gt;"&amp;Table136115[[#Headers],[Income]])+SUMIFS(Table44120[Amount],Table44120[Date],S21,Table44120[Category],"&lt;&gt;"&amp;Table136115[[#Headers],[Income]])</f>
        <v>0</v>
      </c>
      <c r="V21" s="28">
        <f t="shared" si="1"/>
        <v>1156.74</v>
      </c>
      <c r="W21" s="1">
        <f t="shared" si="2"/>
        <v>1156.7400000000005</v>
      </c>
    </row>
    <row r="22" spans="2:23">
      <c r="B22" s="32"/>
      <c r="D22" s="2"/>
      <c r="E22" s="2">
        <f>SUMIFS(Table4114[Amount],Table4114[Category],Table1112[[#Headers],[Housing]],Table4114[Sub-Category],Table1112[[#This Row],[Housing]])+SUMIFS(Table44120[Amount],Table44120[Category],Table1112[[#Headers],[Housing]],Table44120[Sub-Category],Table1112[[#This Row],[Housing]])</f>
        <v>0</v>
      </c>
      <c r="F22" s="3">
        <f>Table1112[[#This Row],[Budget]]-Table1112[[#This Row],[Actual]]</f>
        <v>0</v>
      </c>
      <c r="G22" s="36"/>
      <c r="H22" s="43"/>
      <c r="I22" s="2"/>
      <c r="J22" s="11"/>
      <c r="K22" s="11"/>
      <c r="L22" s="11"/>
      <c r="M22" s="24"/>
      <c r="N22" s="12"/>
      <c r="O22" s="11"/>
      <c r="Q22" s="43"/>
      <c r="S22" s="27">
        <f t="shared" si="0"/>
        <v>45333</v>
      </c>
      <c r="T22" s="29">
        <f>SUMIFS(Table4420121[Amount],Table4420121[Date],S22,Table4420121[Category],Table136115[[#Headers],[Income]])+SUMIFS(Table44120[Amount],Table44120[Date],S22,Table44120[Category],Table136115[[#Headers],[Income]])</f>
        <v>0</v>
      </c>
      <c r="U22" s="29">
        <f>SUMIFS(Table4114[Amount],Table4114[Date],S22,Table4114[Category],"&lt;&gt;"&amp;Table136115[[#Headers],[Income]])+SUMIFS(Table44120[Amount],Table44120[Date],S22,Table44120[Category],"&lt;&gt;"&amp;Table136115[[#Headers],[Income]])</f>
        <v>0</v>
      </c>
      <c r="V22" s="29">
        <f t="shared" si="1"/>
        <v>1156.74</v>
      </c>
      <c r="W22" s="1">
        <f t="shared" si="2"/>
        <v>1156.7400000000005</v>
      </c>
    </row>
    <row r="23" spans="2:23">
      <c r="B23" s="32"/>
      <c r="D23" s="2"/>
      <c r="E23" s="2">
        <f>SUMIFS(Table4114[Amount],Table4114[Category],Table1112[[#Headers],[Housing]],Table4114[Sub-Category],Table1112[[#This Row],[Housing]])+SUMIFS(Table44120[Amount],Table44120[Category],Table1112[[#Headers],[Housing]],Table44120[Sub-Category],Table1112[[#This Row],[Housing]])</f>
        <v>0</v>
      </c>
      <c r="F23" s="3">
        <f>Table1112[[#This Row],[Budget]]-Table1112[[#This Row],[Actual]]</f>
        <v>0</v>
      </c>
      <c r="G23" s="36"/>
      <c r="H23" s="43"/>
      <c r="I23" s="2"/>
      <c r="J23" s="11"/>
      <c r="K23" s="11"/>
      <c r="L23" s="11"/>
      <c r="M23" s="24"/>
      <c r="N23" s="12"/>
      <c r="O23" s="11"/>
      <c r="Q23" s="43"/>
      <c r="S23" s="30">
        <f t="shared" si="0"/>
        <v>45334</v>
      </c>
      <c r="T23" s="28">
        <f>SUMIFS(Table4420121[Amount],Table4420121[Date],S23,Table4420121[Category],Table136115[[#Headers],[Income]])+SUMIFS(Table44120[Amount],Table44120[Date],S23,Table44120[Category],Table136115[[#Headers],[Income]])</f>
        <v>0</v>
      </c>
      <c r="U23" s="28">
        <f>SUMIFS(Table4114[Amount],Table4114[Date],S23,Table4114[Category],"&lt;&gt;"&amp;Table136115[[#Headers],[Income]])+SUMIFS(Table44120[Amount],Table44120[Date],S23,Table44120[Category],"&lt;&gt;"&amp;Table136115[[#Headers],[Income]])</f>
        <v>0</v>
      </c>
      <c r="V23" s="28">
        <f t="shared" si="1"/>
        <v>1156.74</v>
      </c>
      <c r="W23" s="1">
        <f t="shared" si="2"/>
        <v>1156.7400000000005</v>
      </c>
    </row>
    <row r="24" spans="2:23">
      <c r="B24" s="32"/>
      <c r="D24" s="2"/>
      <c r="E24" s="2">
        <f>SUMIFS(Table4114[Amount],Table4114[Category],Table1112[[#Headers],[Housing]],Table4114[Sub-Category],Table1112[[#This Row],[Housing]])+SUMIFS(Table44120[Amount],Table44120[Category],Table1112[[#Headers],[Housing]],Table44120[Sub-Category],Table1112[[#This Row],[Housing]])</f>
        <v>0</v>
      </c>
      <c r="F24" s="3">
        <f>Table1112[[#This Row],[Budget]]-Table1112[[#This Row],[Actual]]</f>
        <v>0</v>
      </c>
      <c r="G24" s="36"/>
      <c r="H24" s="43"/>
      <c r="I24" s="2"/>
      <c r="J24" s="11"/>
      <c r="K24" s="11"/>
      <c r="L24" s="11"/>
      <c r="M24" s="24"/>
      <c r="N24" s="12"/>
      <c r="O24" s="11"/>
      <c r="Q24" s="43"/>
      <c r="S24" s="27">
        <f t="shared" si="0"/>
        <v>45335</v>
      </c>
      <c r="T24" s="29">
        <f>SUMIFS(Table4420121[Amount],Table4420121[Date],S24,Table4420121[Category],Table136115[[#Headers],[Income]])+SUMIFS(Table44120[Amount],Table44120[Date],S24,Table44120[Category],Table136115[[#Headers],[Income]])</f>
        <v>0</v>
      </c>
      <c r="U24" s="29">
        <f>SUMIFS(Table4114[Amount],Table4114[Date],S24,Table4114[Category],"&lt;&gt;"&amp;Table136115[[#Headers],[Income]])+SUMIFS(Table44120[Amount],Table44120[Date],S24,Table44120[Category],"&lt;&gt;"&amp;Table136115[[#Headers],[Income]])</f>
        <v>0</v>
      </c>
      <c r="V24" s="29">
        <f t="shared" si="1"/>
        <v>1156.74</v>
      </c>
      <c r="W24" s="1">
        <f t="shared" si="2"/>
        <v>1156.7400000000005</v>
      </c>
    </row>
    <row r="25" spans="2:23">
      <c r="B25" s="32"/>
      <c r="D25" s="2"/>
      <c r="E25" s="2">
        <f>SUMIFS(Table4114[Amount],Table4114[Category],Table1112[[#Headers],[Housing]],Table4114[Sub-Category],Table1112[[#This Row],[Housing]])+SUMIFS(Table44120[Amount],Table44120[Category],Table1112[[#Headers],[Housing]],Table44120[Sub-Category],Table1112[[#This Row],[Housing]])</f>
        <v>0</v>
      </c>
      <c r="F25" s="3">
        <f>Table1112[[#This Row],[Budget]]-Table1112[[#This Row],[Actual]]</f>
        <v>0</v>
      </c>
      <c r="G25" s="32"/>
      <c r="H25" s="42"/>
      <c r="J25" s="11"/>
      <c r="K25" s="11"/>
      <c r="L25" s="11"/>
      <c r="M25" s="24"/>
      <c r="N25" s="12"/>
      <c r="O25" s="11"/>
      <c r="Q25" s="42"/>
      <c r="S25" s="30">
        <f t="shared" si="0"/>
        <v>45336</v>
      </c>
      <c r="T25" s="28">
        <f>SUMIFS(Table4420121[Amount],Table4420121[Date],S25,Table4420121[Category],Table136115[[#Headers],[Income]])+SUMIFS(Table44120[Amount],Table44120[Date],S25,Table44120[Category],Table136115[[#Headers],[Income]])</f>
        <v>0</v>
      </c>
      <c r="U25" s="28">
        <f>SUMIFS(Table4114[Amount],Table4114[Date],S25,Table4114[Category],"&lt;&gt;"&amp;Table136115[[#Headers],[Income]])+SUMIFS(Table44120[Amount],Table44120[Date],S25,Table44120[Category],"&lt;&gt;"&amp;Table136115[[#Headers],[Income]])</f>
        <v>0</v>
      </c>
      <c r="V25" s="28">
        <f t="shared" si="1"/>
        <v>1156.74</v>
      </c>
      <c r="W25" s="1">
        <f t="shared" si="2"/>
        <v>1156.7400000000005</v>
      </c>
    </row>
    <row r="26" spans="2:23">
      <c r="B26" s="32"/>
      <c r="D26" s="2"/>
      <c r="E26" s="2">
        <f>SUMIFS(Table4114[Amount],Table4114[Category],Table1112[[#Headers],[Housing]],Table4114[Sub-Category],Table1112[[#This Row],[Housing]])+SUMIFS(Table44120[Amount],Table44120[Category],Table1112[[#Headers],[Housing]],Table44120[Sub-Category],Table1112[[#This Row],[Housing]])</f>
        <v>0</v>
      </c>
      <c r="F26" s="3">
        <f>Table1112[[#This Row],[Budget]]-Table1112[[#This Row],[Actual]]</f>
        <v>0</v>
      </c>
      <c r="G26" s="32"/>
      <c r="H26" s="42"/>
      <c r="J26" s="11"/>
      <c r="K26" s="11"/>
      <c r="L26" s="11"/>
      <c r="M26" s="24"/>
      <c r="N26" s="12"/>
      <c r="O26" s="11"/>
      <c r="Q26" s="42"/>
      <c r="S26" s="27">
        <f t="shared" si="0"/>
        <v>45337</v>
      </c>
      <c r="T26" s="29">
        <f>SUMIFS(Table4420121[Amount],Table4420121[Date],S26,Table4420121[Category],Table136115[[#Headers],[Income]])+SUMIFS(Table44120[Amount],Table44120[Date],S26,Table44120[Category],Table136115[[#Headers],[Income]])</f>
        <v>0</v>
      </c>
      <c r="U26" s="29">
        <f>SUMIFS(Table4114[Amount],Table4114[Date],S26,Table4114[Category],"&lt;&gt;"&amp;Table136115[[#Headers],[Income]])+SUMIFS(Table44120[Amount],Table44120[Date],S26,Table44120[Category],"&lt;&gt;"&amp;Table136115[[#Headers],[Income]])</f>
        <v>0</v>
      </c>
      <c r="V26" s="29">
        <f t="shared" si="1"/>
        <v>1156.74</v>
      </c>
      <c r="W26" s="1">
        <f t="shared" si="2"/>
        <v>1156.7400000000005</v>
      </c>
    </row>
    <row r="27" spans="2:23">
      <c r="B27" s="32"/>
      <c r="D27" s="2"/>
      <c r="E27" s="2">
        <f>SUMIFS(Table4114[Amount],Table4114[Category],Table1112[[#Headers],[Housing]],Table4114[Sub-Category],Table1112[[#This Row],[Housing]])+SUMIFS(Table44120[Amount],Table44120[Category],Table1112[[#Headers],[Housing]],Table44120[Sub-Category],Table1112[[#This Row],[Housing]])</f>
        <v>0</v>
      </c>
      <c r="F27" s="3">
        <f>Table1112[[#This Row],[Budget]]-Table1112[[#This Row],[Actual]]</f>
        <v>0</v>
      </c>
      <c r="G27" s="36"/>
      <c r="H27" s="43"/>
      <c r="I27" s="2"/>
      <c r="J27" s="11"/>
      <c r="K27" s="11"/>
      <c r="L27" s="11"/>
      <c r="M27" s="24"/>
      <c r="N27" s="12"/>
      <c r="O27" s="11"/>
      <c r="Q27" s="43"/>
      <c r="S27" s="30">
        <f t="shared" si="0"/>
        <v>45338</v>
      </c>
      <c r="T27" s="28">
        <f>SUMIFS(Table4420121[Amount],Table4420121[Date],S27,Table4420121[Category],Table136115[[#Headers],[Income]])+SUMIFS(Table44120[Amount],Table44120[Date],S27,Table44120[Category],Table136115[[#Headers],[Income]])</f>
        <v>0</v>
      </c>
      <c r="U27" s="28">
        <f>SUMIFS(Table4114[Amount],Table4114[Date],S27,Table4114[Category],"&lt;&gt;"&amp;Table136115[[#Headers],[Income]])+SUMIFS(Table44120[Amount],Table44120[Date],S27,Table44120[Category],"&lt;&gt;"&amp;Table136115[[#Headers],[Income]])</f>
        <v>0</v>
      </c>
      <c r="V27" s="28">
        <f t="shared" si="1"/>
        <v>1156.74</v>
      </c>
      <c r="W27" s="1">
        <f t="shared" si="2"/>
        <v>1156.7400000000005</v>
      </c>
    </row>
    <row r="28" spans="2:23">
      <c r="B28" s="32"/>
      <c r="C28" s="11"/>
      <c r="D28" s="12"/>
      <c r="E28" s="13">
        <f>SUMIFS(Table4114[Amount],Table4114[Category],Table1112[[#Headers],[Housing]],Table4114[Sub-Category],Table1112[[#This Row],[Housing]])+SUMIFS(Table44120[Amount],Table44120[Category],Table1112[[#Headers],[Housing]],Table44120[Sub-Category],Table1112[[#This Row],[Housing]])</f>
        <v>0</v>
      </c>
      <c r="F28" s="13">
        <f>Table1112[[#This Row],[Budget]]-Table1112[[#This Row],[Actual]]</f>
        <v>0</v>
      </c>
      <c r="G28" s="36"/>
      <c r="H28" s="43"/>
      <c r="I28" s="2"/>
      <c r="J28" s="11"/>
      <c r="K28" s="11"/>
      <c r="L28" s="11"/>
      <c r="M28" s="24"/>
      <c r="N28" s="12"/>
      <c r="O28" s="11"/>
      <c r="Q28" s="43"/>
      <c r="S28" s="27">
        <f t="shared" si="0"/>
        <v>45339</v>
      </c>
      <c r="T28" s="29">
        <f>SUMIFS(Table4420121[Amount],Table4420121[Date],S28,Table4420121[Category],Table136115[[#Headers],[Income]])+SUMIFS(Table44120[Amount],Table44120[Date],S28,Table44120[Category],Table136115[[#Headers],[Income]])</f>
        <v>0</v>
      </c>
      <c r="U28" s="29">
        <f>SUMIFS(Table4114[Amount],Table4114[Date],S28,Table4114[Category],"&lt;&gt;"&amp;Table136115[[#Headers],[Income]])+SUMIFS(Table44120[Amount],Table44120[Date],S28,Table44120[Category],"&lt;&gt;"&amp;Table136115[[#Headers],[Income]])</f>
        <v>0</v>
      </c>
      <c r="V28" s="29">
        <f t="shared" si="1"/>
        <v>1156.74</v>
      </c>
      <c r="W28" s="1">
        <f t="shared" si="2"/>
        <v>1156.7400000000005</v>
      </c>
    </row>
    <row r="29" spans="2:23">
      <c r="B29" s="32"/>
      <c r="C29" s="9" t="s">
        <v>20</v>
      </c>
      <c r="D29" s="10">
        <f>SUBTOTAL(109,Table1112[Budget])</f>
        <v>0</v>
      </c>
      <c r="E29" s="10">
        <f>SUBTOTAL(109,Table1112[Actual])</f>
        <v>0</v>
      </c>
      <c r="F29" s="10">
        <f>SUBTOTAL(109,Table1112[Variance])</f>
        <v>0</v>
      </c>
      <c r="G29" s="32"/>
      <c r="H29" s="42"/>
      <c r="J29" s="11"/>
      <c r="K29" s="11"/>
      <c r="L29" s="11"/>
      <c r="M29" s="24"/>
      <c r="N29" s="12"/>
      <c r="O29" s="11"/>
      <c r="Q29" s="42"/>
      <c r="S29" s="30">
        <f t="shared" si="0"/>
        <v>45340</v>
      </c>
      <c r="T29" s="28">
        <f>SUMIFS(Table4420121[Amount],Table4420121[Date],S29,Table4420121[Category],Table136115[[#Headers],[Income]])+SUMIFS(Table44120[Amount],Table44120[Date],S29,Table44120[Category],Table136115[[#Headers],[Income]])</f>
        <v>0</v>
      </c>
      <c r="U29" s="28">
        <f>SUMIFS(Table4114[Amount],Table4114[Date],S29,Table4114[Category],"&lt;&gt;"&amp;Table136115[[#Headers],[Income]])+SUMIFS(Table44120[Amount],Table44120[Date],S29,Table44120[Category],"&lt;&gt;"&amp;Table136115[[#Headers],[Income]])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45341</v>
      </c>
      <c r="T30" s="29">
        <f>SUMIFS(Table4420121[Amount],Table4420121[Date],S30,Table4420121[Category],Table136115[[#Headers],[Income]])+SUMIFS(Table44120[Amount],Table44120[Date],S30,Table44120[Category],Table136115[[#Headers],[Income]])</f>
        <v>0</v>
      </c>
      <c r="U30" s="29">
        <f>SUMIFS(Table4114[Amount],Table4114[Date],S30,Table4114[Category],"&lt;&gt;"&amp;Table136115[[#Headers],[Income]])+SUMIFS(Table44120[Amount],Table44120[Date],S30,Table44120[Category],"&lt;&gt;"&amp;Table136115[[#Headers],[Income]])</f>
        <v>0</v>
      </c>
      <c r="V30" s="29">
        <f t="shared" si="1"/>
        <v>1156.74</v>
      </c>
      <c r="W30" s="1">
        <f t="shared" si="2"/>
        <v>1156.7400000000005</v>
      </c>
    </row>
    <row r="31" spans="2:23">
      <c r="B31" s="32"/>
      <c r="C31" s="37" t="str">
        <f>CONCATENATE(Table13113[[#Headers],[Transportation]]," - Budget &amp; Tracking")</f>
        <v>Transportation - Budget &amp; Tracking</v>
      </c>
      <c r="D31" s="38"/>
      <c r="E31" s="38"/>
      <c r="F31" s="39"/>
      <c r="G31" s="32"/>
      <c r="H31" s="42"/>
      <c r="J31" s="11"/>
      <c r="K31" s="11"/>
      <c r="L31" s="11"/>
      <c r="M31" s="24"/>
      <c r="N31" s="12"/>
      <c r="O31" s="11"/>
      <c r="Q31" s="42"/>
      <c r="S31" s="30">
        <f t="shared" si="0"/>
        <v>45342</v>
      </c>
      <c r="T31" s="28">
        <f>SUMIFS(Table4420121[Amount],Table4420121[Date],S31,Table4420121[Category],Table136115[[#Headers],[Income]])+SUMIFS(Table44120[Amount],Table44120[Date],S31,Table44120[Category],Table136115[[#Headers],[Income]])</f>
        <v>0</v>
      </c>
      <c r="U31" s="28">
        <f>SUMIFS(Table4114[Amount],Table4114[Date],S31,Table4114[Category],"&lt;&gt;"&amp;Table136115[[#Headers],[Income]])+SUMIFS(Table44120[Amount],Table44120[Date],S31,Table44120[Category],"&lt;&gt;"&amp;Table136115[[#Headers],[Income]])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45343</v>
      </c>
      <c r="T32" s="29">
        <f>SUMIFS(Table4420121[Amount],Table4420121[Date],S32,Table4420121[Category],Table136115[[#Headers],[Income]])+SUMIFS(Table44120[Amount],Table44120[Date],S32,Table44120[Category],Table136115[[#Headers],[Income]])</f>
        <v>0</v>
      </c>
      <c r="U32" s="29">
        <f>SUMIFS(Table4114[Amount],Table4114[Date],S32,Table4114[Category],"&lt;&gt;"&amp;Table136115[[#Headers],[Income]])+SUMIFS(Table44120[Amount],Table44120[Date],S32,Table44120[Category],"&lt;&gt;"&amp;Table136115[[#Headers],[Income]])</f>
        <v>0</v>
      </c>
      <c r="V32" s="29">
        <f t="shared" si="1"/>
        <v>1156.74</v>
      </c>
      <c r="W32" s="1">
        <f t="shared" si="2"/>
        <v>1156.7400000000005</v>
      </c>
    </row>
    <row r="33" spans="2:23">
      <c r="B33" s="32"/>
      <c r="D33" s="2"/>
      <c r="E33" s="2">
        <f>SUMIFS(Table4114[Amount],Table4114[Category],Table13113[[#Headers],[Transportation]],Table4114[Sub-Category],Table13113[[#This Row],[Transportation]])+SUMIFS(Table44120[Amount],Table44120[Category],Table13113[[#Headers],[Transportation]],Table44120[Sub-Category],Table13113[[#This Row],[Transportation]])</f>
        <v>0</v>
      </c>
      <c r="F33" s="3">
        <f>Table13113[[#This Row],[Budget]]-Table13113[[#This Row],[Actual]]</f>
        <v>0</v>
      </c>
      <c r="G33" s="32"/>
      <c r="H33" s="42"/>
      <c r="J33" s="37" t="s">
        <v>44</v>
      </c>
      <c r="K33" s="38"/>
      <c r="L33" s="38"/>
      <c r="M33" s="38"/>
      <c r="N33" s="38"/>
      <c r="O33" s="39"/>
      <c r="Q33" s="42"/>
      <c r="S33" s="30">
        <f t="shared" si="0"/>
        <v>45344</v>
      </c>
      <c r="T33" s="28">
        <f>SUMIFS(Table4420121[Amount],Table4420121[Date],S33,Table4420121[Category],Table136115[[#Headers],[Income]])+SUMIFS(Table44120[Amount],Table44120[Date],S33,Table44120[Category],Table136115[[#Headers],[Income]])</f>
        <v>0</v>
      </c>
      <c r="U33" s="28">
        <f>SUMIFS(Table4114[Amount],Table4114[Date],S33,Table4114[Category],"&lt;&gt;"&amp;Table136115[[#Headers],[Income]])+SUMIFS(Table44120[Amount],Table44120[Date],S33,Table44120[Category],"&lt;&gt;"&amp;Table136115[[#Headers],[Income]])</f>
        <v>0</v>
      </c>
      <c r="V33" s="28">
        <f t="shared" si="1"/>
        <v>1156.74</v>
      </c>
      <c r="W33" s="1">
        <f t="shared" si="2"/>
        <v>1156.7400000000005</v>
      </c>
    </row>
    <row r="34" spans="2:23">
      <c r="B34" s="32"/>
      <c r="D34" s="2"/>
      <c r="E34" s="2">
        <f>SUMIFS(Table4114[Amount],Table4114[Category],Table13113[[#Headers],[Transportation]],Table4114[Sub-Category],Table13113[[#This Row],[Transportation]])+SUMIFS(Table44120[Amount],Table44120[Category],Table13113[[#Headers],[Transportation]],Table44120[Sub-Category],Table13113[[#This Row],[Transportation]])</f>
        <v>0</v>
      </c>
      <c r="F34" s="3">
        <f>Table13113[[#This Row],[Budget]]-Table13113[[#This Row],[Actual]]</f>
        <v>0</v>
      </c>
      <c r="G34" s="32"/>
      <c r="H34" s="42"/>
      <c r="J34" s="31" t="s">
        <v>9</v>
      </c>
      <c r="K34" s="31" t="s">
        <v>0</v>
      </c>
      <c r="L34" s="31" t="s">
        <v>13</v>
      </c>
      <c r="M34" s="31" t="s">
        <v>10</v>
      </c>
      <c r="N34" s="31" t="s">
        <v>11</v>
      </c>
      <c r="O34" s="31" t="s">
        <v>16</v>
      </c>
      <c r="Q34" s="42"/>
      <c r="S34" s="27">
        <f t="shared" si="0"/>
        <v>45345</v>
      </c>
      <c r="T34" s="29">
        <f>SUMIFS(Table4420121[Amount],Table4420121[Date],S34,Table4420121[Category],Table136115[[#Headers],[Income]])+SUMIFS(Table44120[Amount],Table44120[Date],S34,Table44120[Category],Table136115[[#Headers],[Income]])</f>
        <v>0</v>
      </c>
      <c r="U34" s="29">
        <f>SUMIFS(Table4114[Amount],Table4114[Date],S34,Table4114[Category],"&lt;&gt;"&amp;Table136115[[#Headers],[Income]])+SUMIFS(Table44120[Amount],Table44120[Date],S34,Table44120[Category],"&lt;&gt;"&amp;Table136115[[#Headers],[Income]])</f>
        <v>0</v>
      </c>
      <c r="V34" s="29">
        <f t="shared" si="1"/>
        <v>1156.74</v>
      </c>
      <c r="W34" s="1">
        <f t="shared" si="2"/>
        <v>1156.7400000000005</v>
      </c>
    </row>
    <row r="35" spans="2:23">
      <c r="B35" s="32"/>
      <c r="C35" s="11"/>
      <c r="D35" s="12"/>
      <c r="E35" s="13">
        <f>SUMIFS(Table4114[Amount],Table4114[Category],Table13113[[#Headers],[Transportation]],Table4114[Sub-Category],Table13113[[#This Row],[Transportation]])+SUMIFS(Table44120[Amount],Table44120[Category],Table13113[[#Headers],[Transportation]],Table44120[Sub-Category],Table13113[[#This Row],[Transportation]])</f>
        <v>0</v>
      </c>
      <c r="F35" s="13">
        <f>Table13113[[#This Row],[Budget]]-Table13113[[#This Row],[Actual]]</f>
        <v>0</v>
      </c>
      <c r="G35" s="32"/>
      <c r="H35" s="42"/>
      <c r="M35" s="4"/>
      <c r="N35" s="2"/>
      <c r="Q35" s="42"/>
      <c r="S35" s="30">
        <f t="shared" si="0"/>
        <v>45346</v>
      </c>
      <c r="T35" s="28">
        <f>SUMIFS(Table4420121[Amount],Table4420121[Date],S35,Table4420121[Category],Table136115[[#Headers],[Income]])+SUMIFS(Table44120[Amount],Table44120[Date],S35,Table44120[Category],Table136115[[#Headers],[Income]])</f>
        <v>0</v>
      </c>
      <c r="U35" s="28">
        <f>SUMIFS(Table4114[Amount],Table4114[Date],S35,Table4114[Category],"&lt;&gt;"&amp;Table136115[[#Headers],[Income]])+SUMIFS(Table44120[Amount],Table44120[Date],S35,Table44120[Category],"&lt;&gt;"&amp;Table136115[[#Headers],[Income]])</f>
        <v>0</v>
      </c>
      <c r="V35" s="28">
        <f t="shared" si="1"/>
        <v>1156.74</v>
      </c>
      <c r="W35" s="1">
        <f t="shared" si="2"/>
        <v>1156.7400000000005</v>
      </c>
    </row>
    <row r="36" spans="2:23">
      <c r="B36" s="32"/>
      <c r="C36" s="11"/>
      <c r="D36" s="12"/>
      <c r="E36" s="13">
        <f>SUMIFS(Table4114[Amount],Table4114[Category],Table13113[[#Headers],[Transportation]],Table4114[Sub-Category],Table13113[[#This Row],[Transportation]])+SUMIFS(Table44120[Amount],Table44120[Category],Table13113[[#Headers],[Transportation]],Table44120[Sub-Category],Table13113[[#This Row],[Transportation]])</f>
        <v>0</v>
      </c>
      <c r="F36" s="13">
        <f>Table13113[[#This Row],[Budget]]-Table13113[[#This Row],[Actual]]</f>
        <v>0</v>
      </c>
      <c r="G36" s="32"/>
      <c r="H36" s="42"/>
      <c r="M36" s="4"/>
      <c r="N36" s="2"/>
      <c r="Q36" s="42"/>
      <c r="S36" s="27">
        <f t="shared" si="0"/>
        <v>45347</v>
      </c>
      <c r="T36" s="29">
        <f>SUMIFS(Table4420121[Amount],Table4420121[Date],S36,Table4420121[Category],Table136115[[#Headers],[Income]])+SUMIFS(Table44120[Amount],Table44120[Date],S36,Table44120[Category],Table136115[[#Headers],[Income]])</f>
        <v>0</v>
      </c>
      <c r="U36" s="29">
        <f>SUMIFS(Table4114[Amount],Table4114[Date],S36,Table4114[Category],"&lt;&gt;"&amp;Table136115[[#Headers],[Income]])+SUMIFS(Table44120[Amount],Table44120[Date],S36,Table44120[Category],"&lt;&gt;"&amp;Table136115[[#Headers],[Income]])</f>
        <v>0</v>
      </c>
      <c r="V36" s="29">
        <f t="shared" si="1"/>
        <v>1156.74</v>
      </c>
      <c r="W36" s="1">
        <f t="shared" si="2"/>
        <v>1156.7400000000005</v>
      </c>
    </row>
    <row r="37" spans="2:23">
      <c r="B37" s="32"/>
      <c r="C37" s="9" t="s">
        <v>20</v>
      </c>
      <c r="D37" s="10">
        <f>SUBTOTAL(109,Table13113[Budget])</f>
        <v>0</v>
      </c>
      <c r="E37" s="10">
        <f>SUBTOTAL(109,Table13113[Actual])</f>
        <v>0</v>
      </c>
      <c r="F37" s="10">
        <f>SUBTOTAL(109,Table13113[Variance])</f>
        <v>0</v>
      </c>
      <c r="G37" s="32"/>
      <c r="H37" s="42"/>
      <c r="M37" s="4"/>
      <c r="N37" s="2"/>
      <c r="Q37" s="42"/>
      <c r="S37" s="30">
        <f t="shared" si="0"/>
        <v>45348</v>
      </c>
      <c r="T37" s="28">
        <f>SUMIFS(Table4420121[Amount],Table4420121[Date],S37,Table4420121[Category],Table136115[[#Headers],[Income]])+SUMIFS(Table44120[Amount],Table44120[Date],S37,Table44120[Category],Table136115[[#Headers],[Income]])</f>
        <v>0</v>
      </c>
      <c r="U37" s="28">
        <f>SUMIFS(Table4114[Amount],Table4114[Date],S37,Table4114[Category],"&lt;&gt;"&amp;Table136115[[#Headers],[Income]])+SUMIFS(Table44120[Amount],Table44120[Date],S37,Table44120[Category],"&lt;&gt;"&amp;Table136115[[#Headers],[Income]])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45349</v>
      </c>
      <c r="T38" s="29">
        <f>SUMIFS(Table4420121[Amount],Table4420121[Date],S38,Table4420121[Category],Table136115[[#Headers],[Income]])+SUMIFS(Table44120[Amount],Table44120[Date],S38,Table44120[Category],Table136115[[#Headers],[Income]])</f>
        <v>0</v>
      </c>
      <c r="U38" s="29">
        <f>SUMIFS(Table4114[Amount],Table4114[Date],S38,Table4114[Category],"&lt;&gt;"&amp;Table136115[[#Headers],[Income]])+SUMIFS(Table44120[Amount],Table44120[Date],S38,Table44120[Category],"&lt;&gt;"&amp;Table136115[[#Headers],[Income]])</f>
        <v>0</v>
      </c>
      <c r="V38" s="29">
        <f t="shared" si="1"/>
        <v>1156.74</v>
      </c>
      <c r="W38" s="1">
        <f t="shared" si="2"/>
        <v>1156.7400000000005</v>
      </c>
    </row>
    <row r="39" spans="2:23">
      <c r="B39" s="32"/>
      <c r="C39" s="37" t="str">
        <f>CONCATENATE(Table13910119[[#Headers],[Bills]]," - Budget &amp; Tracking")</f>
        <v>Bills - Budget &amp; Tracking</v>
      </c>
      <c r="D39" s="38"/>
      <c r="E39" s="38"/>
      <c r="F39" s="39"/>
      <c r="G39" s="32"/>
      <c r="H39" s="42"/>
      <c r="J39" s="11"/>
      <c r="K39" s="11"/>
      <c r="L39" s="11"/>
      <c r="M39" s="24"/>
      <c r="N39" s="12"/>
      <c r="O39" s="11"/>
      <c r="Q39" s="42"/>
      <c r="S39" s="30">
        <f t="shared" si="0"/>
        <v>45350</v>
      </c>
      <c r="T39" s="28">
        <f>SUMIFS(Table4420121[Amount],Table4420121[Date],S39,Table4420121[Category],Table136115[[#Headers],[Income]])+SUMIFS(Table44120[Amount],Table44120[Date],S39,Table44120[Category],Table136115[[#Headers],[Income]])</f>
        <v>0</v>
      </c>
      <c r="U39" s="28">
        <f>SUMIFS(Table4114[Amount],Table4114[Date],S39,Table4114[Category],"&lt;&gt;"&amp;Table136115[[#Headers],[Income]])+SUMIFS(Table44120[Amount],Table44120[Date],S39,Table44120[Category],"&lt;&gt;"&amp;Table136115[[#Headers],[Income]])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45351</v>
      </c>
      <c r="T40" s="29">
        <f>SUMIFS(Table4420121[Amount],Table4420121[Date],S40,Table4420121[Category],Table136115[[#Headers],[Income]])+SUMIFS(Table44120[Amount],Table44120[Date],S40,Table44120[Category],Table136115[[#Headers],[Income]])</f>
        <v>0</v>
      </c>
      <c r="U40" s="29">
        <f>SUMIFS(Table4114[Amount],Table4114[Date],S40,Table4114[Category],"&lt;&gt;"&amp;Table136115[[#Headers],[Income]])+SUMIFS(Table44120[Amount],Table44120[Date],S40,Table44120[Category],"&lt;&gt;"&amp;Table136115[[#Headers],[Income]])</f>
        <v>0</v>
      </c>
      <c r="V40" s="29">
        <f t="shared" si="1"/>
        <v>1156.74</v>
      </c>
      <c r="W40" s="1">
        <f t="shared" si="2"/>
        <v>1156.7400000000005</v>
      </c>
    </row>
    <row r="41" spans="2:23">
      <c r="B41" s="32"/>
      <c r="D41" s="2"/>
      <c r="E41" s="2">
        <f>SUMIFS(Table4114[Amount],Table4114[Category],Table13910119[[#Headers],[Bills]],Table4114[Sub-Category],Table13910119[[#This Row],[Bills]])+SUMIFS(Table44120[Amount],Table44120[Category],Table13910119[[#Headers],[Bills]],Table44120[Sub-Category],Table13910119[[#This Row],[Bills]])</f>
        <v>0</v>
      </c>
      <c r="F41" s="3">
        <f>Table13910119[[#This Row],[Budget]]-Table13910119[[#This Row],[Actual]]</f>
        <v>0</v>
      </c>
      <c r="G41" s="32"/>
      <c r="H41" s="42"/>
      <c r="Q41" s="42"/>
      <c r="S41" s="30">
        <f t="shared" si="0"/>
        <v>45352</v>
      </c>
      <c r="T41" s="28">
        <f>SUMIFS(Table4420121[Amount],Table4420121[Date],S41,Table4420121[Category],Table136115[[#Headers],[Income]])+SUMIFS(Table44120[Amount],Table44120[Date],S41,Table44120[Category],Table136115[[#Headers],[Income]])</f>
        <v>0</v>
      </c>
      <c r="U41" s="28">
        <f>SUMIFS(Table4114[Amount],Table4114[Date],S41,Table4114[Category],"&lt;&gt;"&amp;Table136115[[#Headers],[Income]])+SUMIFS(Table44120[Amount],Table44120[Date],S41,Table44120[Category],"&lt;&gt;"&amp;Table136115[[#Headers],[Income]])</f>
        <v>0</v>
      </c>
      <c r="V41" s="28">
        <f t="shared" si="1"/>
        <v>1156.74</v>
      </c>
      <c r="W41" s="1">
        <f t="shared" si="2"/>
        <v>1156.7400000000005</v>
      </c>
    </row>
    <row r="42" spans="2:23">
      <c r="B42" s="32"/>
      <c r="D42" s="2"/>
      <c r="E42" s="2">
        <f>SUMIFS(Table4114[Amount],Table4114[Category],Table13910119[[#Headers],[Bills]],Table4114[Sub-Category],Table13910119[[#This Row],[Bills]])+SUMIFS(Table44120[Amount],Table44120[Category],Table13910119[[#Headers],[Bills]],Table44120[Sub-Category],Table13910119[[#This Row],[Bills]])</f>
        <v>0</v>
      </c>
      <c r="F42" s="3">
        <f>Table13910119[[#This Row],[Budget]]-Table13910119[[#This Row],[Actual]]</f>
        <v>0</v>
      </c>
      <c r="G42" s="32"/>
      <c r="H42" s="42"/>
      <c r="Q42" s="42"/>
      <c r="S42" s="27">
        <f t="shared" si="0"/>
        <v>45353</v>
      </c>
      <c r="T42" s="29">
        <f>SUMIFS(Table4420121[Amount],Table4420121[Date],S42,Table4420121[Category],Table136115[[#Headers],[Income]])+SUMIFS(Table44120[Amount],Table44120[Date],S42,Table44120[Category],Table136115[[#Headers],[Income]])</f>
        <v>0</v>
      </c>
      <c r="U42" s="29">
        <f>SUMIFS(Table4114[Amount],Table4114[Date],S42,Table4114[Category],"&lt;&gt;"&amp;Table136115[[#Headers],[Income]])+SUMIFS(Table44120[Amount],Table44120[Date],S42,Table44120[Category],"&lt;&gt;"&amp;Table136115[[#Headers],[Income]])</f>
        <v>0</v>
      </c>
      <c r="V42" s="29">
        <f t="shared" si="1"/>
        <v>1156.74</v>
      </c>
      <c r="W42" s="1">
        <f t="shared" si="2"/>
        <v>1156.7400000000005</v>
      </c>
    </row>
    <row r="43" spans="2:23">
      <c r="B43" s="32"/>
      <c r="C43" s="11"/>
      <c r="D43" s="12"/>
      <c r="E43" s="13">
        <f>SUMIFS(Table4114[Amount],Table4114[Category],Table13910119[[#Headers],[Bills]],Table4114[Sub-Category],Table13910119[[#This Row],[Bills]])+SUMIFS(Table44120[Amount],Table44120[Category],Table13910119[[#Headers],[Bills]],Table44120[Sub-Category],Table13910119[[#This Row],[Bills]])</f>
        <v>0</v>
      </c>
      <c r="F43" s="13">
        <f>Table13910119[[#This Row],[Budget]]-Table13910119[[#This Row],[Actual]]</f>
        <v>0</v>
      </c>
      <c r="G43" s="32"/>
      <c r="H43" s="42"/>
      <c r="Q43" s="42"/>
      <c r="S43" s="8"/>
    </row>
    <row r="44" spans="2:23">
      <c r="B44" s="32"/>
      <c r="C44" s="11"/>
      <c r="D44" s="12"/>
      <c r="E44" s="13">
        <f>SUMIFS(Table4114[Amount],Table4114[Category],Table13910119[[#Headers],[Bills]],Table4114[Sub-Category],Table13910119[[#This Row],[Bills]])+SUMIFS(Table44120[Amount],Table44120[Category],Table13910119[[#Headers],[Bills]],Table44120[Sub-Category],Table13910119[[#This Row],[Bills]])</f>
        <v>0</v>
      </c>
      <c r="F44" s="13">
        <f>Table13910119[[#This Row],[Budget]]-Table13910119[[#This Row],[Actual]]</f>
        <v>0</v>
      </c>
      <c r="G44" s="32"/>
      <c r="H44" s="42"/>
      <c r="Q44" s="42"/>
      <c r="S44" s="8"/>
    </row>
    <row r="45" spans="2:23">
      <c r="B45" s="32"/>
      <c r="C45" s="11"/>
      <c r="D45" s="12"/>
      <c r="E45" s="13">
        <f>SUMIFS(Table4114[Amount],Table4114[Category],Table13910119[[#Headers],[Bills]],Table4114[Sub-Category],Table13910119[[#This Row],[Bills]])+SUMIFS(Table44120[Amount],Table44120[Category],Table13910119[[#Headers],[Bills]],Table44120[Sub-Category],Table13910119[[#This Row],[Bills]])</f>
        <v>0</v>
      </c>
      <c r="F45" s="13">
        <f>Table13910119[[#This Row],[Budget]]-Table13910119[[#This Row],[Actual]]</f>
        <v>0</v>
      </c>
      <c r="G45" s="32"/>
      <c r="H45" s="42"/>
      <c r="Q45" s="42"/>
    </row>
    <row r="46" spans="2:23">
      <c r="B46" s="32"/>
      <c r="C46" s="9" t="s">
        <v>20</v>
      </c>
      <c r="D46" s="10">
        <f>SUBTOTAL(109,Table13910119[Budget])</f>
        <v>0</v>
      </c>
      <c r="E46" s="10">
        <f>SUBTOTAL(109,Table13910119[Actual])</f>
        <v>0</v>
      </c>
      <c r="F46" s="10">
        <f>SUBTOTAL(109,Table13910119[Variance])</f>
        <v>0</v>
      </c>
      <c r="G46" s="32"/>
      <c r="H46" s="42"/>
      <c r="Q46" s="42"/>
    </row>
    <row r="47" spans="2:23">
      <c r="B47" s="32"/>
      <c r="C47" s="20"/>
      <c r="D47" s="21"/>
      <c r="E47" s="21"/>
      <c r="F47" s="22"/>
      <c r="G47" s="32"/>
      <c r="H47" s="42"/>
      <c r="Q47" s="42"/>
    </row>
    <row r="48" spans="2:23">
      <c r="B48" s="32"/>
      <c r="C48" s="37" t="str">
        <f>CONCATENATE(Table137116[[#Headers],[Living]],"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SUMIFS(Table4114[Amount],Table4114[Category],Table137116[[#Headers],[Living]],Table4114[Sub-Category],Table137116[[#This Row],[Living]])+SUMIFS(Table44120[Amount],Table44120[Category],Table137116[[#Headers],[Living]],Table44120[Sub-Category],Table137116[[#This Row],[Living]])</f>
        <v>0</v>
      </c>
      <c r="F50" s="3">
        <f>Table137116[[#This Row],[Budget]]-Table137116[[#This Row],[Actual]]</f>
        <v>0</v>
      </c>
      <c r="G50" s="32"/>
      <c r="H50" s="42"/>
      <c r="Q50" s="42"/>
    </row>
    <row r="51" spans="2:17">
      <c r="B51" s="32"/>
      <c r="D51" s="2"/>
      <c r="E51" s="2">
        <f>SUMIFS(Table4114[Amount],Table4114[Category],Table137116[[#Headers],[Living]],Table4114[Sub-Category],Table137116[[#This Row],[Living]])+SUMIFS(Table44120[Amount],Table44120[Category],Table137116[[#Headers],[Living]],Table44120[Sub-Category],Table137116[[#This Row],[Living]])</f>
        <v>0</v>
      </c>
      <c r="F51" s="3">
        <f>Table137116[[#This Row],[Budget]]-Table137116[[#This Row],[Actual]]</f>
        <v>0</v>
      </c>
      <c r="G51" s="32"/>
      <c r="H51" s="42"/>
      <c r="Q51" s="42"/>
    </row>
    <row r="52" spans="2:17">
      <c r="B52" s="32"/>
      <c r="C52" s="11"/>
      <c r="D52" s="12"/>
      <c r="E52" s="13">
        <f>SUMIFS(Table4114[Amount],Table4114[Category],Table137116[[#Headers],[Living]],Table4114[Sub-Category],Table137116[[#This Row],[Living]])+SUMIFS(Table44120[Amount],Table44120[Category],Table137116[[#Headers],[Living]],Table44120[Sub-Category],Table137116[[#This Row],[Living]])</f>
        <v>0</v>
      </c>
      <c r="F52" s="13">
        <f>Table137116[[#This Row],[Budget]]-Table137116[[#This Row],[Actual]]</f>
        <v>0</v>
      </c>
      <c r="G52" s="32"/>
      <c r="H52" s="42"/>
      <c r="Q52" s="42"/>
    </row>
    <row r="53" spans="2:17">
      <c r="B53" s="32"/>
      <c r="C53" s="11"/>
      <c r="D53" s="12"/>
      <c r="E53" s="13">
        <f>SUMIFS(Table4114[Amount],Table4114[Category],Table137116[[#Headers],[Living]],Table4114[Sub-Category],Table137116[[#This Row],[Living]])+SUMIFS(Table44120[Amount],Table44120[Category],Table137116[[#Headers],[Living]],Table44120[Sub-Category],Table137116[[#This Row],[Living]])</f>
        <v>0</v>
      </c>
      <c r="F53" s="13">
        <f>Table137116[[#This Row],[Budget]]-Table137116[[#This Row],[Actual]]</f>
        <v>0</v>
      </c>
      <c r="G53" s="32"/>
      <c r="H53" s="42"/>
      <c r="Q53" s="42"/>
    </row>
    <row r="54" spans="2:17">
      <c r="B54" s="32"/>
      <c r="C54" s="9" t="s">
        <v>20</v>
      </c>
      <c r="D54" s="10">
        <f>SUBTOTAL(109,Table137116[Budget])</f>
        <v>0</v>
      </c>
      <c r="E54" s="10">
        <f>SUBTOTAL(109,Table137116[Actual])</f>
        <v>0</v>
      </c>
      <c r="F54" s="10">
        <f>SUBTOTAL(109,Table137116[Variance])</f>
        <v>0</v>
      </c>
      <c r="G54" s="32"/>
      <c r="H54" s="42"/>
      <c r="Q54" s="42"/>
    </row>
    <row r="55" spans="2:17">
      <c r="B55" s="32"/>
      <c r="C55" s="20"/>
      <c r="D55" s="21"/>
      <c r="E55" s="21"/>
      <c r="F55" s="22"/>
      <c r="G55" s="32"/>
      <c r="H55" s="42"/>
      <c r="Q55" s="42"/>
    </row>
    <row r="56" spans="2:17">
      <c r="B56" s="32"/>
      <c r="C56" s="37" t="str">
        <f>CONCATENATE(Table138117[[#Headers],[Entertainment]],"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SUMIFS(Table4114[Amount],Table4114[Category],Table138117[[#Headers],[Entertainment]],Table4114[Sub-Category],Table138117[[#This Row],[Entertainment]])+SUMIFS(Table44120[Amount],Table44120[Category],Table138117[[#Headers],[Entertainment]],Table44120[Sub-Category],Table138117[[#This Row],[Entertainment]])</f>
        <v>0</v>
      </c>
      <c r="F58" s="3">
        <f>Table138117[[#This Row],[Budget]]-Table138117[[#This Row],[Actual]]</f>
        <v>0</v>
      </c>
      <c r="G58" s="32"/>
      <c r="H58" s="42"/>
      <c r="Q58" s="42"/>
    </row>
    <row r="59" spans="2:17">
      <c r="B59" s="33"/>
      <c r="D59" s="2"/>
      <c r="E59" s="2">
        <f>SUMIFS(Table4114[Amount],Table4114[Category],Table138117[[#Headers],[Entertainment]],Table4114[Sub-Category],Table138117[[#This Row],[Entertainment]])+SUMIFS(Table44120[Amount],Table44120[Category],Table138117[[#Headers],[Entertainment]],Table44120[Sub-Category],Table138117[[#This Row],[Entertainment]])</f>
        <v>0</v>
      </c>
      <c r="F59" s="3">
        <f>Table138117[[#This Row],[Budget]]-Table138117[[#This Row],[Actual]]</f>
        <v>0</v>
      </c>
      <c r="G59" s="33"/>
      <c r="H59" s="42"/>
      <c r="Q59" s="42"/>
    </row>
    <row r="60" spans="2:17">
      <c r="C60" s="9" t="s">
        <v>20</v>
      </c>
      <c r="D60" s="10">
        <f>SUBTOTAL(109,Table138117[Budget])</f>
        <v>0</v>
      </c>
      <c r="E60" s="10">
        <f>SUBTOTAL(109,Table138117[Actual])</f>
        <v>0</v>
      </c>
      <c r="F60" s="10">
        <f>SUBTOTAL(109,Table138117[Variance])</f>
        <v>0</v>
      </c>
      <c r="H60" s="42"/>
      <c r="Q60" s="42"/>
    </row>
    <row r="61" spans="2:17">
      <c r="C61" s="26"/>
      <c r="D61" s="23"/>
      <c r="E61" s="23"/>
      <c r="F61" s="23"/>
      <c r="H61" s="42"/>
      <c r="Q61" s="42"/>
    </row>
    <row r="62" spans="2:17">
      <c r="C62" s="37" t="str">
        <f>CONCATENATE(Table139118[[#Headers],[Misc.]],"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SUMIFS(Table4114[Amount],Table4114[Category],Table139118[[#Headers],[Misc.]],Table4114[Sub-Category],Table139118[[#This Row],[Misc.]])+SUMIFS(Table44120[Amount],Table44120[Category],Table139118[[#Headers],[Misc.]],Table44120[Sub-Category],Table139118[[#This Row],[Misc.]])</f>
        <v>0</v>
      </c>
      <c r="F64" s="13">
        <f>Table139118[[#This Row],[Budget]]-Table139118[[#This Row],[Actual]]</f>
        <v>0</v>
      </c>
      <c r="H64" s="42"/>
      <c r="Q64" s="42"/>
    </row>
    <row r="65" spans="3:17">
      <c r="C65" s="11"/>
      <c r="D65" s="12"/>
      <c r="E65" s="13">
        <f>SUMIFS(Table4114[Amount],Table4114[Category],Table139118[[#Headers],[Misc.]],Table4114[Sub-Category],Table139118[[#This Row],[Misc.]])+SUMIFS(Table44120[Amount],Table44120[Category],Table139118[[#Headers],[Misc.]],Table44120[Sub-Category],Table139118[[#This Row],[Misc.]])</f>
        <v>0</v>
      </c>
      <c r="F65" s="13">
        <f>Table139118[[#This Row],[Budget]]-Table139118[[#This Row],[Actual]]</f>
        <v>0</v>
      </c>
      <c r="H65" s="42"/>
      <c r="Q65" s="42"/>
    </row>
    <row r="66" spans="3:17">
      <c r="C66" s="9" t="s">
        <v>20</v>
      </c>
      <c r="D66" s="10">
        <f>SUBTOTAL(109,Table139118[Budget])</f>
        <v>0</v>
      </c>
      <c r="E66" s="10">
        <f>SUBTOTAL(109,Table139118[Actual])</f>
        <v>0</v>
      </c>
      <c r="F66" s="10">
        <f>SUBTOTAL(109,Table139118[Variance])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31" priority="16" operator="equal">
      <formula>TODAY()</formula>
    </cfRule>
  </conditionalFormatting>
  <conditionalFormatting sqref="T12 T20:U42">
    <cfRule type="expression" dxfId="30" priority="15">
      <formula>IF($S12=TODAY(),TRUE)</formula>
    </cfRule>
  </conditionalFormatting>
  <conditionalFormatting sqref="U12">
    <cfRule type="expression" dxfId="29" priority="14">
      <formula>IF($S12=TODAY(),TRUE)</formula>
    </cfRule>
  </conditionalFormatting>
  <conditionalFormatting sqref="V12 V20:V42">
    <cfRule type="expression" dxfId="28" priority="13">
      <formula>IF($S12=TODAY(),TRUE)</formula>
    </cfRule>
  </conditionalFormatting>
  <conditionalFormatting sqref="S13:S15">
    <cfRule type="cellIs" dxfId="27" priority="12" operator="equal">
      <formula>TODAY()</formula>
    </cfRule>
  </conditionalFormatting>
  <conditionalFormatting sqref="T13:T15">
    <cfRule type="expression" dxfId="26" priority="11">
      <formula>IF($S13=TODAY(),TRUE)</formula>
    </cfRule>
  </conditionalFormatting>
  <conditionalFormatting sqref="U13:U15">
    <cfRule type="expression" dxfId="25" priority="10">
      <formula>IF($S13=TODAY(),TRUE)</formula>
    </cfRule>
  </conditionalFormatting>
  <conditionalFormatting sqref="V13:V15">
    <cfRule type="expression" dxfId="24" priority="9">
      <formula>IF($S13=TODAY(),TRUE)</formula>
    </cfRule>
  </conditionalFormatting>
  <conditionalFormatting sqref="S16 S20 S24 S28 S32 S36 S40">
    <cfRule type="cellIs" dxfId="23" priority="8" operator="equal">
      <formula>TODAY()</formula>
    </cfRule>
  </conditionalFormatting>
  <conditionalFormatting sqref="T16">
    <cfRule type="expression" dxfId="22" priority="7">
      <formula>IF($S16=TODAY(),TRUE)</formula>
    </cfRule>
  </conditionalFormatting>
  <conditionalFormatting sqref="U16">
    <cfRule type="expression" dxfId="21" priority="6">
      <formula>IF($S16=TODAY(),TRUE)</formula>
    </cfRule>
  </conditionalFormatting>
  <conditionalFormatting sqref="V16">
    <cfRule type="expression" dxfId="20" priority="5">
      <formula>IF($S16=TODAY(),TRUE)</formula>
    </cfRule>
  </conditionalFormatting>
  <conditionalFormatting sqref="S17:S19 S21:S23 S25:S27 S29:S31 S33:S35 S37:S39 S41:S42">
    <cfRule type="cellIs" dxfId="19" priority="4" operator="equal">
      <formula>TODAY()</formula>
    </cfRule>
  </conditionalFormatting>
  <conditionalFormatting sqref="T17:T19">
    <cfRule type="expression" dxfId="18" priority="3">
      <formula>IF($S17=TODAY(),TRUE)</formula>
    </cfRule>
  </conditionalFormatting>
  <conditionalFormatting sqref="U17:U19">
    <cfRule type="expression" dxfId="17" priority="2">
      <formula>IF($S17=TODAY(),TRUE)</formula>
    </cfRule>
  </conditionalFormatting>
  <conditionalFormatting sqref="V17:V19">
    <cfRule type="expression" dxfId="16"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A00-000000000000}">
      <formula1>$U$2:$U$4</formula1>
    </dataValidation>
    <dataValidation type="list" allowBlank="1" showInputMessage="1" showErrorMessage="1" sqref="K35:K40 K19:K32 K12:K16" xr:uid="{00000000-0002-0000-0A00-000001000000}">
      <formula1>$R$2:$R$8</formula1>
    </dataValidation>
    <dataValidation type="list" allowBlank="1" showInputMessage="1" showErrorMessage="1" sqref="L35:L40 L12:L16 L19:L32" xr:uid="{00000000-0002-0000-0A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5884C8E2-59AC-4D33-B90D-C08A4DBEAAB2}">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37910DDC-CCD7-47D5-B803-7A8734E0A7FE}">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68"/>
  <sheetViews>
    <sheetView showGridLines="0" zoomScaleNormal="100" workbookViewId="0">
      <selection activeCell="J46" sqref="J46"/>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DATE(YEAR(Mo.11!C1),MONTH(Mo.11!C1)+1,DAY(Mo.11!C1))</f>
        <v>45352</v>
      </c>
      <c r="D1" s="61"/>
      <c r="E1" s="61"/>
      <c r="F1" s="61"/>
      <c r="R1" s="45" t="s">
        <v>0</v>
      </c>
      <c r="S1" s="45" t="s">
        <v>1</v>
      </c>
      <c r="T1" s="45" t="s">
        <v>2</v>
      </c>
      <c r="U1" s="45" t="s">
        <v>16</v>
      </c>
      <c r="V1" s="45" t="s">
        <v>45</v>
      </c>
    </row>
    <row r="2" spans="2:23">
      <c r="D2" s="18" t="s">
        <v>1</v>
      </c>
      <c r="E2" s="19" t="s">
        <v>2</v>
      </c>
      <c r="F2" s="19" t="s">
        <v>14</v>
      </c>
      <c r="R2" s="45" t="str">
        <f>Table136125[[#Headers],[Income]]</f>
        <v>Income</v>
      </c>
      <c r="S2" s="45">
        <f>SUM(Table136125[Budget])</f>
        <v>0</v>
      </c>
      <c r="T2" s="45">
        <f>SUM(Table136125[Actual])</f>
        <v>0</v>
      </c>
      <c r="U2" s="45" t="s">
        <v>19</v>
      </c>
      <c r="V2" s="45">
        <f>AVERAGE(V12:V42)</f>
        <v>1156.7400000000005</v>
      </c>
    </row>
    <row r="3" spans="2:23">
      <c r="C3" s="17" t="s">
        <v>35</v>
      </c>
      <c r="D3" s="5">
        <f>Mo.11!D6</f>
        <v>1156.74</v>
      </c>
      <c r="E3" s="14">
        <f>Mo.11!E6</f>
        <v>1156.74</v>
      </c>
      <c r="F3" s="14">
        <f>E3-D3</f>
        <v>0</v>
      </c>
      <c r="R3" s="45" t="str">
        <f>Table1122[[#Headers],[Housing]]</f>
        <v>Housing</v>
      </c>
      <c r="S3" s="45">
        <f>SUM(Table1122[Budget])</f>
        <v>0</v>
      </c>
      <c r="T3" s="45">
        <f>SUM(Table1122[Actual])</f>
        <v>0</v>
      </c>
      <c r="U3" s="45" t="s">
        <v>17</v>
      </c>
      <c r="V3" s="45"/>
    </row>
    <row r="4" spans="2:23">
      <c r="C4" s="17" t="s">
        <v>32</v>
      </c>
      <c r="D4" s="5">
        <f>Table136125[[#Totals],[Budget]]</f>
        <v>0</v>
      </c>
      <c r="E4" s="5">
        <f>Table136125[[#Totals],[Actual]]</f>
        <v>0</v>
      </c>
      <c r="F4" s="5">
        <f>E4-D4</f>
        <v>0</v>
      </c>
      <c r="R4" s="45" t="str">
        <f>Table13123[[#Headers],[Transportation]]</f>
        <v>Transportation</v>
      </c>
      <c r="S4" s="45">
        <f>SUM(Table13123[Budget])</f>
        <v>0</v>
      </c>
      <c r="T4" s="45">
        <f>SUM(Table13123[Actual])</f>
        <v>0</v>
      </c>
      <c r="U4" s="45" t="s">
        <v>18</v>
      </c>
      <c r="V4" s="45"/>
    </row>
    <row r="5" spans="2:23">
      <c r="C5" s="17" t="s">
        <v>33</v>
      </c>
      <c r="D5" s="5">
        <f>Table1122[[#Totals],[Budget]]+Table13123[[#Totals],[Budget]]+Table13910129[[#Totals],[Budget]]+Table137126[[#Totals],[Budget]]+Table138127[[#Totals],[Budget]]+Table139128[[#Totals],[Budget]]</f>
        <v>0</v>
      </c>
      <c r="E5" s="5">
        <f>Table1122[[#Totals],[Actual]]+Table13123[[#Totals],[Actual]]+Table13910129[[#Totals],[Actual]]+Table137126[[#Totals],[Actual]]+Table138127[[#Totals],[Actual]]+Table139128[[#Totals],[Actual]]</f>
        <v>0</v>
      </c>
      <c r="F5" s="5">
        <f>E5-D5</f>
        <v>0</v>
      </c>
      <c r="R5" s="45" t="str">
        <f>Table13910129[[#Headers],[Bills]]</f>
        <v>Bills</v>
      </c>
      <c r="S5" s="45">
        <f>SUM(Table13910129[Budget])</f>
        <v>0</v>
      </c>
      <c r="T5" s="45">
        <f>SUM(Table13910129[Actual])</f>
        <v>0</v>
      </c>
      <c r="U5" s="45"/>
      <c r="V5" s="45"/>
    </row>
    <row r="6" spans="2:23">
      <c r="C6" s="15" t="s">
        <v>34</v>
      </c>
      <c r="D6" s="16">
        <f>D3+D4-D5</f>
        <v>1156.74</v>
      </c>
      <c r="E6" s="16">
        <f>E3+E4-E5</f>
        <v>1156.74</v>
      </c>
      <c r="F6" s="16">
        <f>F3+F4-F5</f>
        <v>0</v>
      </c>
      <c r="R6" s="45" t="str">
        <f>Table137126[[#Headers],[Living]]</f>
        <v>Living</v>
      </c>
      <c r="S6" s="45">
        <f>SUM(Table137126[Budget])</f>
        <v>0</v>
      </c>
      <c r="T6" s="45">
        <f>SUM(Table137126[Actual])</f>
        <v>0</v>
      </c>
      <c r="U6" s="45"/>
      <c r="V6" s="45"/>
    </row>
    <row r="7" spans="2:23" ht="3.75" customHeight="1">
      <c r="D7" s="2"/>
      <c r="R7" s="45" t="str">
        <f>Table138127[[#Headers],[Entertainment]]</f>
        <v>Entertainment</v>
      </c>
      <c r="S7" s="45">
        <f>SUM(Table138127[Budget])</f>
        <v>0</v>
      </c>
      <c r="T7" s="45">
        <f>SUM(Table138127[Actual])</f>
        <v>0</v>
      </c>
      <c r="U7" s="45"/>
      <c r="V7" s="45"/>
    </row>
    <row r="8" spans="2:23" ht="1.5" customHeight="1">
      <c r="C8" s="42"/>
      <c r="D8" s="43"/>
      <c r="E8" s="42"/>
      <c r="F8" s="42"/>
      <c r="G8" s="42"/>
      <c r="H8" s="42"/>
      <c r="I8" s="42"/>
      <c r="J8" s="42"/>
      <c r="K8" s="42"/>
      <c r="L8" s="42"/>
      <c r="M8" s="42"/>
      <c r="N8" s="42"/>
      <c r="O8" s="42"/>
      <c r="P8" s="42"/>
      <c r="Q8" s="42"/>
      <c r="R8" s="44" t="str">
        <f>Table139128[[#Headers],[Misc.]]</f>
        <v>Misc.</v>
      </c>
      <c r="S8" s="44">
        <f>SUM(Table139128[Budget])</f>
        <v>0</v>
      </c>
      <c r="T8" s="44">
        <f>SUM(Table139128[Actual])</f>
        <v>0</v>
      </c>
      <c r="U8" s="44"/>
      <c r="V8" s="44"/>
    </row>
    <row r="9" spans="2:23" ht="3.75" customHeight="1">
      <c r="D9" s="2"/>
      <c r="H9" s="42"/>
      <c r="Q9" s="42"/>
    </row>
    <row r="10" spans="2:23" s="25" customFormat="1">
      <c r="B10" s="35"/>
      <c r="C10" s="37" t="str">
        <f>CONCATENATE(Table136125[[#Headers],[Income]],"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SUMIFS(Table4420131[Amount],Table4420131[Category],Table136125[[#Headers],[Income]],Table4420131[Sub-Category],Table136125[[#This Row],[Income]])+SUMIFS(Table44130[Amount],Table44130[Category],Table136125[[#Headers],[Income]],Table44130[Sub-Category],Table136125[[#This Row],[Income]])</f>
        <v>0</v>
      </c>
      <c r="F12" s="3">
        <f>Table136125[[#This Row],[Actual]]-Table136125[[#This Row],[Budget]]</f>
        <v>0</v>
      </c>
      <c r="G12" s="32"/>
      <c r="H12" s="42"/>
      <c r="M12" s="4"/>
      <c r="N12" s="2"/>
      <c r="Q12" s="42"/>
      <c r="S12" s="27">
        <f>C1</f>
        <v>45352</v>
      </c>
      <c r="T12" s="29">
        <f>SUMIFS(Table4420131[Amount],Table4420131[Date],S12,Table4420131[Category],Table136125[[#Headers],[Income]])+SUMIFS(Table44130[Amount],Table44130[Date],S12,Table44130[Category],Table136125[[#Headers],[Income]])</f>
        <v>0</v>
      </c>
      <c r="U12" s="29">
        <f>SUMIFS(Table4124[Amount],Table4124[Date],S12,Table4124[Category],"&lt;&gt;"&amp;Table136125[[#Headers],[Income]])+SUMIFS(Table44130[Amount],Table44130[Date],S12,Table44130[Category],"&lt;&gt;"&amp;Table136125[[#Headers],[Income]])</f>
        <v>0</v>
      </c>
      <c r="V12" s="29">
        <f>E3+T12-U12</f>
        <v>1156.74</v>
      </c>
      <c r="W12" s="1">
        <f>V2</f>
        <v>1156.7400000000005</v>
      </c>
    </row>
    <row r="13" spans="2:23">
      <c r="B13" s="32"/>
      <c r="D13" s="2"/>
      <c r="E13" s="2">
        <f>SUMIFS(Table4420131[Amount],Table4420131[Category],Table136125[[#Headers],[Income]],Table4420131[Sub-Category],Table136125[[#This Row],[Income]])+SUMIFS(Table44130[Amount],Table44130[Category],Table136125[[#Headers],[Income]],Table44130[Sub-Category],Table136125[[#This Row],[Income]])</f>
        <v>0</v>
      </c>
      <c r="F13" s="3">
        <f>Table136125[[#This Row],[Actual]]-Table136125[[#This Row],[Budget]]</f>
        <v>0</v>
      </c>
      <c r="G13" s="32"/>
      <c r="H13" s="42"/>
      <c r="M13" s="4"/>
      <c r="N13" s="2"/>
      <c r="Q13" s="42"/>
      <c r="S13" s="30">
        <f t="shared" ref="S13:S42" si="0">S12+1</f>
        <v>45353</v>
      </c>
      <c r="T13" s="28">
        <f>SUMIFS(Table4420131[Amount],Table4420131[Date],S13,Table4420131[Category],Table136125[[#Headers],[Income]])+SUMIFS(Table44130[Amount],Table44130[Date],S13,Table44130[Category],Table136125[[#Headers],[Income]])</f>
        <v>0</v>
      </c>
      <c r="U13" s="28">
        <f>SUMIFS(Table4124[Amount],Table4124[Date],S13,Table4124[Category],"&lt;&gt;"&amp;Table136125[[#Headers],[Income]])+SUMIFS(Table44130[Amount],Table44130[Date],S13,Table44130[Category],"&lt;&gt;"&amp;Table136125[[#Headers],[Income]])</f>
        <v>0</v>
      </c>
      <c r="V13" s="28">
        <f>V12+T13-U13</f>
        <v>1156.74</v>
      </c>
      <c r="W13" s="1">
        <f>W12</f>
        <v>1156.7400000000005</v>
      </c>
    </row>
    <row r="14" spans="2:23">
      <c r="B14" s="32"/>
      <c r="D14" s="12"/>
      <c r="E14" s="12">
        <f>SUMIFS(Table4420131[Amount],Table4420131[Category],Table136125[[#Headers],[Income]],Table4420131[Sub-Category],Table136125[[#This Row],[Income]])+SUMIFS(Table44130[Amount],Table44130[Category],Table136125[[#Headers],[Income]],Table44130[Sub-Category],Table136125[[#This Row],[Income]])</f>
        <v>0</v>
      </c>
      <c r="F14" s="2">
        <f>Table136125[[#This Row],[Actual]]-Table136125[[#This Row],[Budget]]</f>
        <v>0</v>
      </c>
      <c r="G14" s="32"/>
      <c r="H14" s="42"/>
      <c r="M14" s="4"/>
      <c r="N14" s="2"/>
      <c r="Q14" s="42"/>
      <c r="S14" s="27">
        <f t="shared" si="0"/>
        <v>45354</v>
      </c>
      <c r="T14" s="29">
        <f>SUMIFS(Table4420131[Amount],Table4420131[Date],S14,Table4420131[Category],Table136125[[#Headers],[Income]])+SUMIFS(Table44130[Amount],Table44130[Date],S14,Table44130[Category],Table136125[[#Headers],[Income]])</f>
        <v>0</v>
      </c>
      <c r="U14" s="29">
        <f>SUMIFS(Table4124[Amount],Table4124[Date],S14,Table4124[Category],"&lt;&gt;"&amp;Table136125[[#Headers],[Income]])+SUMIFS(Table44130[Amount],Table44130[Date],S14,Table44130[Category],"&lt;&gt;"&amp;Table136125[[#Headers],[Income]])</f>
        <v>0</v>
      </c>
      <c r="V14" s="29">
        <f t="shared" ref="V14:V42" si="1">V13+T14-U14</f>
        <v>1156.74</v>
      </c>
      <c r="W14" s="1">
        <f t="shared" ref="W14:W42" si="2">W13</f>
        <v>1156.7400000000005</v>
      </c>
    </row>
    <row r="15" spans="2:23">
      <c r="B15" s="32"/>
      <c r="D15" s="2"/>
      <c r="E15" s="3">
        <f>SUMIFS(Table4420131[Amount],Table4420131[Category],Table136125[[#Headers],[Income]],Table4420131[Sub-Category],Table136125[[#This Row],[Income]])+SUMIFS(Table44130[Amount],Table44130[Category],Table136125[[#Headers],[Income]],Table44130[Sub-Category],Table136125[[#This Row],[Income]])</f>
        <v>0</v>
      </c>
      <c r="F15" s="3">
        <f>Table136125[[#This Row],[Actual]]-Table136125[[#This Row],[Budget]]</f>
        <v>0</v>
      </c>
      <c r="G15" s="32"/>
      <c r="H15" s="42"/>
      <c r="J15" s="11"/>
      <c r="K15" s="11"/>
      <c r="L15" s="11"/>
      <c r="M15" s="24"/>
      <c r="N15" s="12"/>
      <c r="O15" s="11"/>
      <c r="Q15" s="42"/>
      <c r="S15" s="30">
        <f t="shared" si="0"/>
        <v>45355</v>
      </c>
      <c r="T15" s="28">
        <f>SUMIFS(Table4420131[Amount],Table4420131[Date],S15,Table4420131[Category],Table136125[[#Headers],[Income]])+SUMIFS(Table44130[Amount],Table44130[Date],S15,Table44130[Category],Table136125[[#Headers],[Income]])</f>
        <v>0</v>
      </c>
      <c r="U15" s="28">
        <f>SUMIFS(Table4124[Amount],Table4124[Date],S15,Table4124[Category],"&lt;&gt;"&amp;Table136125[[#Headers],[Income]])+SUMIFS(Table44130[Amount],Table44130[Date],S15,Table44130[Category],"&lt;&gt;"&amp;Table136125[[#Headers],[Income]])</f>
        <v>0</v>
      </c>
      <c r="V15" s="28">
        <f t="shared" si="1"/>
        <v>1156.74</v>
      </c>
      <c r="W15" s="1">
        <f t="shared" si="2"/>
        <v>1156.7400000000005</v>
      </c>
    </row>
    <row r="16" spans="2:23">
      <c r="B16" s="32"/>
      <c r="C16" s="6" t="s">
        <v>20</v>
      </c>
      <c r="D16" s="7">
        <f>SUBTOTAL(109,Table136125[Budget])</f>
        <v>0</v>
      </c>
      <c r="E16" s="7">
        <f>SUBTOTAL(109,Table136125[Actual])</f>
        <v>0</v>
      </c>
      <c r="F16" s="7">
        <f>SUBTOTAL(109,Table136125[Variance])</f>
        <v>0</v>
      </c>
      <c r="G16" s="36"/>
      <c r="H16" s="43"/>
      <c r="I16" s="2"/>
      <c r="M16" s="4"/>
      <c r="N16" s="2"/>
      <c r="Q16" s="43"/>
      <c r="S16" s="27">
        <f t="shared" si="0"/>
        <v>45356</v>
      </c>
      <c r="T16" s="29">
        <f>SUMIFS(Table4420131[Amount],Table4420131[Date],S16,Table4420131[Category],Table136125[[#Headers],[Income]])+SUMIFS(Table44130[Amount],Table44130[Date],S16,Table44130[Category],Table136125[[#Headers],[Income]])</f>
        <v>0</v>
      </c>
      <c r="U16" s="29">
        <f>SUMIFS(Table4124[Amount],Table4124[Date],S16,Table4124[Category],"&lt;&gt;"&amp;Table136125[[#Headers],[Income]])+SUMIFS(Table44130[Amount],Table44130[Date],S16,Table44130[Category],"&lt;&gt;"&amp;Table136125[[#Headers],[Income]])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45357</v>
      </c>
      <c r="T17" s="28">
        <f>SUMIFS(Table4420131[Amount],Table4420131[Date],S17,Table4420131[Category],Table136125[[#Headers],[Income]])+SUMIFS(Table44130[Amount],Table44130[Date],S17,Table44130[Category],Table136125[[#Headers],[Income]])</f>
        <v>0</v>
      </c>
      <c r="U17" s="28">
        <f>SUMIFS(Table4124[Amount],Table4124[Date],S17,Table4124[Category],"&lt;&gt;"&amp;Table136125[[#Headers],[Income]])+SUMIFS(Table44130[Amount],Table44130[Date],S17,Table44130[Category],"&lt;&gt;"&amp;Table136125[[#Headers],[Income]])</f>
        <v>0</v>
      </c>
      <c r="V17" s="28">
        <f t="shared" si="1"/>
        <v>1156.74</v>
      </c>
      <c r="W17" s="1">
        <f t="shared" si="2"/>
        <v>1156.7400000000005</v>
      </c>
    </row>
    <row r="18" spans="2:23">
      <c r="B18" s="32"/>
      <c r="C18" s="37" t="str">
        <f>CONCATENATE(Table1122[[#Headers],[Housing]],"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45358</v>
      </c>
      <c r="T18" s="29">
        <f>SUMIFS(Table4420131[Amount],Table4420131[Date],S18,Table4420131[Category],Table136125[[#Headers],[Income]])+SUMIFS(Table44130[Amount],Table44130[Date],S18,Table44130[Category],Table136125[[#Headers],[Income]])</f>
        <v>0</v>
      </c>
      <c r="U18" s="29">
        <f>SUMIFS(Table4124[Amount],Table4124[Date],S18,Table4124[Category],"&lt;&gt;"&amp;Table136125[[#Headers],[Income]])+SUMIFS(Table44130[Amount],Table44130[Date],S18,Table44130[Category],"&lt;&gt;"&amp;Table136125[[#Headers],[Income]])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45359</v>
      </c>
      <c r="T19" s="28">
        <f>SUMIFS(Table4420131[Amount],Table4420131[Date],S19,Table4420131[Category],Table136125[[#Headers],[Income]])+SUMIFS(Table44130[Amount],Table44130[Date],S19,Table44130[Category],Table136125[[#Headers],[Income]])</f>
        <v>0</v>
      </c>
      <c r="U19" s="28">
        <f>SUMIFS(Table4124[Amount],Table4124[Date],S19,Table4124[Category],"&lt;&gt;"&amp;Table136125[[#Headers],[Income]])+SUMIFS(Table44130[Amount],Table44130[Date],S19,Table44130[Category],"&lt;&gt;"&amp;Table136125[[#Headers],[Income]])</f>
        <v>0</v>
      </c>
      <c r="V19" s="28">
        <f t="shared" si="1"/>
        <v>1156.74</v>
      </c>
      <c r="W19" s="1">
        <f t="shared" si="2"/>
        <v>1156.7400000000005</v>
      </c>
    </row>
    <row r="20" spans="2:23">
      <c r="B20" s="32"/>
      <c r="D20" s="2"/>
      <c r="E20" s="2">
        <f>SUMIFS(Table4124[Amount],Table4124[Category],Table1122[[#Headers],[Housing]],Table4124[Sub-Category],Table1122[[#This Row],[Housing]])+SUMIFS(Table44130[Amount],Table44130[Category],Table1122[[#Headers],[Housing]],Table44130[Sub-Category],Table1122[[#This Row],[Housing]])</f>
        <v>0</v>
      </c>
      <c r="F20" s="3">
        <f>Table1122[[#This Row],[Budget]]-Table1122[[#This Row],[Actual]]</f>
        <v>0</v>
      </c>
      <c r="G20" s="36"/>
      <c r="H20" s="43"/>
      <c r="I20" s="2"/>
      <c r="J20" s="11"/>
      <c r="K20" s="11"/>
      <c r="L20" s="11"/>
      <c r="M20" s="24"/>
      <c r="N20" s="12"/>
      <c r="O20" s="11"/>
      <c r="Q20" s="43"/>
      <c r="S20" s="27">
        <f t="shared" si="0"/>
        <v>45360</v>
      </c>
      <c r="T20" s="29">
        <f>SUMIFS(Table4420131[Amount],Table4420131[Date],S20,Table4420131[Category],Table136125[[#Headers],[Income]])+SUMIFS(Table44130[Amount],Table44130[Date],S20,Table44130[Category],Table136125[[#Headers],[Income]])</f>
        <v>0</v>
      </c>
      <c r="U20" s="29">
        <f>SUMIFS(Table4124[Amount],Table4124[Date],S20,Table4124[Category],"&lt;&gt;"&amp;Table136125[[#Headers],[Income]])+SUMIFS(Table44130[Amount],Table44130[Date],S20,Table44130[Category],"&lt;&gt;"&amp;Table136125[[#Headers],[Income]])</f>
        <v>0</v>
      </c>
      <c r="V20" s="29">
        <f t="shared" si="1"/>
        <v>1156.74</v>
      </c>
      <c r="W20" s="1">
        <f t="shared" si="2"/>
        <v>1156.7400000000005</v>
      </c>
    </row>
    <row r="21" spans="2:23">
      <c r="B21" s="32"/>
      <c r="D21" s="2"/>
      <c r="E21" s="2">
        <f>SUMIFS(Table4124[Amount],Table4124[Category],Table1122[[#Headers],[Housing]],Table4124[Sub-Category],Table1122[[#This Row],[Housing]])+SUMIFS(Table44130[Amount],Table44130[Category],Table1122[[#Headers],[Housing]],Table44130[Sub-Category],Table1122[[#This Row],[Housing]])</f>
        <v>0</v>
      </c>
      <c r="F21" s="3">
        <f>Table1122[[#This Row],[Budget]]-Table1122[[#This Row],[Actual]]</f>
        <v>0</v>
      </c>
      <c r="G21" s="36"/>
      <c r="H21" s="43"/>
      <c r="I21" s="2"/>
      <c r="J21" s="11"/>
      <c r="K21" s="11"/>
      <c r="L21" s="11"/>
      <c r="M21" s="24"/>
      <c r="N21" s="12"/>
      <c r="O21" s="11"/>
      <c r="Q21" s="43"/>
      <c r="S21" s="30">
        <f t="shared" si="0"/>
        <v>45361</v>
      </c>
      <c r="T21" s="28">
        <f>SUMIFS(Table4420131[Amount],Table4420131[Date],S21,Table4420131[Category],Table136125[[#Headers],[Income]])+SUMIFS(Table44130[Amount],Table44130[Date],S21,Table44130[Category],Table136125[[#Headers],[Income]])</f>
        <v>0</v>
      </c>
      <c r="U21" s="28">
        <f>SUMIFS(Table4124[Amount],Table4124[Date],S21,Table4124[Category],"&lt;&gt;"&amp;Table136125[[#Headers],[Income]])+SUMIFS(Table44130[Amount],Table44130[Date],S21,Table44130[Category],"&lt;&gt;"&amp;Table136125[[#Headers],[Income]])</f>
        <v>0</v>
      </c>
      <c r="V21" s="28">
        <f t="shared" si="1"/>
        <v>1156.74</v>
      </c>
      <c r="W21" s="1">
        <f t="shared" si="2"/>
        <v>1156.7400000000005</v>
      </c>
    </row>
    <row r="22" spans="2:23">
      <c r="B22" s="32"/>
      <c r="D22" s="2"/>
      <c r="E22" s="2">
        <f>SUMIFS(Table4124[Amount],Table4124[Category],Table1122[[#Headers],[Housing]],Table4124[Sub-Category],Table1122[[#This Row],[Housing]])+SUMIFS(Table44130[Amount],Table44130[Category],Table1122[[#Headers],[Housing]],Table44130[Sub-Category],Table1122[[#This Row],[Housing]])</f>
        <v>0</v>
      </c>
      <c r="F22" s="3">
        <f>Table1122[[#This Row],[Budget]]-Table1122[[#This Row],[Actual]]</f>
        <v>0</v>
      </c>
      <c r="G22" s="36"/>
      <c r="H22" s="43"/>
      <c r="I22" s="2"/>
      <c r="J22" s="11"/>
      <c r="K22" s="11"/>
      <c r="L22" s="11"/>
      <c r="M22" s="24"/>
      <c r="N22" s="12"/>
      <c r="O22" s="11"/>
      <c r="Q22" s="43"/>
      <c r="S22" s="27">
        <f t="shared" si="0"/>
        <v>45362</v>
      </c>
      <c r="T22" s="29">
        <f>SUMIFS(Table4420131[Amount],Table4420131[Date],S22,Table4420131[Category],Table136125[[#Headers],[Income]])+SUMIFS(Table44130[Amount],Table44130[Date],S22,Table44130[Category],Table136125[[#Headers],[Income]])</f>
        <v>0</v>
      </c>
      <c r="U22" s="29">
        <f>SUMIFS(Table4124[Amount],Table4124[Date],S22,Table4124[Category],"&lt;&gt;"&amp;Table136125[[#Headers],[Income]])+SUMIFS(Table44130[Amount],Table44130[Date],S22,Table44130[Category],"&lt;&gt;"&amp;Table136125[[#Headers],[Income]])</f>
        <v>0</v>
      </c>
      <c r="V22" s="29">
        <f t="shared" si="1"/>
        <v>1156.74</v>
      </c>
      <c r="W22" s="1">
        <f t="shared" si="2"/>
        <v>1156.7400000000005</v>
      </c>
    </row>
    <row r="23" spans="2:23">
      <c r="B23" s="32"/>
      <c r="D23" s="2"/>
      <c r="E23" s="2">
        <f>SUMIFS(Table4124[Amount],Table4124[Category],Table1122[[#Headers],[Housing]],Table4124[Sub-Category],Table1122[[#This Row],[Housing]])+SUMIFS(Table44130[Amount],Table44130[Category],Table1122[[#Headers],[Housing]],Table44130[Sub-Category],Table1122[[#This Row],[Housing]])</f>
        <v>0</v>
      </c>
      <c r="F23" s="3">
        <f>Table1122[[#This Row],[Budget]]-Table1122[[#This Row],[Actual]]</f>
        <v>0</v>
      </c>
      <c r="G23" s="36"/>
      <c r="H23" s="43"/>
      <c r="I23" s="2"/>
      <c r="J23" s="11"/>
      <c r="K23" s="11"/>
      <c r="L23" s="11"/>
      <c r="M23" s="24"/>
      <c r="N23" s="12"/>
      <c r="O23" s="11"/>
      <c r="Q23" s="43"/>
      <c r="S23" s="30">
        <f t="shared" si="0"/>
        <v>45363</v>
      </c>
      <c r="T23" s="28">
        <f>SUMIFS(Table4420131[Amount],Table4420131[Date],S23,Table4420131[Category],Table136125[[#Headers],[Income]])+SUMIFS(Table44130[Amount],Table44130[Date],S23,Table44130[Category],Table136125[[#Headers],[Income]])</f>
        <v>0</v>
      </c>
      <c r="U23" s="28">
        <f>SUMIFS(Table4124[Amount],Table4124[Date],S23,Table4124[Category],"&lt;&gt;"&amp;Table136125[[#Headers],[Income]])+SUMIFS(Table44130[Amount],Table44130[Date],S23,Table44130[Category],"&lt;&gt;"&amp;Table136125[[#Headers],[Income]])</f>
        <v>0</v>
      </c>
      <c r="V23" s="28">
        <f t="shared" si="1"/>
        <v>1156.74</v>
      </c>
      <c r="W23" s="1">
        <f t="shared" si="2"/>
        <v>1156.7400000000005</v>
      </c>
    </row>
    <row r="24" spans="2:23">
      <c r="B24" s="32"/>
      <c r="D24" s="2"/>
      <c r="E24" s="2">
        <f>SUMIFS(Table4124[Amount],Table4124[Category],Table1122[[#Headers],[Housing]],Table4124[Sub-Category],Table1122[[#This Row],[Housing]])+SUMIFS(Table44130[Amount],Table44130[Category],Table1122[[#Headers],[Housing]],Table44130[Sub-Category],Table1122[[#This Row],[Housing]])</f>
        <v>0</v>
      </c>
      <c r="F24" s="3">
        <f>Table1122[[#This Row],[Budget]]-Table1122[[#This Row],[Actual]]</f>
        <v>0</v>
      </c>
      <c r="G24" s="36"/>
      <c r="H24" s="43"/>
      <c r="I24" s="2"/>
      <c r="J24" s="11"/>
      <c r="K24" s="11"/>
      <c r="L24" s="11"/>
      <c r="M24" s="24"/>
      <c r="N24" s="12"/>
      <c r="O24" s="11"/>
      <c r="Q24" s="43"/>
      <c r="S24" s="27">
        <f t="shared" si="0"/>
        <v>45364</v>
      </c>
      <c r="T24" s="29">
        <f>SUMIFS(Table4420131[Amount],Table4420131[Date],S24,Table4420131[Category],Table136125[[#Headers],[Income]])+SUMIFS(Table44130[Amount],Table44130[Date],S24,Table44130[Category],Table136125[[#Headers],[Income]])</f>
        <v>0</v>
      </c>
      <c r="U24" s="29">
        <f>SUMIFS(Table4124[Amount],Table4124[Date],S24,Table4124[Category],"&lt;&gt;"&amp;Table136125[[#Headers],[Income]])+SUMIFS(Table44130[Amount],Table44130[Date],S24,Table44130[Category],"&lt;&gt;"&amp;Table136125[[#Headers],[Income]])</f>
        <v>0</v>
      </c>
      <c r="V24" s="29">
        <f t="shared" si="1"/>
        <v>1156.74</v>
      </c>
      <c r="W24" s="1">
        <f t="shared" si="2"/>
        <v>1156.7400000000005</v>
      </c>
    </row>
    <row r="25" spans="2:23">
      <c r="B25" s="32"/>
      <c r="D25" s="2"/>
      <c r="E25" s="2">
        <f>SUMIFS(Table4124[Amount],Table4124[Category],Table1122[[#Headers],[Housing]],Table4124[Sub-Category],Table1122[[#This Row],[Housing]])+SUMIFS(Table44130[Amount],Table44130[Category],Table1122[[#Headers],[Housing]],Table44130[Sub-Category],Table1122[[#This Row],[Housing]])</f>
        <v>0</v>
      </c>
      <c r="F25" s="3">
        <f>Table1122[[#This Row],[Budget]]-Table1122[[#This Row],[Actual]]</f>
        <v>0</v>
      </c>
      <c r="G25" s="32"/>
      <c r="H25" s="42"/>
      <c r="J25" s="11"/>
      <c r="K25" s="11"/>
      <c r="L25" s="11"/>
      <c r="M25" s="24"/>
      <c r="N25" s="12"/>
      <c r="O25" s="11"/>
      <c r="Q25" s="42"/>
      <c r="S25" s="30">
        <f t="shared" si="0"/>
        <v>45365</v>
      </c>
      <c r="T25" s="28">
        <f>SUMIFS(Table4420131[Amount],Table4420131[Date],S25,Table4420131[Category],Table136125[[#Headers],[Income]])+SUMIFS(Table44130[Amount],Table44130[Date],S25,Table44130[Category],Table136125[[#Headers],[Income]])</f>
        <v>0</v>
      </c>
      <c r="U25" s="28">
        <f>SUMIFS(Table4124[Amount],Table4124[Date],S25,Table4124[Category],"&lt;&gt;"&amp;Table136125[[#Headers],[Income]])+SUMIFS(Table44130[Amount],Table44130[Date],S25,Table44130[Category],"&lt;&gt;"&amp;Table136125[[#Headers],[Income]])</f>
        <v>0</v>
      </c>
      <c r="V25" s="28">
        <f t="shared" si="1"/>
        <v>1156.74</v>
      </c>
      <c r="W25" s="1">
        <f t="shared" si="2"/>
        <v>1156.7400000000005</v>
      </c>
    </row>
    <row r="26" spans="2:23">
      <c r="B26" s="32"/>
      <c r="D26" s="2"/>
      <c r="E26" s="2">
        <f>SUMIFS(Table4124[Amount],Table4124[Category],Table1122[[#Headers],[Housing]],Table4124[Sub-Category],Table1122[[#This Row],[Housing]])+SUMIFS(Table44130[Amount],Table44130[Category],Table1122[[#Headers],[Housing]],Table44130[Sub-Category],Table1122[[#This Row],[Housing]])</f>
        <v>0</v>
      </c>
      <c r="F26" s="3">
        <f>Table1122[[#This Row],[Budget]]-Table1122[[#This Row],[Actual]]</f>
        <v>0</v>
      </c>
      <c r="G26" s="32"/>
      <c r="H26" s="42"/>
      <c r="J26" s="11"/>
      <c r="K26" s="11"/>
      <c r="L26" s="11"/>
      <c r="M26" s="24"/>
      <c r="N26" s="12"/>
      <c r="O26" s="11"/>
      <c r="Q26" s="42"/>
      <c r="S26" s="27">
        <f t="shared" si="0"/>
        <v>45366</v>
      </c>
      <c r="T26" s="29">
        <f>SUMIFS(Table4420131[Amount],Table4420131[Date],S26,Table4420131[Category],Table136125[[#Headers],[Income]])+SUMIFS(Table44130[Amount],Table44130[Date],S26,Table44130[Category],Table136125[[#Headers],[Income]])</f>
        <v>0</v>
      </c>
      <c r="U26" s="29">
        <f>SUMIFS(Table4124[Amount],Table4124[Date],S26,Table4124[Category],"&lt;&gt;"&amp;Table136125[[#Headers],[Income]])+SUMIFS(Table44130[Amount],Table44130[Date],S26,Table44130[Category],"&lt;&gt;"&amp;Table136125[[#Headers],[Income]])</f>
        <v>0</v>
      </c>
      <c r="V26" s="29">
        <f t="shared" si="1"/>
        <v>1156.74</v>
      </c>
      <c r="W26" s="1">
        <f t="shared" si="2"/>
        <v>1156.7400000000005</v>
      </c>
    </row>
    <row r="27" spans="2:23">
      <c r="B27" s="32"/>
      <c r="D27" s="2"/>
      <c r="E27" s="2">
        <f>SUMIFS(Table4124[Amount],Table4124[Category],Table1122[[#Headers],[Housing]],Table4124[Sub-Category],Table1122[[#This Row],[Housing]])+SUMIFS(Table44130[Amount],Table44130[Category],Table1122[[#Headers],[Housing]],Table44130[Sub-Category],Table1122[[#This Row],[Housing]])</f>
        <v>0</v>
      </c>
      <c r="F27" s="3">
        <f>Table1122[[#This Row],[Budget]]-Table1122[[#This Row],[Actual]]</f>
        <v>0</v>
      </c>
      <c r="G27" s="36"/>
      <c r="H27" s="43"/>
      <c r="I27" s="2"/>
      <c r="J27" s="11"/>
      <c r="K27" s="11"/>
      <c r="L27" s="11"/>
      <c r="M27" s="24"/>
      <c r="N27" s="12"/>
      <c r="O27" s="11"/>
      <c r="Q27" s="43"/>
      <c r="S27" s="30">
        <f t="shared" si="0"/>
        <v>45367</v>
      </c>
      <c r="T27" s="28">
        <f>SUMIFS(Table4420131[Amount],Table4420131[Date],S27,Table4420131[Category],Table136125[[#Headers],[Income]])+SUMIFS(Table44130[Amount],Table44130[Date],S27,Table44130[Category],Table136125[[#Headers],[Income]])</f>
        <v>0</v>
      </c>
      <c r="U27" s="28">
        <f>SUMIFS(Table4124[Amount],Table4124[Date],S27,Table4124[Category],"&lt;&gt;"&amp;Table136125[[#Headers],[Income]])+SUMIFS(Table44130[Amount],Table44130[Date],S27,Table44130[Category],"&lt;&gt;"&amp;Table136125[[#Headers],[Income]])</f>
        <v>0</v>
      </c>
      <c r="V27" s="28">
        <f t="shared" si="1"/>
        <v>1156.74</v>
      </c>
      <c r="W27" s="1">
        <f t="shared" si="2"/>
        <v>1156.7400000000005</v>
      </c>
    </row>
    <row r="28" spans="2:23">
      <c r="B28" s="32"/>
      <c r="C28" s="11"/>
      <c r="D28" s="12"/>
      <c r="E28" s="13">
        <f>SUMIFS(Table4124[Amount],Table4124[Category],Table1122[[#Headers],[Housing]],Table4124[Sub-Category],Table1122[[#This Row],[Housing]])+SUMIFS(Table44130[Amount],Table44130[Category],Table1122[[#Headers],[Housing]],Table44130[Sub-Category],Table1122[[#This Row],[Housing]])</f>
        <v>0</v>
      </c>
      <c r="F28" s="13">
        <f>Table1122[[#This Row],[Budget]]-Table1122[[#This Row],[Actual]]</f>
        <v>0</v>
      </c>
      <c r="G28" s="36"/>
      <c r="H28" s="43"/>
      <c r="I28" s="2"/>
      <c r="J28" s="11"/>
      <c r="K28" s="11"/>
      <c r="L28" s="11"/>
      <c r="M28" s="24"/>
      <c r="N28" s="12"/>
      <c r="O28" s="11"/>
      <c r="Q28" s="43"/>
      <c r="S28" s="27">
        <f t="shared" si="0"/>
        <v>45368</v>
      </c>
      <c r="T28" s="29">
        <f>SUMIFS(Table4420131[Amount],Table4420131[Date],S28,Table4420131[Category],Table136125[[#Headers],[Income]])+SUMIFS(Table44130[Amount],Table44130[Date],S28,Table44130[Category],Table136125[[#Headers],[Income]])</f>
        <v>0</v>
      </c>
      <c r="U28" s="29">
        <f>SUMIFS(Table4124[Amount],Table4124[Date],S28,Table4124[Category],"&lt;&gt;"&amp;Table136125[[#Headers],[Income]])+SUMIFS(Table44130[Amount],Table44130[Date],S28,Table44130[Category],"&lt;&gt;"&amp;Table136125[[#Headers],[Income]])</f>
        <v>0</v>
      </c>
      <c r="V28" s="29">
        <f t="shared" si="1"/>
        <v>1156.74</v>
      </c>
      <c r="W28" s="1">
        <f t="shared" si="2"/>
        <v>1156.7400000000005</v>
      </c>
    </row>
    <row r="29" spans="2:23">
      <c r="B29" s="32"/>
      <c r="C29" s="9" t="s">
        <v>20</v>
      </c>
      <c r="D29" s="10">
        <f>SUBTOTAL(109,Table1122[Budget])</f>
        <v>0</v>
      </c>
      <c r="E29" s="10">
        <f>SUBTOTAL(109,Table1122[Actual])</f>
        <v>0</v>
      </c>
      <c r="F29" s="10">
        <f>SUBTOTAL(109,Table1122[Variance])</f>
        <v>0</v>
      </c>
      <c r="G29" s="32"/>
      <c r="H29" s="42"/>
      <c r="J29" s="11"/>
      <c r="K29" s="11"/>
      <c r="L29" s="11"/>
      <c r="M29" s="24"/>
      <c r="N29" s="12"/>
      <c r="O29" s="11"/>
      <c r="Q29" s="42"/>
      <c r="S29" s="30">
        <f t="shared" si="0"/>
        <v>45369</v>
      </c>
      <c r="T29" s="28">
        <f>SUMIFS(Table4420131[Amount],Table4420131[Date],S29,Table4420131[Category],Table136125[[#Headers],[Income]])+SUMIFS(Table44130[Amount],Table44130[Date],S29,Table44130[Category],Table136125[[#Headers],[Income]])</f>
        <v>0</v>
      </c>
      <c r="U29" s="28">
        <f>SUMIFS(Table4124[Amount],Table4124[Date],S29,Table4124[Category],"&lt;&gt;"&amp;Table136125[[#Headers],[Income]])+SUMIFS(Table44130[Amount],Table44130[Date],S29,Table44130[Category],"&lt;&gt;"&amp;Table136125[[#Headers],[Income]])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45370</v>
      </c>
      <c r="T30" s="29">
        <f>SUMIFS(Table4420131[Amount],Table4420131[Date],S30,Table4420131[Category],Table136125[[#Headers],[Income]])+SUMIFS(Table44130[Amount],Table44130[Date],S30,Table44130[Category],Table136125[[#Headers],[Income]])</f>
        <v>0</v>
      </c>
      <c r="U30" s="29">
        <f>SUMIFS(Table4124[Amount],Table4124[Date],S30,Table4124[Category],"&lt;&gt;"&amp;Table136125[[#Headers],[Income]])+SUMIFS(Table44130[Amount],Table44130[Date],S30,Table44130[Category],"&lt;&gt;"&amp;Table136125[[#Headers],[Income]])</f>
        <v>0</v>
      </c>
      <c r="V30" s="29">
        <f t="shared" si="1"/>
        <v>1156.74</v>
      </c>
      <c r="W30" s="1">
        <f t="shared" si="2"/>
        <v>1156.7400000000005</v>
      </c>
    </row>
    <row r="31" spans="2:23">
      <c r="B31" s="32"/>
      <c r="C31" s="37" t="str">
        <f>CONCATENATE(Table13123[[#Headers],[Transportation]]," - Budget &amp; Tracking")</f>
        <v>Transportation - Budget &amp; Tracking</v>
      </c>
      <c r="D31" s="38"/>
      <c r="E31" s="38"/>
      <c r="F31" s="39"/>
      <c r="G31" s="32"/>
      <c r="H31" s="42"/>
      <c r="J31" s="11"/>
      <c r="K31" s="11"/>
      <c r="L31" s="11"/>
      <c r="M31" s="24"/>
      <c r="N31" s="12"/>
      <c r="O31" s="11"/>
      <c r="Q31" s="42"/>
      <c r="S31" s="30">
        <f t="shared" si="0"/>
        <v>45371</v>
      </c>
      <c r="T31" s="28">
        <f>SUMIFS(Table4420131[Amount],Table4420131[Date],S31,Table4420131[Category],Table136125[[#Headers],[Income]])+SUMIFS(Table44130[Amount],Table44130[Date],S31,Table44130[Category],Table136125[[#Headers],[Income]])</f>
        <v>0</v>
      </c>
      <c r="U31" s="28">
        <f>SUMIFS(Table4124[Amount],Table4124[Date],S31,Table4124[Category],"&lt;&gt;"&amp;Table136125[[#Headers],[Income]])+SUMIFS(Table44130[Amount],Table44130[Date],S31,Table44130[Category],"&lt;&gt;"&amp;Table136125[[#Headers],[Income]])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45372</v>
      </c>
      <c r="T32" s="29">
        <f>SUMIFS(Table4420131[Amount],Table4420131[Date],S32,Table4420131[Category],Table136125[[#Headers],[Income]])+SUMIFS(Table44130[Amount],Table44130[Date],S32,Table44130[Category],Table136125[[#Headers],[Income]])</f>
        <v>0</v>
      </c>
      <c r="U32" s="29">
        <f>SUMIFS(Table4124[Amount],Table4124[Date],S32,Table4124[Category],"&lt;&gt;"&amp;Table136125[[#Headers],[Income]])+SUMIFS(Table44130[Amount],Table44130[Date],S32,Table44130[Category],"&lt;&gt;"&amp;Table136125[[#Headers],[Income]])</f>
        <v>0</v>
      </c>
      <c r="V32" s="29">
        <f t="shared" si="1"/>
        <v>1156.74</v>
      </c>
      <c r="W32" s="1">
        <f t="shared" si="2"/>
        <v>1156.7400000000005</v>
      </c>
    </row>
    <row r="33" spans="2:23">
      <c r="B33" s="32"/>
      <c r="D33" s="2"/>
      <c r="E33" s="2">
        <f>SUMIFS(Table4124[Amount],Table4124[Category],Table13123[[#Headers],[Transportation]],Table4124[Sub-Category],Table13123[[#This Row],[Transportation]])+SUMIFS(Table44130[Amount],Table44130[Category],Table13123[[#Headers],[Transportation]],Table44130[Sub-Category],Table13123[[#This Row],[Transportation]])</f>
        <v>0</v>
      </c>
      <c r="F33" s="3">
        <f>Table13123[[#This Row],[Budget]]-Table13123[[#This Row],[Actual]]</f>
        <v>0</v>
      </c>
      <c r="G33" s="32"/>
      <c r="H33" s="42"/>
      <c r="J33" s="37" t="s">
        <v>44</v>
      </c>
      <c r="K33" s="38"/>
      <c r="L33" s="38"/>
      <c r="M33" s="38"/>
      <c r="N33" s="38"/>
      <c r="O33" s="39"/>
      <c r="Q33" s="42"/>
      <c r="S33" s="30">
        <f t="shared" si="0"/>
        <v>45373</v>
      </c>
      <c r="T33" s="28">
        <f>SUMIFS(Table4420131[Amount],Table4420131[Date],S33,Table4420131[Category],Table136125[[#Headers],[Income]])+SUMIFS(Table44130[Amount],Table44130[Date],S33,Table44130[Category],Table136125[[#Headers],[Income]])</f>
        <v>0</v>
      </c>
      <c r="U33" s="28">
        <f>SUMIFS(Table4124[Amount],Table4124[Date],S33,Table4124[Category],"&lt;&gt;"&amp;Table136125[[#Headers],[Income]])+SUMIFS(Table44130[Amount],Table44130[Date],S33,Table44130[Category],"&lt;&gt;"&amp;Table136125[[#Headers],[Income]])</f>
        <v>0</v>
      </c>
      <c r="V33" s="28">
        <f t="shared" si="1"/>
        <v>1156.74</v>
      </c>
      <c r="W33" s="1">
        <f t="shared" si="2"/>
        <v>1156.7400000000005</v>
      </c>
    </row>
    <row r="34" spans="2:23">
      <c r="B34" s="32"/>
      <c r="D34" s="2"/>
      <c r="E34" s="2">
        <f>SUMIFS(Table4124[Amount],Table4124[Category],Table13123[[#Headers],[Transportation]],Table4124[Sub-Category],Table13123[[#This Row],[Transportation]])+SUMIFS(Table44130[Amount],Table44130[Category],Table13123[[#Headers],[Transportation]],Table44130[Sub-Category],Table13123[[#This Row],[Transportation]])</f>
        <v>0</v>
      </c>
      <c r="F34" s="3">
        <f>Table13123[[#This Row],[Budget]]-Table13123[[#This Row],[Actual]]</f>
        <v>0</v>
      </c>
      <c r="G34" s="32"/>
      <c r="H34" s="42"/>
      <c r="J34" s="31" t="s">
        <v>9</v>
      </c>
      <c r="K34" s="31" t="s">
        <v>0</v>
      </c>
      <c r="L34" s="31" t="s">
        <v>13</v>
      </c>
      <c r="M34" s="31" t="s">
        <v>10</v>
      </c>
      <c r="N34" s="31" t="s">
        <v>11</v>
      </c>
      <c r="O34" s="31" t="s">
        <v>16</v>
      </c>
      <c r="Q34" s="42"/>
      <c r="S34" s="27">
        <f t="shared" si="0"/>
        <v>45374</v>
      </c>
      <c r="T34" s="29">
        <f>SUMIFS(Table4420131[Amount],Table4420131[Date],S34,Table4420131[Category],Table136125[[#Headers],[Income]])+SUMIFS(Table44130[Amount],Table44130[Date],S34,Table44130[Category],Table136125[[#Headers],[Income]])</f>
        <v>0</v>
      </c>
      <c r="U34" s="29">
        <f>SUMIFS(Table4124[Amount],Table4124[Date],S34,Table4124[Category],"&lt;&gt;"&amp;Table136125[[#Headers],[Income]])+SUMIFS(Table44130[Amount],Table44130[Date],S34,Table44130[Category],"&lt;&gt;"&amp;Table136125[[#Headers],[Income]])</f>
        <v>0</v>
      </c>
      <c r="V34" s="29">
        <f t="shared" si="1"/>
        <v>1156.74</v>
      </c>
      <c r="W34" s="1">
        <f t="shared" si="2"/>
        <v>1156.7400000000005</v>
      </c>
    </row>
    <row r="35" spans="2:23">
      <c r="B35" s="32"/>
      <c r="C35" s="11"/>
      <c r="D35" s="12"/>
      <c r="E35" s="13">
        <f>SUMIFS(Table4124[Amount],Table4124[Category],Table13123[[#Headers],[Transportation]],Table4124[Sub-Category],Table13123[[#This Row],[Transportation]])+SUMIFS(Table44130[Amount],Table44130[Category],Table13123[[#Headers],[Transportation]],Table44130[Sub-Category],Table13123[[#This Row],[Transportation]])</f>
        <v>0</v>
      </c>
      <c r="F35" s="13">
        <f>Table13123[[#This Row],[Budget]]-Table13123[[#This Row],[Actual]]</f>
        <v>0</v>
      </c>
      <c r="G35" s="32"/>
      <c r="H35" s="42"/>
      <c r="M35" s="4"/>
      <c r="N35" s="2"/>
      <c r="Q35" s="42"/>
      <c r="S35" s="30">
        <f t="shared" si="0"/>
        <v>45375</v>
      </c>
      <c r="T35" s="28">
        <f>SUMIFS(Table4420131[Amount],Table4420131[Date],S35,Table4420131[Category],Table136125[[#Headers],[Income]])+SUMIFS(Table44130[Amount],Table44130[Date],S35,Table44130[Category],Table136125[[#Headers],[Income]])</f>
        <v>0</v>
      </c>
      <c r="U35" s="28">
        <f>SUMIFS(Table4124[Amount],Table4124[Date],S35,Table4124[Category],"&lt;&gt;"&amp;Table136125[[#Headers],[Income]])+SUMIFS(Table44130[Amount],Table44130[Date],S35,Table44130[Category],"&lt;&gt;"&amp;Table136125[[#Headers],[Income]])</f>
        <v>0</v>
      </c>
      <c r="V35" s="28">
        <f t="shared" si="1"/>
        <v>1156.74</v>
      </c>
      <c r="W35" s="1">
        <f t="shared" si="2"/>
        <v>1156.7400000000005</v>
      </c>
    </row>
    <row r="36" spans="2:23">
      <c r="B36" s="32"/>
      <c r="C36" s="11"/>
      <c r="D36" s="12"/>
      <c r="E36" s="13">
        <f>SUMIFS(Table4124[Amount],Table4124[Category],Table13123[[#Headers],[Transportation]],Table4124[Sub-Category],Table13123[[#This Row],[Transportation]])+SUMIFS(Table44130[Amount],Table44130[Category],Table13123[[#Headers],[Transportation]],Table44130[Sub-Category],Table13123[[#This Row],[Transportation]])</f>
        <v>0</v>
      </c>
      <c r="F36" s="13">
        <f>Table13123[[#This Row],[Budget]]-Table13123[[#This Row],[Actual]]</f>
        <v>0</v>
      </c>
      <c r="G36" s="32"/>
      <c r="H36" s="42"/>
      <c r="M36" s="4"/>
      <c r="N36" s="2"/>
      <c r="Q36" s="42"/>
      <c r="S36" s="27">
        <f t="shared" si="0"/>
        <v>45376</v>
      </c>
      <c r="T36" s="29">
        <f>SUMIFS(Table4420131[Amount],Table4420131[Date],S36,Table4420131[Category],Table136125[[#Headers],[Income]])+SUMIFS(Table44130[Amount],Table44130[Date],S36,Table44130[Category],Table136125[[#Headers],[Income]])</f>
        <v>0</v>
      </c>
      <c r="U36" s="29">
        <f>SUMIFS(Table4124[Amount],Table4124[Date],S36,Table4124[Category],"&lt;&gt;"&amp;Table136125[[#Headers],[Income]])+SUMIFS(Table44130[Amount],Table44130[Date],S36,Table44130[Category],"&lt;&gt;"&amp;Table136125[[#Headers],[Income]])</f>
        <v>0</v>
      </c>
      <c r="V36" s="29">
        <f t="shared" si="1"/>
        <v>1156.74</v>
      </c>
      <c r="W36" s="1">
        <f t="shared" si="2"/>
        <v>1156.7400000000005</v>
      </c>
    </row>
    <row r="37" spans="2:23">
      <c r="B37" s="32"/>
      <c r="C37" s="9" t="s">
        <v>20</v>
      </c>
      <c r="D37" s="10">
        <f>SUBTOTAL(109,Table13123[Budget])</f>
        <v>0</v>
      </c>
      <c r="E37" s="10">
        <f>SUBTOTAL(109,Table13123[Actual])</f>
        <v>0</v>
      </c>
      <c r="F37" s="10">
        <f>SUBTOTAL(109,Table13123[Variance])</f>
        <v>0</v>
      </c>
      <c r="G37" s="32"/>
      <c r="H37" s="42"/>
      <c r="M37" s="4"/>
      <c r="N37" s="2"/>
      <c r="Q37" s="42"/>
      <c r="S37" s="30">
        <f t="shared" si="0"/>
        <v>45377</v>
      </c>
      <c r="T37" s="28">
        <f>SUMIFS(Table4420131[Amount],Table4420131[Date],S37,Table4420131[Category],Table136125[[#Headers],[Income]])+SUMIFS(Table44130[Amount],Table44130[Date],S37,Table44130[Category],Table136125[[#Headers],[Income]])</f>
        <v>0</v>
      </c>
      <c r="U37" s="28">
        <f>SUMIFS(Table4124[Amount],Table4124[Date],S37,Table4124[Category],"&lt;&gt;"&amp;Table136125[[#Headers],[Income]])+SUMIFS(Table44130[Amount],Table44130[Date],S37,Table44130[Category],"&lt;&gt;"&amp;Table136125[[#Headers],[Income]])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45378</v>
      </c>
      <c r="T38" s="29">
        <f>SUMIFS(Table4420131[Amount],Table4420131[Date],S38,Table4420131[Category],Table136125[[#Headers],[Income]])+SUMIFS(Table44130[Amount],Table44130[Date],S38,Table44130[Category],Table136125[[#Headers],[Income]])</f>
        <v>0</v>
      </c>
      <c r="U38" s="29">
        <f>SUMIFS(Table4124[Amount],Table4124[Date],S38,Table4124[Category],"&lt;&gt;"&amp;Table136125[[#Headers],[Income]])+SUMIFS(Table44130[Amount],Table44130[Date],S38,Table44130[Category],"&lt;&gt;"&amp;Table136125[[#Headers],[Income]])</f>
        <v>0</v>
      </c>
      <c r="V38" s="29">
        <f t="shared" si="1"/>
        <v>1156.74</v>
      </c>
      <c r="W38" s="1">
        <f t="shared" si="2"/>
        <v>1156.7400000000005</v>
      </c>
    </row>
    <row r="39" spans="2:23">
      <c r="B39" s="32"/>
      <c r="C39" s="37" t="str">
        <f>CONCATENATE(Table13910129[[#Headers],[Bills]]," - Budget &amp; Tracking")</f>
        <v>Bills - Budget &amp; Tracking</v>
      </c>
      <c r="D39" s="38"/>
      <c r="E39" s="38"/>
      <c r="F39" s="39"/>
      <c r="G39" s="32"/>
      <c r="H39" s="42"/>
      <c r="J39" s="11"/>
      <c r="K39" s="11"/>
      <c r="L39" s="11"/>
      <c r="M39" s="24"/>
      <c r="N39" s="12"/>
      <c r="O39" s="11"/>
      <c r="Q39" s="42"/>
      <c r="S39" s="30">
        <f t="shared" si="0"/>
        <v>45379</v>
      </c>
      <c r="T39" s="28">
        <f>SUMIFS(Table4420131[Amount],Table4420131[Date],S39,Table4420131[Category],Table136125[[#Headers],[Income]])+SUMIFS(Table44130[Amount],Table44130[Date],S39,Table44130[Category],Table136125[[#Headers],[Income]])</f>
        <v>0</v>
      </c>
      <c r="U39" s="28">
        <f>SUMIFS(Table4124[Amount],Table4124[Date],S39,Table4124[Category],"&lt;&gt;"&amp;Table136125[[#Headers],[Income]])+SUMIFS(Table44130[Amount],Table44130[Date],S39,Table44130[Category],"&lt;&gt;"&amp;Table136125[[#Headers],[Income]])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45380</v>
      </c>
      <c r="T40" s="29">
        <f>SUMIFS(Table4420131[Amount],Table4420131[Date],S40,Table4420131[Category],Table136125[[#Headers],[Income]])+SUMIFS(Table44130[Amount],Table44130[Date],S40,Table44130[Category],Table136125[[#Headers],[Income]])</f>
        <v>0</v>
      </c>
      <c r="U40" s="29">
        <f>SUMIFS(Table4124[Amount],Table4124[Date],S40,Table4124[Category],"&lt;&gt;"&amp;Table136125[[#Headers],[Income]])+SUMIFS(Table44130[Amount],Table44130[Date],S40,Table44130[Category],"&lt;&gt;"&amp;Table136125[[#Headers],[Income]])</f>
        <v>0</v>
      </c>
      <c r="V40" s="29">
        <f t="shared" si="1"/>
        <v>1156.74</v>
      </c>
      <c r="W40" s="1">
        <f t="shared" si="2"/>
        <v>1156.7400000000005</v>
      </c>
    </row>
    <row r="41" spans="2:23">
      <c r="B41" s="32"/>
      <c r="D41" s="2"/>
      <c r="E41" s="2">
        <f>SUMIFS(Table4124[Amount],Table4124[Category],Table13910129[[#Headers],[Bills]],Table4124[Sub-Category],Table13910129[[#This Row],[Bills]])+SUMIFS(Table44130[Amount],Table44130[Category],Table13910129[[#Headers],[Bills]],Table44130[Sub-Category],Table13910129[[#This Row],[Bills]])</f>
        <v>0</v>
      </c>
      <c r="F41" s="3">
        <f>Table13910129[[#This Row],[Budget]]-Table13910129[[#This Row],[Actual]]</f>
        <v>0</v>
      </c>
      <c r="G41" s="32"/>
      <c r="H41" s="42"/>
      <c r="Q41" s="42"/>
      <c r="S41" s="30">
        <f t="shared" si="0"/>
        <v>45381</v>
      </c>
      <c r="T41" s="28">
        <f>SUMIFS(Table4420131[Amount],Table4420131[Date],S41,Table4420131[Category],Table136125[[#Headers],[Income]])+SUMIFS(Table44130[Amount],Table44130[Date],S41,Table44130[Category],Table136125[[#Headers],[Income]])</f>
        <v>0</v>
      </c>
      <c r="U41" s="28">
        <f>SUMIFS(Table4124[Amount],Table4124[Date],S41,Table4124[Category],"&lt;&gt;"&amp;Table136125[[#Headers],[Income]])+SUMIFS(Table44130[Amount],Table44130[Date],S41,Table44130[Category],"&lt;&gt;"&amp;Table136125[[#Headers],[Income]])</f>
        <v>0</v>
      </c>
      <c r="V41" s="28">
        <f t="shared" si="1"/>
        <v>1156.74</v>
      </c>
      <c r="W41" s="1">
        <f t="shared" si="2"/>
        <v>1156.7400000000005</v>
      </c>
    </row>
    <row r="42" spans="2:23">
      <c r="B42" s="32"/>
      <c r="D42" s="2"/>
      <c r="E42" s="2">
        <f>SUMIFS(Table4124[Amount],Table4124[Category],Table13910129[[#Headers],[Bills]],Table4124[Sub-Category],Table13910129[[#This Row],[Bills]])+SUMIFS(Table44130[Amount],Table44130[Category],Table13910129[[#Headers],[Bills]],Table44130[Sub-Category],Table13910129[[#This Row],[Bills]])</f>
        <v>0</v>
      </c>
      <c r="F42" s="3">
        <f>Table13910129[[#This Row],[Budget]]-Table13910129[[#This Row],[Actual]]</f>
        <v>0</v>
      </c>
      <c r="G42" s="32"/>
      <c r="H42" s="42"/>
      <c r="Q42" s="42"/>
      <c r="S42" s="27">
        <f t="shared" si="0"/>
        <v>45382</v>
      </c>
      <c r="T42" s="29">
        <f>SUMIFS(Table4420131[Amount],Table4420131[Date],S42,Table4420131[Category],Table136125[[#Headers],[Income]])+SUMIFS(Table44130[Amount],Table44130[Date],S42,Table44130[Category],Table136125[[#Headers],[Income]])</f>
        <v>0</v>
      </c>
      <c r="U42" s="29">
        <f>SUMIFS(Table4124[Amount],Table4124[Date],S42,Table4124[Category],"&lt;&gt;"&amp;Table136125[[#Headers],[Income]])+SUMIFS(Table44130[Amount],Table44130[Date],S42,Table44130[Category],"&lt;&gt;"&amp;Table136125[[#Headers],[Income]])</f>
        <v>0</v>
      </c>
      <c r="V42" s="29">
        <f t="shared" si="1"/>
        <v>1156.74</v>
      </c>
      <c r="W42" s="1">
        <f t="shared" si="2"/>
        <v>1156.7400000000005</v>
      </c>
    </row>
    <row r="43" spans="2:23">
      <c r="B43" s="32"/>
      <c r="C43" s="11"/>
      <c r="D43" s="12"/>
      <c r="E43" s="13">
        <f>SUMIFS(Table4124[Amount],Table4124[Category],Table13910129[[#Headers],[Bills]],Table4124[Sub-Category],Table13910129[[#This Row],[Bills]])+SUMIFS(Table44130[Amount],Table44130[Category],Table13910129[[#Headers],[Bills]],Table44130[Sub-Category],Table13910129[[#This Row],[Bills]])</f>
        <v>0</v>
      </c>
      <c r="F43" s="13">
        <f>Table13910129[[#This Row],[Budget]]-Table13910129[[#This Row],[Actual]]</f>
        <v>0</v>
      </c>
      <c r="G43" s="32"/>
      <c r="H43" s="42"/>
      <c r="Q43" s="42"/>
      <c r="S43" s="8"/>
    </row>
    <row r="44" spans="2:23">
      <c r="B44" s="32"/>
      <c r="C44" s="11"/>
      <c r="D44" s="12"/>
      <c r="E44" s="13">
        <f>SUMIFS(Table4124[Amount],Table4124[Category],Table13910129[[#Headers],[Bills]],Table4124[Sub-Category],Table13910129[[#This Row],[Bills]])+SUMIFS(Table44130[Amount],Table44130[Category],Table13910129[[#Headers],[Bills]],Table44130[Sub-Category],Table13910129[[#This Row],[Bills]])</f>
        <v>0</v>
      </c>
      <c r="F44" s="13">
        <f>Table13910129[[#This Row],[Budget]]-Table13910129[[#This Row],[Actual]]</f>
        <v>0</v>
      </c>
      <c r="G44" s="32"/>
      <c r="H44" s="42"/>
      <c r="Q44" s="42"/>
      <c r="S44" s="8"/>
    </row>
    <row r="45" spans="2:23">
      <c r="B45" s="32"/>
      <c r="C45" s="11"/>
      <c r="D45" s="12"/>
      <c r="E45" s="13">
        <f>SUMIFS(Table4124[Amount],Table4124[Category],Table13910129[[#Headers],[Bills]],Table4124[Sub-Category],Table13910129[[#This Row],[Bills]])+SUMIFS(Table44130[Amount],Table44130[Category],Table13910129[[#Headers],[Bills]],Table44130[Sub-Category],Table13910129[[#This Row],[Bills]])</f>
        <v>0</v>
      </c>
      <c r="F45" s="13">
        <f>Table13910129[[#This Row],[Budget]]-Table13910129[[#This Row],[Actual]]</f>
        <v>0</v>
      </c>
      <c r="G45" s="32"/>
      <c r="H45" s="42"/>
      <c r="Q45" s="42"/>
    </row>
    <row r="46" spans="2:23">
      <c r="B46" s="32"/>
      <c r="C46" s="9" t="s">
        <v>20</v>
      </c>
      <c r="D46" s="10">
        <f>SUBTOTAL(109,Table13910129[Budget])</f>
        <v>0</v>
      </c>
      <c r="E46" s="10">
        <f>SUBTOTAL(109,Table13910129[Actual])</f>
        <v>0</v>
      </c>
      <c r="F46" s="10">
        <f>SUBTOTAL(109,Table13910129[Variance])</f>
        <v>0</v>
      </c>
      <c r="G46" s="32"/>
      <c r="H46" s="42"/>
      <c r="Q46" s="42"/>
    </row>
    <row r="47" spans="2:23">
      <c r="B47" s="32"/>
      <c r="C47" s="20"/>
      <c r="D47" s="21"/>
      <c r="E47" s="21"/>
      <c r="F47" s="22"/>
      <c r="G47" s="32"/>
      <c r="H47" s="42"/>
      <c r="Q47" s="42"/>
    </row>
    <row r="48" spans="2:23">
      <c r="B48" s="32"/>
      <c r="C48" s="37" t="str">
        <f>CONCATENATE(Table137126[[#Headers],[Living]],"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SUMIFS(Table4124[Amount],Table4124[Category],Table137126[[#Headers],[Living]],Table4124[Sub-Category],Table137126[[#This Row],[Living]])+SUMIFS(Table44130[Amount],Table44130[Category],Table137126[[#Headers],[Living]],Table44130[Sub-Category],Table137126[[#This Row],[Living]])</f>
        <v>0</v>
      </c>
      <c r="F50" s="3">
        <f>Table137126[[#This Row],[Budget]]-Table137126[[#This Row],[Actual]]</f>
        <v>0</v>
      </c>
      <c r="G50" s="32"/>
      <c r="H50" s="42"/>
      <c r="Q50" s="42"/>
    </row>
    <row r="51" spans="2:17">
      <c r="B51" s="32"/>
      <c r="D51" s="2"/>
      <c r="E51" s="2">
        <f>SUMIFS(Table4124[Amount],Table4124[Category],Table137126[[#Headers],[Living]],Table4124[Sub-Category],Table137126[[#This Row],[Living]])+SUMIFS(Table44130[Amount],Table44130[Category],Table137126[[#Headers],[Living]],Table44130[Sub-Category],Table137126[[#This Row],[Living]])</f>
        <v>0</v>
      </c>
      <c r="F51" s="3">
        <f>Table137126[[#This Row],[Budget]]-Table137126[[#This Row],[Actual]]</f>
        <v>0</v>
      </c>
      <c r="G51" s="32"/>
      <c r="H51" s="42"/>
      <c r="Q51" s="42"/>
    </row>
    <row r="52" spans="2:17">
      <c r="B52" s="32"/>
      <c r="C52" s="11"/>
      <c r="D52" s="12"/>
      <c r="E52" s="13">
        <f>SUMIFS(Table4124[Amount],Table4124[Category],Table137126[[#Headers],[Living]],Table4124[Sub-Category],Table137126[[#This Row],[Living]])+SUMIFS(Table44130[Amount],Table44130[Category],Table137126[[#Headers],[Living]],Table44130[Sub-Category],Table137126[[#This Row],[Living]])</f>
        <v>0</v>
      </c>
      <c r="F52" s="13">
        <f>Table137126[[#This Row],[Budget]]-Table137126[[#This Row],[Actual]]</f>
        <v>0</v>
      </c>
      <c r="G52" s="32"/>
      <c r="H52" s="42"/>
      <c r="Q52" s="42"/>
    </row>
    <row r="53" spans="2:17">
      <c r="B53" s="32"/>
      <c r="C53" s="11"/>
      <c r="D53" s="12"/>
      <c r="E53" s="13">
        <f>SUMIFS(Table4124[Amount],Table4124[Category],Table137126[[#Headers],[Living]],Table4124[Sub-Category],Table137126[[#This Row],[Living]])+SUMIFS(Table44130[Amount],Table44130[Category],Table137126[[#Headers],[Living]],Table44130[Sub-Category],Table137126[[#This Row],[Living]])</f>
        <v>0</v>
      </c>
      <c r="F53" s="13">
        <f>Table137126[[#This Row],[Budget]]-Table137126[[#This Row],[Actual]]</f>
        <v>0</v>
      </c>
      <c r="G53" s="32"/>
      <c r="H53" s="42"/>
      <c r="Q53" s="42"/>
    </row>
    <row r="54" spans="2:17">
      <c r="B54" s="32"/>
      <c r="C54" s="9" t="s">
        <v>20</v>
      </c>
      <c r="D54" s="10">
        <f>SUBTOTAL(109,Table137126[Budget])</f>
        <v>0</v>
      </c>
      <c r="E54" s="10">
        <f>SUBTOTAL(109,Table137126[Actual])</f>
        <v>0</v>
      </c>
      <c r="F54" s="10">
        <f>SUBTOTAL(109,Table137126[Variance])</f>
        <v>0</v>
      </c>
      <c r="G54" s="32"/>
      <c r="H54" s="42"/>
      <c r="Q54" s="42"/>
    </row>
    <row r="55" spans="2:17">
      <c r="B55" s="32"/>
      <c r="C55" s="20"/>
      <c r="D55" s="21"/>
      <c r="E55" s="21"/>
      <c r="F55" s="22"/>
      <c r="G55" s="32"/>
      <c r="H55" s="42"/>
      <c r="Q55" s="42"/>
    </row>
    <row r="56" spans="2:17">
      <c r="B56" s="32"/>
      <c r="C56" s="37" t="str">
        <f>CONCATENATE(Table138127[[#Headers],[Entertainment]],"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SUMIFS(Table4124[Amount],Table4124[Category],Table138127[[#Headers],[Entertainment]],Table4124[Sub-Category],Table138127[[#This Row],[Entertainment]])+SUMIFS(Table44130[Amount],Table44130[Category],Table138127[[#Headers],[Entertainment]],Table44130[Sub-Category],Table138127[[#This Row],[Entertainment]])</f>
        <v>0</v>
      </c>
      <c r="F58" s="3">
        <f>Table138127[[#This Row],[Budget]]-Table138127[[#This Row],[Actual]]</f>
        <v>0</v>
      </c>
      <c r="G58" s="32"/>
      <c r="H58" s="42"/>
      <c r="Q58" s="42"/>
    </row>
    <row r="59" spans="2:17">
      <c r="B59" s="33"/>
      <c r="D59" s="2"/>
      <c r="E59" s="2">
        <f>SUMIFS(Table4124[Amount],Table4124[Category],Table138127[[#Headers],[Entertainment]],Table4124[Sub-Category],Table138127[[#This Row],[Entertainment]])+SUMIFS(Table44130[Amount],Table44130[Category],Table138127[[#Headers],[Entertainment]],Table44130[Sub-Category],Table138127[[#This Row],[Entertainment]])</f>
        <v>0</v>
      </c>
      <c r="F59" s="3">
        <f>Table138127[[#This Row],[Budget]]-Table138127[[#This Row],[Actual]]</f>
        <v>0</v>
      </c>
      <c r="G59" s="33"/>
      <c r="H59" s="42"/>
      <c r="Q59" s="42"/>
    </row>
    <row r="60" spans="2:17">
      <c r="C60" s="9" t="s">
        <v>20</v>
      </c>
      <c r="D60" s="10">
        <f>SUBTOTAL(109,Table138127[Budget])</f>
        <v>0</v>
      </c>
      <c r="E60" s="10">
        <f>SUBTOTAL(109,Table138127[Actual])</f>
        <v>0</v>
      </c>
      <c r="F60" s="10">
        <f>SUBTOTAL(109,Table138127[Variance])</f>
        <v>0</v>
      </c>
      <c r="H60" s="42"/>
      <c r="Q60" s="42"/>
    </row>
    <row r="61" spans="2:17">
      <c r="C61" s="26"/>
      <c r="D61" s="23"/>
      <c r="E61" s="23"/>
      <c r="F61" s="23"/>
      <c r="H61" s="42"/>
      <c r="Q61" s="42"/>
    </row>
    <row r="62" spans="2:17">
      <c r="C62" s="37" t="str">
        <f>CONCATENATE(Table139128[[#Headers],[Misc.]],"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SUMIFS(Table4124[Amount],Table4124[Category],Table139128[[#Headers],[Misc.]],Table4124[Sub-Category],Table139128[[#This Row],[Misc.]])+SUMIFS(Table44130[Amount],Table44130[Category],Table139128[[#Headers],[Misc.]],Table44130[Sub-Category],Table139128[[#This Row],[Misc.]])</f>
        <v>0</v>
      </c>
      <c r="F64" s="13">
        <f>Table139128[[#This Row],[Budget]]-Table139128[[#This Row],[Actual]]</f>
        <v>0</v>
      </c>
      <c r="H64" s="42"/>
      <c r="Q64" s="42"/>
    </row>
    <row r="65" spans="3:17">
      <c r="C65" s="11"/>
      <c r="D65" s="12"/>
      <c r="E65" s="13">
        <f>SUMIFS(Table4124[Amount],Table4124[Category],Table139128[[#Headers],[Misc.]],Table4124[Sub-Category],Table139128[[#This Row],[Misc.]])+SUMIFS(Table44130[Amount],Table44130[Category],Table139128[[#Headers],[Misc.]],Table44130[Sub-Category],Table139128[[#This Row],[Misc.]])</f>
        <v>0</v>
      </c>
      <c r="F65" s="13">
        <f>Table139128[[#This Row],[Budget]]-Table139128[[#This Row],[Actual]]</f>
        <v>0</v>
      </c>
      <c r="H65" s="42"/>
      <c r="Q65" s="42"/>
    </row>
    <row r="66" spans="3:17">
      <c r="C66" s="9" t="s">
        <v>20</v>
      </c>
      <c r="D66" s="10">
        <f>SUBTOTAL(109,Table139128[Budget])</f>
        <v>0</v>
      </c>
      <c r="E66" s="10">
        <f>SUBTOTAL(109,Table139128[Actual])</f>
        <v>0</v>
      </c>
      <c r="F66" s="10">
        <f>SUBTOTAL(109,Table139128[Variance])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5" priority="16" operator="equal">
      <formula>TODAY()</formula>
    </cfRule>
  </conditionalFormatting>
  <conditionalFormatting sqref="T12 T20:U42">
    <cfRule type="expression" dxfId="14" priority="15">
      <formula>IF($S12=TODAY(),TRUE)</formula>
    </cfRule>
  </conditionalFormatting>
  <conditionalFormatting sqref="U12">
    <cfRule type="expression" dxfId="13" priority="14">
      <formula>IF($S12=TODAY(),TRUE)</formula>
    </cfRule>
  </conditionalFormatting>
  <conditionalFormatting sqref="V12 V20:V42">
    <cfRule type="expression" dxfId="12" priority="13">
      <formula>IF($S12=TODAY(),TRUE)</formula>
    </cfRule>
  </conditionalFormatting>
  <conditionalFormatting sqref="S13:S15">
    <cfRule type="cellIs" dxfId="11" priority="12" operator="equal">
      <formula>TODAY()</formula>
    </cfRule>
  </conditionalFormatting>
  <conditionalFormatting sqref="T13:T15">
    <cfRule type="expression" dxfId="10" priority="11">
      <formula>IF($S13=TODAY(),TRUE)</formula>
    </cfRule>
  </conditionalFormatting>
  <conditionalFormatting sqref="U13:U15">
    <cfRule type="expression" dxfId="9" priority="10">
      <formula>IF($S13=TODAY(),TRUE)</formula>
    </cfRule>
  </conditionalFormatting>
  <conditionalFormatting sqref="V13:V15">
    <cfRule type="expression" dxfId="8" priority="9">
      <formula>IF($S13=TODAY(),TRUE)</formula>
    </cfRule>
  </conditionalFormatting>
  <conditionalFormatting sqref="S16 S20 S24 S28 S32 S36 S40">
    <cfRule type="cellIs" dxfId="7" priority="8" operator="equal">
      <formula>TODAY()</formula>
    </cfRule>
  </conditionalFormatting>
  <conditionalFormatting sqref="T16">
    <cfRule type="expression" dxfId="6" priority="7">
      <formula>IF($S16=TODAY(),TRUE)</formula>
    </cfRule>
  </conditionalFormatting>
  <conditionalFormatting sqref="U16">
    <cfRule type="expression" dxfId="5" priority="6">
      <formula>IF($S16=TODAY(),TRUE)</formula>
    </cfRule>
  </conditionalFormatting>
  <conditionalFormatting sqref="V16">
    <cfRule type="expression" dxfId="4" priority="5">
      <formula>IF($S16=TODAY(),TRUE)</formula>
    </cfRule>
  </conditionalFormatting>
  <conditionalFormatting sqref="S17:S19 S21:S23 S25:S27 S29:S31 S33:S35 S37:S39 S41:S42">
    <cfRule type="cellIs" dxfId="3" priority="4" operator="equal">
      <formula>TODAY()</formula>
    </cfRule>
  </conditionalFormatting>
  <conditionalFormatting sqref="T17:T19">
    <cfRule type="expression" dxfId="2" priority="3">
      <formula>IF($S17=TODAY(),TRUE)</formula>
    </cfRule>
  </conditionalFormatting>
  <conditionalFormatting sqref="U17:U19">
    <cfRule type="expression" dxfId="1" priority="2">
      <formula>IF($S17=TODAY(),TRUE)</formula>
    </cfRule>
  </conditionalFormatting>
  <conditionalFormatting sqref="V17:V19">
    <cfRule type="expression" dxfId="0"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B00-000000000000}">
      <formula1>$U$2:$U$4</formula1>
    </dataValidation>
    <dataValidation type="list" allowBlank="1" showInputMessage="1" showErrorMessage="1" sqref="K35:K40 K19:K32 K12:K16" xr:uid="{00000000-0002-0000-0B00-000001000000}">
      <formula1>$R$2:$R$8</formula1>
    </dataValidation>
    <dataValidation type="list" allowBlank="1" showInputMessage="1" showErrorMessage="1" sqref="L35:L40 L12:L16 L19:L32" xr:uid="{00000000-0002-0000-0B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AD3E7518-67E9-4572-98F0-5D0DC3AFA136}">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240A2932-2C15-4C8F-AFB0-C75FD3AC98C4}">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DATE(YEAR(Mo.1!B1),MONTH(Mo.1!B1)+1,DAY(Mo.1!B1))</f>
        <v>45047</v>
      </c>
      <c r="D1" s="61"/>
      <c r="E1" s="61"/>
      <c r="F1" s="61"/>
      <c r="R1" s="45" t="s">
        <v>0</v>
      </c>
      <c r="S1" s="45" t="s">
        <v>1</v>
      </c>
      <c r="T1" s="45" t="s">
        <v>2</v>
      </c>
      <c r="U1" s="45" t="s">
        <v>16</v>
      </c>
      <c r="V1" s="45" t="s">
        <v>45</v>
      </c>
    </row>
    <row r="2" spans="2:23">
      <c r="D2" s="18" t="s">
        <v>1</v>
      </c>
      <c r="E2" s="19" t="s">
        <v>2</v>
      </c>
      <c r="F2" s="19" t="s">
        <v>14</v>
      </c>
      <c r="R2" s="45" t="str">
        <f>Table13614[[#Headers],[Income]]</f>
        <v>Income</v>
      </c>
      <c r="S2" s="45">
        <f>SUM(Table13614[Budget])</f>
        <v>0</v>
      </c>
      <c r="T2" s="45">
        <f>SUM(Table13614[Actual])</f>
        <v>0</v>
      </c>
      <c r="U2" s="45" t="s">
        <v>19</v>
      </c>
      <c r="V2" s="45">
        <f>AVERAGE(V12:V42)</f>
        <v>12142.140000000009</v>
      </c>
    </row>
    <row r="3" spans="2:23">
      <c r="C3" s="17" t="s">
        <v>35</v>
      </c>
      <c r="D3" s="5">
        <f>Mo.1!C6</f>
        <v>10815</v>
      </c>
      <c r="E3" s="14">
        <f>Mo.1!D6</f>
        <v>12142.14</v>
      </c>
      <c r="F3" s="14">
        <f>E3-D3</f>
        <v>1327.1399999999994</v>
      </c>
      <c r="R3" s="45" t="str">
        <f>Table111[[#Headers],[Housing]]</f>
        <v>Housing</v>
      </c>
      <c r="S3" s="45">
        <f>SUM(Table111[Budget])</f>
        <v>0</v>
      </c>
      <c r="T3" s="45">
        <f>SUM(Table111[Actual])</f>
        <v>0</v>
      </c>
      <c r="U3" s="45" t="s">
        <v>17</v>
      </c>
      <c r="V3" s="45"/>
    </row>
    <row r="4" spans="2:23">
      <c r="C4" s="17" t="s">
        <v>32</v>
      </c>
      <c r="D4" s="5">
        <f>Table13614[[#Totals],[Budget]]</f>
        <v>0</v>
      </c>
      <c r="E4" s="5">
        <f>Table13614[[#Totals],[Actual]]</f>
        <v>0</v>
      </c>
      <c r="F4" s="5">
        <f>E4-D4</f>
        <v>0</v>
      </c>
      <c r="R4" s="45" t="str">
        <f>Table1312[[#Headers],[Transportation]]</f>
        <v>Transportation</v>
      </c>
      <c r="S4" s="45">
        <f>SUM(Table1312[Budget])</f>
        <v>0</v>
      </c>
      <c r="T4" s="45">
        <f>SUM(Table1312[Actual])</f>
        <v>0</v>
      </c>
      <c r="U4" s="45" t="s">
        <v>18</v>
      </c>
      <c r="V4" s="45"/>
    </row>
    <row r="5" spans="2:23">
      <c r="C5" s="17" t="s">
        <v>33</v>
      </c>
      <c r="D5" s="5">
        <f>Table111[[#Totals],[Budget]]+Table1312[[#Totals],[Budget]]+Table1391018[[#Totals],[Budget]]+Table13715[[#Totals],[Budget]]+Table13816[[#Totals],[Budget]]+Table13917[[#Totals],[Budget]]</f>
        <v>0</v>
      </c>
      <c r="E5" s="5">
        <f>Table111[[#Totals],[Actual]]+Table1312[[#Totals],[Actual]]+Table1391018[[#Totals],[Actual]]+Table13715[[#Totals],[Actual]]+Table13816[[#Totals],[Actual]]+Table13917[[#Totals],[Actual]]</f>
        <v>0</v>
      </c>
      <c r="F5" s="5">
        <f>E5-D5</f>
        <v>0</v>
      </c>
      <c r="R5" s="45" t="str">
        <f>Table1391018[[#Headers],[Bills]]</f>
        <v>Bills</v>
      </c>
      <c r="S5" s="45">
        <f>SUM(Table1391018[Budget])</f>
        <v>0</v>
      </c>
      <c r="T5" s="45">
        <f>SUM(Table1391018[Actual])</f>
        <v>0</v>
      </c>
      <c r="U5" s="45"/>
      <c r="V5" s="45"/>
    </row>
    <row r="6" spans="2:23">
      <c r="C6" s="15" t="s">
        <v>34</v>
      </c>
      <c r="D6" s="16">
        <f>D3+D4-D5</f>
        <v>10815</v>
      </c>
      <c r="E6" s="16">
        <f>E3+E4-E5</f>
        <v>12142.14</v>
      </c>
      <c r="F6" s="16">
        <f>F3+F4-F5</f>
        <v>1327.1399999999994</v>
      </c>
      <c r="R6" s="45" t="str">
        <f>Table13715[[#Headers],[Living]]</f>
        <v>Living</v>
      </c>
      <c r="S6" s="45">
        <f>SUM(Table13715[Budget])</f>
        <v>0</v>
      </c>
      <c r="T6" s="45">
        <f>SUM(Table13715[Actual])</f>
        <v>0</v>
      </c>
      <c r="U6" s="45"/>
      <c r="V6" s="45"/>
    </row>
    <row r="7" spans="2:23" ht="3.75" customHeight="1">
      <c r="D7" s="2"/>
      <c r="R7" s="45" t="str">
        <f>Table13816[[#Headers],[Entertainment]]</f>
        <v>Entertainment</v>
      </c>
      <c r="S7" s="45">
        <f>SUM(Table13816[Budget])</f>
        <v>0</v>
      </c>
      <c r="T7" s="45">
        <f>SUM(Table13816[Actual])</f>
        <v>0</v>
      </c>
      <c r="U7" s="45"/>
      <c r="V7" s="45"/>
    </row>
    <row r="8" spans="2:23" ht="1.5" customHeight="1">
      <c r="C8" s="42"/>
      <c r="D8" s="43"/>
      <c r="E8" s="42"/>
      <c r="F8" s="42"/>
      <c r="G8" s="42"/>
      <c r="H8" s="42"/>
      <c r="I8" s="42"/>
      <c r="J8" s="42"/>
      <c r="K8" s="42"/>
      <c r="L8" s="42"/>
      <c r="M8" s="42"/>
      <c r="N8" s="42"/>
      <c r="O8" s="42"/>
      <c r="P8" s="42"/>
      <c r="Q8" s="42"/>
      <c r="R8" s="44" t="str">
        <f>Table13917[[#Headers],[Misc.]]</f>
        <v>Misc.</v>
      </c>
      <c r="S8" s="44">
        <f>SUM(Table13917[Budget])</f>
        <v>0</v>
      </c>
      <c r="T8" s="44">
        <f>SUM(Table13917[Actual])</f>
        <v>0</v>
      </c>
      <c r="U8" s="44"/>
      <c r="V8" s="44"/>
    </row>
    <row r="9" spans="2:23" ht="3.75" customHeight="1">
      <c r="D9" s="2"/>
      <c r="H9" s="42"/>
      <c r="Q9" s="42"/>
    </row>
    <row r="10" spans="2:23" s="25" customFormat="1">
      <c r="B10" s="35"/>
      <c r="C10" s="37" t="str">
        <f>CONCATENATE(Table13614[[#Headers],[Income]],"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SUMIFS(Table442021[Amount],Table442021[Category],Table13614[[#Headers],[Income]],Table442021[Sub-Category],Table13614[[#This Row],[Income]])+SUMIFS(Table4419[Amount],Table4419[Category],Table13614[[#Headers],[Income]],Table4419[Sub-Category],Table13614[[#This Row],[Income]])</f>
        <v>0</v>
      </c>
      <c r="F12" s="3">
        <f>Table13614[[#This Row],[Actual]]-Table13614[[#This Row],[Budget]]</f>
        <v>0</v>
      </c>
      <c r="G12" s="32"/>
      <c r="H12" s="42"/>
      <c r="M12" s="4"/>
      <c r="N12" s="2"/>
      <c r="Q12" s="42"/>
      <c r="S12" s="27">
        <f>C1</f>
        <v>45047</v>
      </c>
      <c r="T12" s="29">
        <f>SUMIFS(Table442021[Amount],Table442021[Date],S12,Table442021[Category],Table13614[[#Headers],[Income]])+SUMIFS(Table4419[Amount],Table4419[Date],S12,Table4419[Category],Table13614[[#Headers],[Income]])</f>
        <v>0</v>
      </c>
      <c r="U12" s="29">
        <f>SUMIFS(Table413[Amount],Table413[Date],S12,Table413[Category],"&lt;&gt;"&amp;Table13614[[#Headers],[Income]])+SUMIFS(Table4419[Amount],Table4419[Date],S12,Table4419[Category],"&lt;&gt;"&amp;Table13614[[#Headers],[Income]])</f>
        <v>0</v>
      </c>
      <c r="V12" s="29">
        <f>E3+T12-U12</f>
        <v>12142.14</v>
      </c>
      <c r="W12" s="1">
        <f>V2</f>
        <v>12142.140000000009</v>
      </c>
    </row>
    <row r="13" spans="2:23">
      <c r="B13" s="32"/>
      <c r="D13" s="2"/>
      <c r="E13" s="2">
        <f>SUMIFS(Table442021[Amount],Table442021[Category],Table13614[[#Headers],[Income]],Table442021[Sub-Category],Table13614[[#This Row],[Income]])+SUMIFS(Table4419[Amount],Table4419[Category],Table13614[[#Headers],[Income]],Table4419[Sub-Category],Table13614[[#This Row],[Income]])</f>
        <v>0</v>
      </c>
      <c r="F13" s="3">
        <f>Table13614[[#This Row],[Actual]]-Table13614[[#This Row],[Budget]]</f>
        <v>0</v>
      </c>
      <c r="G13" s="32"/>
      <c r="H13" s="42"/>
      <c r="M13" s="4"/>
      <c r="N13" s="2"/>
      <c r="Q13" s="42"/>
      <c r="S13" s="30">
        <f t="shared" ref="S13:S42" si="0">S12+1</f>
        <v>45048</v>
      </c>
      <c r="T13" s="28">
        <f>SUMIFS(Table442021[Amount],Table442021[Date],S13,Table442021[Category],Table13614[[#Headers],[Income]])+SUMIFS(Table4419[Amount],Table4419[Date],S13,Table4419[Category],Table13614[[#Headers],[Income]])</f>
        <v>0</v>
      </c>
      <c r="U13" s="28">
        <f>SUMIFS(Table413[Amount],Table413[Date],S13,Table413[Category],"&lt;&gt;"&amp;Table13614[[#Headers],[Income]])+SUMIFS(Table4419[Amount],Table4419[Date],S13,Table4419[Category],"&lt;&gt;"&amp;Table13614[[#Headers],[Income]])</f>
        <v>0</v>
      </c>
      <c r="V13" s="28">
        <f>V12+T13-U13</f>
        <v>12142.14</v>
      </c>
      <c r="W13" s="1">
        <f>W12</f>
        <v>12142.140000000009</v>
      </c>
    </row>
    <row r="14" spans="2:23">
      <c r="B14" s="32"/>
      <c r="D14" s="12"/>
      <c r="E14" s="12">
        <f>SUMIFS(Table442021[Amount],Table442021[Category],Table13614[[#Headers],[Income]],Table442021[Sub-Category],Table13614[[#This Row],[Income]])+SUMIFS(Table4419[Amount],Table4419[Category],Table13614[[#Headers],[Income]],Table4419[Sub-Category],Table13614[[#This Row],[Income]])</f>
        <v>0</v>
      </c>
      <c r="F14" s="2">
        <f>Table13614[[#This Row],[Actual]]-Table13614[[#This Row],[Budget]]</f>
        <v>0</v>
      </c>
      <c r="G14" s="32"/>
      <c r="H14" s="42"/>
      <c r="M14" s="4"/>
      <c r="N14" s="2"/>
      <c r="Q14" s="42"/>
      <c r="S14" s="27">
        <f t="shared" si="0"/>
        <v>45049</v>
      </c>
      <c r="T14" s="29">
        <f>SUMIFS(Table442021[Amount],Table442021[Date],S14,Table442021[Category],Table13614[[#Headers],[Income]])+SUMIFS(Table4419[Amount],Table4419[Date],S14,Table4419[Category],Table13614[[#Headers],[Income]])</f>
        <v>0</v>
      </c>
      <c r="U14" s="29">
        <f>SUMIFS(Table413[Amount],Table413[Date],S14,Table413[Category],"&lt;&gt;"&amp;Table13614[[#Headers],[Income]])+SUMIFS(Table4419[Amount],Table4419[Date],S14,Table4419[Category],"&lt;&gt;"&amp;Table13614[[#Headers],[Income]])</f>
        <v>0</v>
      </c>
      <c r="V14" s="29">
        <f t="shared" ref="V14:V42" si="1">V13+T14-U14</f>
        <v>12142.14</v>
      </c>
      <c r="W14" s="1">
        <f t="shared" ref="W14:W42" si="2">W13</f>
        <v>12142.140000000009</v>
      </c>
    </row>
    <row r="15" spans="2:23">
      <c r="B15" s="32"/>
      <c r="D15" s="2"/>
      <c r="E15" s="3">
        <f>SUMIFS(Table442021[Amount],Table442021[Category],Table13614[[#Headers],[Income]],Table442021[Sub-Category],Table13614[[#This Row],[Income]])+SUMIFS(Table4419[Amount],Table4419[Category],Table13614[[#Headers],[Income]],Table4419[Sub-Category],Table13614[[#This Row],[Income]])</f>
        <v>0</v>
      </c>
      <c r="F15" s="3">
        <f>Table13614[[#This Row],[Actual]]-Table13614[[#This Row],[Budget]]</f>
        <v>0</v>
      </c>
      <c r="G15" s="32"/>
      <c r="H15" s="42"/>
      <c r="J15" s="11"/>
      <c r="K15" s="11"/>
      <c r="L15" s="11"/>
      <c r="M15" s="24"/>
      <c r="N15" s="12"/>
      <c r="O15" s="11"/>
      <c r="Q15" s="42"/>
      <c r="S15" s="30">
        <f t="shared" si="0"/>
        <v>45050</v>
      </c>
      <c r="T15" s="28">
        <f>SUMIFS(Table442021[Amount],Table442021[Date],S15,Table442021[Category],Table13614[[#Headers],[Income]])+SUMIFS(Table4419[Amount],Table4419[Date],S15,Table4419[Category],Table13614[[#Headers],[Income]])</f>
        <v>0</v>
      </c>
      <c r="U15" s="28">
        <f>SUMIFS(Table413[Amount],Table413[Date],S15,Table413[Category],"&lt;&gt;"&amp;Table13614[[#Headers],[Income]])+SUMIFS(Table4419[Amount],Table4419[Date],S15,Table4419[Category],"&lt;&gt;"&amp;Table13614[[#Headers],[Income]])</f>
        <v>0</v>
      </c>
      <c r="V15" s="28">
        <f t="shared" si="1"/>
        <v>12142.14</v>
      </c>
      <c r="W15" s="1">
        <f t="shared" si="2"/>
        <v>12142.140000000009</v>
      </c>
    </row>
    <row r="16" spans="2:23">
      <c r="B16" s="32"/>
      <c r="C16" s="6" t="s">
        <v>20</v>
      </c>
      <c r="D16" s="7">
        <f>SUBTOTAL(109,Table13614[Budget])</f>
        <v>0</v>
      </c>
      <c r="E16" s="7">
        <f>SUBTOTAL(109,Table13614[Actual])</f>
        <v>0</v>
      </c>
      <c r="F16" s="7">
        <f>SUBTOTAL(109,Table13614[Variance])</f>
        <v>0</v>
      </c>
      <c r="G16" s="36"/>
      <c r="H16" s="43"/>
      <c r="I16" s="2"/>
      <c r="M16" s="4"/>
      <c r="N16" s="2"/>
      <c r="Q16" s="43"/>
      <c r="S16" s="27">
        <f t="shared" si="0"/>
        <v>45051</v>
      </c>
      <c r="T16" s="29">
        <f>SUMIFS(Table442021[Amount],Table442021[Date],S16,Table442021[Category],Table13614[[#Headers],[Income]])+SUMIFS(Table4419[Amount],Table4419[Date],S16,Table4419[Category],Table13614[[#Headers],[Income]])</f>
        <v>0</v>
      </c>
      <c r="U16" s="29">
        <f>SUMIFS(Table413[Amount],Table413[Date],S16,Table413[Category],"&lt;&gt;"&amp;Table13614[[#Headers],[Income]])+SUMIFS(Table4419[Amount],Table4419[Date],S16,Table4419[Category],"&lt;&gt;"&amp;Table13614[[#Headers],[Income]])</f>
        <v>0</v>
      </c>
      <c r="V16" s="29">
        <f t="shared" si="1"/>
        <v>12142.14</v>
      </c>
      <c r="W16" s="1">
        <f t="shared" si="2"/>
        <v>12142.140000000009</v>
      </c>
    </row>
    <row r="17" spans="2:23">
      <c r="B17" s="32"/>
      <c r="C17" s="20"/>
      <c r="D17" s="21"/>
      <c r="E17" s="21"/>
      <c r="F17" s="21"/>
      <c r="G17" s="36"/>
      <c r="H17" s="43"/>
      <c r="I17" s="2"/>
      <c r="J17" s="37" t="s">
        <v>43</v>
      </c>
      <c r="K17" s="38"/>
      <c r="L17" s="38"/>
      <c r="M17" s="38"/>
      <c r="N17" s="38"/>
      <c r="O17" s="39"/>
      <c r="Q17" s="43"/>
      <c r="S17" s="30">
        <f t="shared" si="0"/>
        <v>45052</v>
      </c>
      <c r="T17" s="28">
        <f>SUMIFS(Table442021[Amount],Table442021[Date],S17,Table442021[Category],Table13614[[#Headers],[Income]])+SUMIFS(Table4419[Amount],Table4419[Date],S17,Table4419[Category],Table13614[[#Headers],[Income]])</f>
        <v>0</v>
      </c>
      <c r="U17" s="28">
        <f>SUMIFS(Table413[Amount],Table413[Date],S17,Table413[Category],"&lt;&gt;"&amp;Table13614[[#Headers],[Income]])+SUMIFS(Table4419[Amount],Table4419[Date],S17,Table4419[Category],"&lt;&gt;"&amp;Table13614[[#Headers],[Income]])</f>
        <v>0</v>
      </c>
      <c r="V17" s="28">
        <f t="shared" si="1"/>
        <v>12142.14</v>
      </c>
      <c r="W17" s="1">
        <f t="shared" si="2"/>
        <v>12142.140000000009</v>
      </c>
    </row>
    <row r="18" spans="2:23">
      <c r="B18" s="32"/>
      <c r="C18" s="37" t="str">
        <f>CONCATENATE(Table111[[#Headers],[Housing]],"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45053</v>
      </c>
      <c r="T18" s="29">
        <f>SUMIFS(Table442021[Amount],Table442021[Date],S18,Table442021[Category],Table13614[[#Headers],[Income]])+SUMIFS(Table4419[Amount],Table4419[Date],S18,Table4419[Category],Table13614[[#Headers],[Income]])</f>
        <v>0</v>
      </c>
      <c r="U18" s="29">
        <f>SUMIFS(Table413[Amount],Table413[Date],S18,Table413[Category],"&lt;&gt;"&amp;Table13614[[#Headers],[Income]])+SUMIFS(Table4419[Amount],Table4419[Date],S18,Table4419[Category],"&lt;&gt;"&amp;Table13614[[#Headers],[Income]])</f>
        <v>0</v>
      </c>
      <c r="V18" s="29">
        <f t="shared" si="1"/>
        <v>12142.14</v>
      </c>
      <c r="W18" s="1">
        <f t="shared" si="2"/>
        <v>12142.140000000009</v>
      </c>
    </row>
    <row r="19" spans="2:23">
      <c r="B19" s="32"/>
      <c r="C19" s="31" t="s">
        <v>8</v>
      </c>
      <c r="D19" s="31" t="s">
        <v>1</v>
      </c>
      <c r="E19" s="31" t="s">
        <v>2</v>
      </c>
      <c r="F19" s="31" t="s">
        <v>14</v>
      </c>
      <c r="G19" s="36"/>
      <c r="H19" s="43"/>
      <c r="I19" s="2"/>
      <c r="M19" s="4"/>
      <c r="N19" s="2"/>
      <c r="Q19" s="43"/>
      <c r="S19" s="30">
        <f t="shared" si="0"/>
        <v>45054</v>
      </c>
      <c r="T19" s="28">
        <f>SUMIFS(Table442021[Amount],Table442021[Date],S19,Table442021[Category],Table13614[[#Headers],[Income]])+SUMIFS(Table4419[Amount],Table4419[Date],S19,Table4419[Category],Table13614[[#Headers],[Income]])</f>
        <v>0</v>
      </c>
      <c r="U19" s="28">
        <f>SUMIFS(Table413[Amount],Table413[Date],S19,Table413[Category],"&lt;&gt;"&amp;Table13614[[#Headers],[Income]])+SUMIFS(Table4419[Amount],Table4419[Date],S19,Table4419[Category],"&lt;&gt;"&amp;Table13614[[#Headers],[Income]])</f>
        <v>0</v>
      </c>
      <c r="V19" s="28">
        <f t="shared" si="1"/>
        <v>12142.14</v>
      </c>
      <c r="W19" s="1">
        <f t="shared" si="2"/>
        <v>12142.140000000009</v>
      </c>
    </row>
    <row r="20" spans="2:23">
      <c r="B20" s="32"/>
      <c r="D20" s="2"/>
      <c r="E20" s="2">
        <f>SUMIFS(Table413[Amount],Table413[Category],Table111[[#Headers],[Housing]],Table413[Sub-Category],Table111[[#This Row],[Housing]])+SUMIFS(Table4419[Amount],Table4419[Category],Table111[[#Headers],[Housing]],Table4419[Sub-Category],Table111[[#This Row],[Housing]])</f>
        <v>0</v>
      </c>
      <c r="F20" s="3">
        <f>Table111[[#This Row],[Budget]]-Table111[[#This Row],[Actual]]</f>
        <v>0</v>
      </c>
      <c r="G20" s="36"/>
      <c r="H20" s="43"/>
      <c r="I20" s="2"/>
      <c r="J20" s="11"/>
      <c r="K20" s="11"/>
      <c r="L20" s="11"/>
      <c r="M20" s="24"/>
      <c r="N20" s="12"/>
      <c r="O20" s="11"/>
      <c r="Q20" s="43"/>
      <c r="S20" s="27">
        <f t="shared" si="0"/>
        <v>45055</v>
      </c>
      <c r="T20" s="29">
        <f>SUMIFS(Table442021[Amount],Table442021[Date],S20,Table442021[Category],Table13614[[#Headers],[Income]])+SUMIFS(Table4419[Amount],Table4419[Date],S20,Table4419[Category],Table13614[[#Headers],[Income]])</f>
        <v>0</v>
      </c>
      <c r="U20" s="29">
        <f>SUMIFS(Table413[Amount],Table413[Date],S20,Table413[Category],"&lt;&gt;"&amp;Table13614[[#Headers],[Income]])+SUMIFS(Table4419[Amount],Table4419[Date],S20,Table4419[Category],"&lt;&gt;"&amp;Table13614[[#Headers],[Income]])</f>
        <v>0</v>
      </c>
      <c r="V20" s="29">
        <f t="shared" si="1"/>
        <v>12142.14</v>
      </c>
      <c r="W20" s="1">
        <f t="shared" si="2"/>
        <v>12142.140000000009</v>
      </c>
    </row>
    <row r="21" spans="2:23">
      <c r="B21" s="32"/>
      <c r="D21" s="2"/>
      <c r="E21" s="2">
        <f>SUMIFS(Table413[Amount],Table413[Category],Table111[[#Headers],[Housing]],Table413[Sub-Category],Table111[[#This Row],[Housing]])+SUMIFS(Table4419[Amount],Table4419[Category],Table111[[#Headers],[Housing]],Table4419[Sub-Category],Table111[[#This Row],[Housing]])</f>
        <v>0</v>
      </c>
      <c r="F21" s="3">
        <f>Table111[[#This Row],[Budget]]-Table111[[#This Row],[Actual]]</f>
        <v>0</v>
      </c>
      <c r="G21" s="36"/>
      <c r="H21" s="43"/>
      <c r="I21" s="2"/>
      <c r="J21" s="11"/>
      <c r="K21" s="11"/>
      <c r="L21" s="11"/>
      <c r="M21" s="24"/>
      <c r="N21" s="12"/>
      <c r="O21" s="11"/>
      <c r="Q21" s="43"/>
      <c r="S21" s="30">
        <f t="shared" si="0"/>
        <v>45056</v>
      </c>
      <c r="T21" s="28">
        <f>SUMIFS(Table442021[Amount],Table442021[Date],S21,Table442021[Category],Table13614[[#Headers],[Income]])+SUMIFS(Table4419[Amount],Table4419[Date],S21,Table4419[Category],Table13614[[#Headers],[Income]])</f>
        <v>0</v>
      </c>
      <c r="U21" s="28">
        <f>SUMIFS(Table413[Amount],Table413[Date],S21,Table413[Category],"&lt;&gt;"&amp;Table13614[[#Headers],[Income]])+SUMIFS(Table4419[Amount],Table4419[Date],S21,Table4419[Category],"&lt;&gt;"&amp;Table13614[[#Headers],[Income]])</f>
        <v>0</v>
      </c>
      <c r="V21" s="28">
        <f t="shared" si="1"/>
        <v>12142.14</v>
      </c>
      <c r="W21" s="1">
        <f t="shared" si="2"/>
        <v>12142.140000000009</v>
      </c>
    </row>
    <row r="22" spans="2:23">
      <c r="B22" s="32"/>
      <c r="D22" s="2"/>
      <c r="E22" s="2">
        <f>SUMIFS(Table413[Amount],Table413[Category],Table111[[#Headers],[Housing]],Table413[Sub-Category],Table111[[#This Row],[Housing]])+SUMIFS(Table4419[Amount],Table4419[Category],Table111[[#Headers],[Housing]],Table4419[Sub-Category],Table111[[#This Row],[Housing]])</f>
        <v>0</v>
      </c>
      <c r="F22" s="3">
        <f>Table111[[#This Row],[Budget]]-Table111[[#This Row],[Actual]]</f>
        <v>0</v>
      </c>
      <c r="G22" s="36"/>
      <c r="H22" s="43"/>
      <c r="I22" s="2"/>
      <c r="J22" s="11"/>
      <c r="K22" s="11"/>
      <c r="L22" s="11"/>
      <c r="M22" s="24"/>
      <c r="N22" s="12"/>
      <c r="O22" s="11"/>
      <c r="Q22" s="43"/>
      <c r="S22" s="27">
        <f t="shared" si="0"/>
        <v>45057</v>
      </c>
      <c r="T22" s="29">
        <f>SUMIFS(Table442021[Amount],Table442021[Date],S22,Table442021[Category],Table13614[[#Headers],[Income]])+SUMIFS(Table4419[Amount],Table4419[Date],S22,Table4419[Category],Table13614[[#Headers],[Income]])</f>
        <v>0</v>
      </c>
      <c r="U22" s="29">
        <f>SUMIFS(Table413[Amount],Table413[Date],S22,Table413[Category],"&lt;&gt;"&amp;Table13614[[#Headers],[Income]])+SUMIFS(Table4419[Amount],Table4419[Date],S22,Table4419[Category],"&lt;&gt;"&amp;Table13614[[#Headers],[Income]])</f>
        <v>0</v>
      </c>
      <c r="V22" s="29">
        <f t="shared" si="1"/>
        <v>12142.14</v>
      </c>
      <c r="W22" s="1">
        <f t="shared" si="2"/>
        <v>12142.140000000009</v>
      </c>
    </row>
    <row r="23" spans="2:23">
      <c r="B23" s="32"/>
      <c r="D23" s="2"/>
      <c r="E23" s="2">
        <f>SUMIFS(Table413[Amount],Table413[Category],Table111[[#Headers],[Housing]],Table413[Sub-Category],Table111[[#This Row],[Housing]])+SUMIFS(Table4419[Amount],Table4419[Category],Table111[[#Headers],[Housing]],Table4419[Sub-Category],Table111[[#This Row],[Housing]])</f>
        <v>0</v>
      </c>
      <c r="F23" s="3">
        <f>Table111[[#This Row],[Budget]]-Table111[[#This Row],[Actual]]</f>
        <v>0</v>
      </c>
      <c r="G23" s="36"/>
      <c r="H23" s="43"/>
      <c r="I23" s="2"/>
      <c r="J23" s="11"/>
      <c r="K23" s="11"/>
      <c r="L23" s="11"/>
      <c r="M23" s="24"/>
      <c r="N23" s="12"/>
      <c r="O23" s="11"/>
      <c r="Q23" s="43"/>
      <c r="S23" s="30">
        <f t="shared" si="0"/>
        <v>45058</v>
      </c>
      <c r="T23" s="28">
        <f>SUMIFS(Table442021[Amount],Table442021[Date],S23,Table442021[Category],Table13614[[#Headers],[Income]])+SUMIFS(Table4419[Amount],Table4419[Date],S23,Table4419[Category],Table13614[[#Headers],[Income]])</f>
        <v>0</v>
      </c>
      <c r="U23" s="28">
        <f>SUMIFS(Table413[Amount],Table413[Date],S23,Table413[Category],"&lt;&gt;"&amp;Table13614[[#Headers],[Income]])+SUMIFS(Table4419[Amount],Table4419[Date],S23,Table4419[Category],"&lt;&gt;"&amp;Table13614[[#Headers],[Income]])</f>
        <v>0</v>
      </c>
      <c r="V23" s="28">
        <f t="shared" si="1"/>
        <v>12142.14</v>
      </c>
      <c r="W23" s="1">
        <f t="shared" si="2"/>
        <v>12142.140000000009</v>
      </c>
    </row>
    <row r="24" spans="2:23">
      <c r="B24" s="32"/>
      <c r="D24" s="2"/>
      <c r="E24" s="2">
        <f>SUMIFS(Table413[Amount],Table413[Category],Table111[[#Headers],[Housing]],Table413[Sub-Category],Table111[[#This Row],[Housing]])+SUMIFS(Table4419[Amount],Table4419[Category],Table111[[#Headers],[Housing]],Table4419[Sub-Category],Table111[[#This Row],[Housing]])</f>
        <v>0</v>
      </c>
      <c r="F24" s="3">
        <f>Table111[[#This Row],[Budget]]-Table111[[#This Row],[Actual]]</f>
        <v>0</v>
      </c>
      <c r="G24" s="36"/>
      <c r="H24" s="43"/>
      <c r="I24" s="2"/>
      <c r="J24" s="11"/>
      <c r="K24" s="11"/>
      <c r="L24" s="11"/>
      <c r="M24" s="24"/>
      <c r="N24" s="12"/>
      <c r="O24" s="11"/>
      <c r="Q24" s="43"/>
      <c r="S24" s="27">
        <f t="shared" si="0"/>
        <v>45059</v>
      </c>
      <c r="T24" s="29">
        <f>SUMIFS(Table442021[Amount],Table442021[Date],S24,Table442021[Category],Table13614[[#Headers],[Income]])+SUMIFS(Table4419[Amount],Table4419[Date],S24,Table4419[Category],Table13614[[#Headers],[Income]])</f>
        <v>0</v>
      </c>
      <c r="U24" s="29">
        <f>SUMIFS(Table413[Amount],Table413[Date],S24,Table413[Category],"&lt;&gt;"&amp;Table13614[[#Headers],[Income]])+SUMIFS(Table4419[Amount],Table4419[Date],S24,Table4419[Category],"&lt;&gt;"&amp;Table13614[[#Headers],[Income]])</f>
        <v>0</v>
      </c>
      <c r="V24" s="29">
        <f t="shared" si="1"/>
        <v>12142.14</v>
      </c>
      <c r="W24" s="1">
        <f t="shared" si="2"/>
        <v>12142.140000000009</v>
      </c>
    </row>
    <row r="25" spans="2:23">
      <c r="B25" s="32"/>
      <c r="D25" s="2"/>
      <c r="E25" s="2">
        <f>SUMIFS(Table413[Amount],Table413[Category],Table111[[#Headers],[Housing]],Table413[Sub-Category],Table111[[#This Row],[Housing]])+SUMIFS(Table4419[Amount],Table4419[Category],Table111[[#Headers],[Housing]],Table4419[Sub-Category],Table111[[#This Row],[Housing]])</f>
        <v>0</v>
      </c>
      <c r="F25" s="3">
        <f>Table111[[#This Row],[Budget]]-Table111[[#This Row],[Actual]]</f>
        <v>0</v>
      </c>
      <c r="G25" s="32"/>
      <c r="H25" s="42"/>
      <c r="J25" s="11"/>
      <c r="K25" s="11"/>
      <c r="L25" s="11"/>
      <c r="M25" s="24"/>
      <c r="N25" s="12"/>
      <c r="O25" s="11"/>
      <c r="Q25" s="42"/>
      <c r="S25" s="30">
        <f t="shared" si="0"/>
        <v>45060</v>
      </c>
      <c r="T25" s="28">
        <f>SUMIFS(Table442021[Amount],Table442021[Date],S25,Table442021[Category],Table13614[[#Headers],[Income]])+SUMIFS(Table4419[Amount],Table4419[Date],S25,Table4419[Category],Table13614[[#Headers],[Income]])</f>
        <v>0</v>
      </c>
      <c r="U25" s="28">
        <f>SUMIFS(Table413[Amount],Table413[Date],S25,Table413[Category],"&lt;&gt;"&amp;Table13614[[#Headers],[Income]])+SUMIFS(Table4419[Amount],Table4419[Date],S25,Table4419[Category],"&lt;&gt;"&amp;Table13614[[#Headers],[Income]])</f>
        <v>0</v>
      </c>
      <c r="V25" s="28">
        <f t="shared" si="1"/>
        <v>12142.14</v>
      </c>
      <c r="W25" s="1">
        <f t="shared" si="2"/>
        <v>12142.140000000009</v>
      </c>
    </row>
    <row r="26" spans="2:23">
      <c r="B26" s="32"/>
      <c r="D26" s="2"/>
      <c r="E26" s="2">
        <f>SUMIFS(Table413[Amount],Table413[Category],Table111[[#Headers],[Housing]],Table413[Sub-Category],Table111[[#This Row],[Housing]])+SUMIFS(Table4419[Amount],Table4419[Category],Table111[[#Headers],[Housing]],Table4419[Sub-Category],Table111[[#This Row],[Housing]])</f>
        <v>0</v>
      </c>
      <c r="F26" s="3">
        <f>Table111[[#This Row],[Budget]]-Table111[[#This Row],[Actual]]</f>
        <v>0</v>
      </c>
      <c r="G26" s="32"/>
      <c r="H26" s="42"/>
      <c r="J26" s="11"/>
      <c r="K26" s="11"/>
      <c r="L26" s="11"/>
      <c r="M26" s="24"/>
      <c r="N26" s="12"/>
      <c r="O26" s="11"/>
      <c r="Q26" s="42"/>
      <c r="S26" s="27">
        <f t="shared" si="0"/>
        <v>45061</v>
      </c>
      <c r="T26" s="29">
        <f>SUMIFS(Table442021[Amount],Table442021[Date],S26,Table442021[Category],Table13614[[#Headers],[Income]])+SUMIFS(Table4419[Amount],Table4419[Date],S26,Table4419[Category],Table13614[[#Headers],[Income]])</f>
        <v>0</v>
      </c>
      <c r="U26" s="29">
        <f>SUMIFS(Table413[Amount],Table413[Date],S26,Table413[Category],"&lt;&gt;"&amp;Table13614[[#Headers],[Income]])+SUMIFS(Table4419[Amount],Table4419[Date],S26,Table4419[Category],"&lt;&gt;"&amp;Table13614[[#Headers],[Income]])</f>
        <v>0</v>
      </c>
      <c r="V26" s="29">
        <f t="shared" si="1"/>
        <v>12142.14</v>
      </c>
      <c r="W26" s="1">
        <f t="shared" si="2"/>
        <v>12142.140000000009</v>
      </c>
    </row>
    <row r="27" spans="2:23">
      <c r="B27" s="32"/>
      <c r="D27" s="2"/>
      <c r="E27" s="2">
        <f>SUMIFS(Table413[Amount],Table413[Category],Table111[[#Headers],[Housing]],Table413[Sub-Category],Table111[[#This Row],[Housing]])+SUMIFS(Table4419[Amount],Table4419[Category],Table111[[#Headers],[Housing]],Table4419[Sub-Category],Table111[[#This Row],[Housing]])</f>
        <v>0</v>
      </c>
      <c r="F27" s="3">
        <f>Table111[[#This Row],[Budget]]-Table111[[#This Row],[Actual]]</f>
        <v>0</v>
      </c>
      <c r="G27" s="36"/>
      <c r="H27" s="43"/>
      <c r="I27" s="2"/>
      <c r="J27" s="11"/>
      <c r="K27" s="11"/>
      <c r="L27" s="11"/>
      <c r="M27" s="24"/>
      <c r="N27" s="12"/>
      <c r="O27" s="11"/>
      <c r="Q27" s="43"/>
      <c r="S27" s="30">
        <f t="shared" si="0"/>
        <v>45062</v>
      </c>
      <c r="T27" s="28">
        <f>SUMIFS(Table442021[Amount],Table442021[Date],S27,Table442021[Category],Table13614[[#Headers],[Income]])+SUMIFS(Table4419[Amount],Table4419[Date],S27,Table4419[Category],Table13614[[#Headers],[Income]])</f>
        <v>0</v>
      </c>
      <c r="U27" s="28">
        <f>SUMIFS(Table413[Amount],Table413[Date],S27,Table413[Category],"&lt;&gt;"&amp;Table13614[[#Headers],[Income]])+SUMIFS(Table4419[Amount],Table4419[Date],S27,Table4419[Category],"&lt;&gt;"&amp;Table13614[[#Headers],[Income]])</f>
        <v>0</v>
      </c>
      <c r="V27" s="28">
        <f t="shared" si="1"/>
        <v>12142.14</v>
      </c>
      <c r="W27" s="1">
        <f t="shared" si="2"/>
        <v>12142.140000000009</v>
      </c>
    </row>
    <row r="28" spans="2:23">
      <c r="B28" s="32"/>
      <c r="C28" s="11"/>
      <c r="D28" s="12"/>
      <c r="E28" s="13">
        <f>SUMIFS(Table413[Amount],Table413[Category],Table111[[#Headers],[Housing]],Table413[Sub-Category],Table111[[#This Row],[Housing]])+SUMIFS(Table4419[Amount],Table4419[Category],Table111[[#Headers],[Housing]],Table4419[Sub-Category],Table111[[#This Row],[Housing]])</f>
        <v>0</v>
      </c>
      <c r="F28" s="13">
        <f>Table111[[#This Row],[Budget]]-Table111[[#This Row],[Actual]]</f>
        <v>0</v>
      </c>
      <c r="G28" s="36"/>
      <c r="H28" s="43"/>
      <c r="I28" s="2"/>
      <c r="J28" s="11"/>
      <c r="K28" s="11"/>
      <c r="L28" s="11"/>
      <c r="M28" s="24"/>
      <c r="N28" s="12"/>
      <c r="O28" s="11"/>
      <c r="Q28" s="43"/>
      <c r="S28" s="27">
        <f t="shared" si="0"/>
        <v>45063</v>
      </c>
      <c r="T28" s="29">
        <f>SUMIFS(Table442021[Amount],Table442021[Date],S28,Table442021[Category],Table13614[[#Headers],[Income]])+SUMIFS(Table4419[Amount],Table4419[Date],S28,Table4419[Category],Table13614[[#Headers],[Income]])</f>
        <v>0</v>
      </c>
      <c r="U28" s="29">
        <f>SUMIFS(Table413[Amount],Table413[Date],S28,Table413[Category],"&lt;&gt;"&amp;Table13614[[#Headers],[Income]])+SUMIFS(Table4419[Amount],Table4419[Date],S28,Table4419[Category],"&lt;&gt;"&amp;Table13614[[#Headers],[Income]])</f>
        <v>0</v>
      </c>
      <c r="V28" s="29">
        <f t="shared" si="1"/>
        <v>12142.14</v>
      </c>
      <c r="W28" s="1">
        <f t="shared" si="2"/>
        <v>12142.140000000009</v>
      </c>
    </row>
    <row r="29" spans="2:23">
      <c r="B29" s="32"/>
      <c r="C29" s="9" t="s">
        <v>20</v>
      </c>
      <c r="D29" s="10">
        <f>SUBTOTAL(109,Table111[Budget])</f>
        <v>0</v>
      </c>
      <c r="E29" s="10">
        <f>SUBTOTAL(109,Table111[Actual])</f>
        <v>0</v>
      </c>
      <c r="F29" s="10">
        <f>SUBTOTAL(109,Table111[Variance])</f>
        <v>0</v>
      </c>
      <c r="G29" s="32"/>
      <c r="H29" s="42"/>
      <c r="J29" s="11"/>
      <c r="K29" s="11"/>
      <c r="L29" s="11"/>
      <c r="M29" s="24"/>
      <c r="N29" s="12"/>
      <c r="O29" s="11"/>
      <c r="Q29" s="42"/>
      <c r="S29" s="30">
        <f t="shared" si="0"/>
        <v>45064</v>
      </c>
      <c r="T29" s="28">
        <f>SUMIFS(Table442021[Amount],Table442021[Date],S29,Table442021[Category],Table13614[[#Headers],[Income]])+SUMIFS(Table4419[Amount],Table4419[Date],S29,Table4419[Category],Table13614[[#Headers],[Income]])</f>
        <v>0</v>
      </c>
      <c r="U29" s="28">
        <f>SUMIFS(Table413[Amount],Table413[Date],S29,Table413[Category],"&lt;&gt;"&amp;Table13614[[#Headers],[Income]])+SUMIFS(Table4419[Amount],Table4419[Date],S29,Table4419[Category],"&lt;&gt;"&amp;Table13614[[#Headers],[Income]])</f>
        <v>0</v>
      </c>
      <c r="V29" s="28">
        <f t="shared" si="1"/>
        <v>12142.14</v>
      </c>
      <c r="W29" s="1">
        <f t="shared" si="2"/>
        <v>12142.140000000009</v>
      </c>
    </row>
    <row r="30" spans="2:23">
      <c r="B30" s="32"/>
      <c r="C30" s="26"/>
      <c r="D30" s="23"/>
      <c r="E30" s="23"/>
      <c r="F30" s="23"/>
      <c r="G30" s="32"/>
      <c r="H30" s="42"/>
      <c r="J30" s="11"/>
      <c r="K30" s="11"/>
      <c r="L30" s="11"/>
      <c r="M30" s="24"/>
      <c r="N30" s="12"/>
      <c r="O30" s="11"/>
      <c r="Q30" s="42"/>
      <c r="S30" s="27">
        <f t="shared" si="0"/>
        <v>45065</v>
      </c>
      <c r="T30" s="29">
        <f>SUMIFS(Table442021[Amount],Table442021[Date],S30,Table442021[Category],Table13614[[#Headers],[Income]])+SUMIFS(Table4419[Amount],Table4419[Date],S30,Table4419[Category],Table13614[[#Headers],[Income]])</f>
        <v>0</v>
      </c>
      <c r="U30" s="29">
        <f>SUMIFS(Table413[Amount],Table413[Date],S30,Table413[Category],"&lt;&gt;"&amp;Table13614[[#Headers],[Income]])+SUMIFS(Table4419[Amount],Table4419[Date],S30,Table4419[Category],"&lt;&gt;"&amp;Table13614[[#Headers],[Income]])</f>
        <v>0</v>
      </c>
      <c r="V30" s="29">
        <f t="shared" si="1"/>
        <v>12142.14</v>
      </c>
      <c r="W30" s="1">
        <f t="shared" si="2"/>
        <v>12142.140000000009</v>
      </c>
    </row>
    <row r="31" spans="2:23">
      <c r="B31" s="32"/>
      <c r="C31" s="37" t="str">
        <f>CONCATENATE(Table1312[[#Headers],[Transportation]]," - Budget &amp; Tracking")</f>
        <v>Transportation - Budget &amp; Tracking</v>
      </c>
      <c r="D31" s="38"/>
      <c r="E31" s="38"/>
      <c r="F31" s="39"/>
      <c r="G31" s="32"/>
      <c r="H31" s="42"/>
      <c r="J31" s="11"/>
      <c r="K31" s="11"/>
      <c r="L31" s="11"/>
      <c r="M31" s="24"/>
      <c r="N31" s="12"/>
      <c r="O31" s="11"/>
      <c r="Q31" s="42"/>
      <c r="S31" s="30">
        <f t="shared" si="0"/>
        <v>45066</v>
      </c>
      <c r="T31" s="28">
        <f>SUMIFS(Table442021[Amount],Table442021[Date],S31,Table442021[Category],Table13614[[#Headers],[Income]])+SUMIFS(Table4419[Amount],Table4419[Date],S31,Table4419[Category],Table13614[[#Headers],[Income]])</f>
        <v>0</v>
      </c>
      <c r="U31" s="28">
        <f>SUMIFS(Table413[Amount],Table413[Date],S31,Table413[Category],"&lt;&gt;"&amp;Table13614[[#Headers],[Income]])+SUMIFS(Table4419[Amount],Table4419[Date],S31,Table4419[Category],"&lt;&gt;"&amp;Table13614[[#Headers],[Income]])</f>
        <v>0</v>
      </c>
      <c r="V31" s="28">
        <f t="shared" si="1"/>
        <v>12142.14</v>
      </c>
      <c r="W31" s="1">
        <f t="shared" si="2"/>
        <v>12142.140000000009</v>
      </c>
    </row>
    <row r="32" spans="2:23">
      <c r="B32" s="32"/>
      <c r="C32" s="31" t="s">
        <v>12</v>
      </c>
      <c r="D32" s="31" t="s">
        <v>1</v>
      </c>
      <c r="E32" s="31" t="s">
        <v>2</v>
      </c>
      <c r="F32" s="31" t="s">
        <v>14</v>
      </c>
      <c r="G32" s="32"/>
      <c r="H32" s="42"/>
      <c r="J32" s="11"/>
      <c r="K32" s="11"/>
      <c r="L32" s="11"/>
      <c r="M32" s="24"/>
      <c r="N32" s="12"/>
      <c r="O32" s="11"/>
      <c r="Q32" s="42"/>
      <c r="S32" s="27">
        <f t="shared" si="0"/>
        <v>45067</v>
      </c>
      <c r="T32" s="29">
        <f>SUMIFS(Table442021[Amount],Table442021[Date],S32,Table442021[Category],Table13614[[#Headers],[Income]])+SUMIFS(Table4419[Amount],Table4419[Date],S32,Table4419[Category],Table13614[[#Headers],[Income]])</f>
        <v>0</v>
      </c>
      <c r="U32" s="29">
        <f>SUMIFS(Table413[Amount],Table413[Date],S32,Table413[Category],"&lt;&gt;"&amp;Table13614[[#Headers],[Income]])+SUMIFS(Table4419[Amount],Table4419[Date],S32,Table4419[Category],"&lt;&gt;"&amp;Table13614[[#Headers],[Income]])</f>
        <v>0</v>
      </c>
      <c r="V32" s="29">
        <f t="shared" si="1"/>
        <v>12142.14</v>
      </c>
      <c r="W32" s="1">
        <f t="shared" si="2"/>
        <v>12142.140000000009</v>
      </c>
    </row>
    <row r="33" spans="2:23">
      <c r="B33" s="32"/>
      <c r="D33" s="2"/>
      <c r="E33" s="2">
        <f>SUMIFS(Table413[Amount],Table413[Category],Table1312[[#Headers],[Transportation]],Table413[Sub-Category],Table1312[[#This Row],[Transportation]])+SUMIFS(Table4419[Amount],Table4419[Category],Table1312[[#Headers],[Transportation]],Table4419[Sub-Category],Table1312[[#This Row],[Transportation]])</f>
        <v>0</v>
      </c>
      <c r="F33" s="3">
        <f>Table1312[[#This Row],[Budget]]-Table1312[[#This Row],[Actual]]</f>
        <v>0</v>
      </c>
      <c r="G33" s="32"/>
      <c r="H33" s="42"/>
      <c r="J33" s="37" t="s">
        <v>44</v>
      </c>
      <c r="K33" s="38"/>
      <c r="L33" s="38"/>
      <c r="M33" s="38"/>
      <c r="N33" s="38"/>
      <c r="O33" s="39"/>
      <c r="Q33" s="42"/>
      <c r="S33" s="30">
        <f t="shared" si="0"/>
        <v>45068</v>
      </c>
      <c r="T33" s="28">
        <f>SUMIFS(Table442021[Amount],Table442021[Date],S33,Table442021[Category],Table13614[[#Headers],[Income]])+SUMIFS(Table4419[Amount],Table4419[Date],S33,Table4419[Category],Table13614[[#Headers],[Income]])</f>
        <v>0</v>
      </c>
      <c r="U33" s="28">
        <f>SUMIFS(Table413[Amount],Table413[Date],S33,Table413[Category],"&lt;&gt;"&amp;Table13614[[#Headers],[Income]])+SUMIFS(Table4419[Amount],Table4419[Date],S33,Table4419[Category],"&lt;&gt;"&amp;Table13614[[#Headers],[Income]])</f>
        <v>0</v>
      </c>
      <c r="V33" s="28">
        <f t="shared" si="1"/>
        <v>12142.14</v>
      </c>
      <c r="W33" s="1">
        <f t="shared" si="2"/>
        <v>12142.140000000009</v>
      </c>
    </row>
    <row r="34" spans="2:23">
      <c r="B34" s="32"/>
      <c r="D34" s="2"/>
      <c r="E34" s="2">
        <f>SUMIFS(Table413[Amount],Table413[Category],Table1312[[#Headers],[Transportation]],Table413[Sub-Category],Table1312[[#This Row],[Transportation]])+SUMIFS(Table4419[Amount],Table4419[Category],Table1312[[#Headers],[Transportation]],Table4419[Sub-Category],Table1312[[#This Row],[Transportation]])</f>
        <v>0</v>
      </c>
      <c r="F34" s="3">
        <f>Table1312[[#This Row],[Budget]]-Table1312[[#This Row],[Actual]]</f>
        <v>0</v>
      </c>
      <c r="G34" s="32"/>
      <c r="H34" s="42"/>
      <c r="J34" s="31" t="s">
        <v>9</v>
      </c>
      <c r="K34" s="31" t="s">
        <v>0</v>
      </c>
      <c r="L34" s="31" t="s">
        <v>13</v>
      </c>
      <c r="M34" s="31" t="s">
        <v>10</v>
      </c>
      <c r="N34" s="31" t="s">
        <v>11</v>
      </c>
      <c r="O34" s="31" t="s">
        <v>16</v>
      </c>
      <c r="Q34" s="42"/>
      <c r="S34" s="27">
        <f t="shared" si="0"/>
        <v>45069</v>
      </c>
      <c r="T34" s="29">
        <f>SUMIFS(Table442021[Amount],Table442021[Date],S34,Table442021[Category],Table13614[[#Headers],[Income]])+SUMIFS(Table4419[Amount],Table4419[Date],S34,Table4419[Category],Table13614[[#Headers],[Income]])</f>
        <v>0</v>
      </c>
      <c r="U34" s="29">
        <f>SUMIFS(Table413[Amount],Table413[Date],S34,Table413[Category],"&lt;&gt;"&amp;Table13614[[#Headers],[Income]])+SUMIFS(Table4419[Amount],Table4419[Date],S34,Table4419[Category],"&lt;&gt;"&amp;Table13614[[#Headers],[Income]])</f>
        <v>0</v>
      </c>
      <c r="V34" s="29">
        <f t="shared" si="1"/>
        <v>12142.14</v>
      </c>
      <c r="W34" s="1">
        <f t="shared" si="2"/>
        <v>12142.140000000009</v>
      </c>
    </row>
    <row r="35" spans="2:23">
      <c r="B35" s="32"/>
      <c r="C35" s="11"/>
      <c r="D35" s="12"/>
      <c r="E35" s="13">
        <f>SUMIFS(Table413[Amount],Table413[Category],Table1312[[#Headers],[Transportation]],Table413[Sub-Category],Table1312[[#This Row],[Transportation]])+SUMIFS(Table4419[Amount],Table4419[Category],Table1312[[#Headers],[Transportation]],Table4419[Sub-Category],Table1312[[#This Row],[Transportation]])</f>
        <v>0</v>
      </c>
      <c r="F35" s="13">
        <f>Table1312[[#This Row],[Budget]]-Table1312[[#This Row],[Actual]]</f>
        <v>0</v>
      </c>
      <c r="G35" s="32"/>
      <c r="H35" s="42"/>
      <c r="M35" s="4"/>
      <c r="N35" s="2"/>
      <c r="Q35" s="42"/>
      <c r="S35" s="30">
        <f t="shared" si="0"/>
        <v>45070</v>
      </c>
      <c r="T35" s="28">
        <f>SUMIFS(Table442021[Amount],Table442021[Date],S35,Table442021[Category],Table13614[[#Headers],[Income]])+SUMIFS(Table4419[Amount],Table4419[Date],S35,Table4419[Category],Table13614[[#Headers],[Income]])</f>
        <v>0</v>
      </c>
      <c r="U35" s="28">
        <f>SUMIFS(Table413[Amount],Table413[Date],S35,Table413[Category],"&lt;&gt;"&amp;Table13614[[#Headers],[Income]])+SUMIFS(Table4419[Amount],Table4419[Date],S35,Table4419[Category],"&lt;&gt;"&amp;Table13614[[#Headers],[Income]])</f>
        <v>0</v>
      </c>
      <c r="V35" s="28">
        <f t="shared" si="1"/>
        <v>12142.14</v>
      </c>
      <c r="W35" s="1">
        <f t="shared" si="2"/>
        <v>12142.140000000009</v>
      </c>
    </row>
    <row r="36" spans="2:23">
      <c r="B36" s="32"/>
      <c r="C36" s="11"/>
      <c r="D36" s="12"/>
      <c r="E36" s="13">
        <f>SUMIFS(Table413[Amount],Table413[Category],Table1312[[#Headers],[Transportation]],Table413[Sub-Category],Table1312[[#This Row],[Transportation]])+SUMIFS(Table4419[Amount],Table4419[Category],Table1312[[#Headers],[Transportation]],Table4419[Sub-Category],Table1312[[#This Row],[Transportation]])</f>
        <v>0</v>
      </c>
      <c r="F36" s="13">
        <f>Table1312[[#This Row],[Budget]]-Table1312[[#This Row],[Actual]]</f>
        <v>0</v>
      </c>
      <c r="G36" s="32"/>
      <c r="H36" s="42"/>
      <c r="M36" s="4"/>
      <c r="N36" s="2"/>
      <c r="Q36" s="42"/>
      <c r="S36" s="27">
        <f t="shared" si="0"/>
        <v>45071</v>
      </c>
      <c r="T36" s="29">
        <f>SUMIFS(Table442021[Amount],Table442021[Date],S36,Table442021[Category],Table13614[[#Headers],[Income]])+SUMIFS(Table4419[Amount],Table4419[Date],S36,Table4419[Category],Table13614[[#Headers],[Income]])</f>
        <v>0</v>
      </c>
      <c r="U36" s="29">
        <f>SUMIFS(Table413[Amount],Table413[Date],S36,Table413[Category],"&lt;&gt;"&amp;Table13614[[#Headers],[Income]])+SUMIFS(Table4419[Amount],Table4419[Date],S36,Table4419[Category],"&lt;&gt;"&amp;Table13614[[#Headers],[Income]])</f>
        <v>0</v>
      </c>
      <c r="V36" s="29">
        <f t="shared" si="1"/>
        <v>12142.14</v>
      </c>
      <c r="W36" s="1">
        <f t="shared" si="2"/>
        <v>12142.140000000009</v>
      </c>
    </row>
    <row r="37" spans="2:23">
      <c r="B37" s="32"/>
      <c r="C37" s="9" t="s">
        <v>20</v>
      </c>
      <c r="D37" s="10">
        <f>SUBTOTAL(109,Table1312[Budget])</f>
        <v>0</v>
      </c>
      <c r="E37" s="10">
        <f>SUBTOTAL(109,Table1312[Actual])</f>
        <v>0</v>
      </c>
      <c r="F37" s="10">
        <f>SUBTOTAL(109,Table1312[Variance])</f>
        <v>0</v>
      </c>
      <c r="G37" s="32"/>
      <c r="H37" s="42"/>
      <c r="M37" s="4"/>
      <c r="N37" s="2"/>
      <c r="Q37" s="42"/>
      <c r="S37" s="30">
        <f t="shared" si="0"/>
        <v>45072</v>
      </c>
      <c r="T37" s="28">
        <f>SUMIFS(Table442021[Amount],Table442021[Date],S37,Table442021[Category],Table13614[[#Headers],[Income]])+SUMIFS(Table4419[Amount],Table4419[Date],S37,Table4419[Category],Table13614[[#Headers],[Income]])</f>
        <v>0</v>
      </c>
      <c r="U37" s="28">
        <f>SUMIFS(Table413[Amount],Table413[Date],S37,Table413[Category],"&lt;&gt;"&amp;Table13614[[#Headers],[Income]])+SUMIFS(Table4419[Amount],Table4419[Date],S37,Table4419[Category],"&lt;&gt;"&amp;Table13614[[#Headers],[Income]])</f>
        <v>0</v>
      </c>
      <c r="V37" s="28">
        <f t="shared" si="1"/>
        <v>12142.14</v>
      </c>
      <c r="W37" s="1">
        <f t="shared" si="2"/>
        <v>12142.140000000009</v>
      </c>
    </row>
    <row r="38" spans="2:23">
      <c r="B38" s="32"/>
      <c r="C38" s="26"/>
      <c r="D38" s="23"/>
      <c r="E38" s="23"/>
      <c r="F38" s="23"/>
      <c r="G38" s="32"/>
      <c r="H38" s="42"/>
      <c r="J38" s="11"/>
      <c r="K38" s="11"/>
      <c r="L38" s="11"/>
      <c r="M38" s="24"/>
      <c r="N38" s="12"/>
      <c r="O38" s="11"/>
      <c r="Q38" s="42"/>
      <c r="S38" s="27">
        <f t="shared" si="0"/>
        <v>45073</v>
      </c>
      <c r="T38" s="29">
        <f>SUMIFS(Table442021[Amount],Table442021[Date],S38,Table442021[Category],Table13614[[#Headers],[Income]])+SUMIFS(Table4419[Amount],Table4419[Date],S38,Table4419[Category],Table13614[[#Headers],[Income]])</f>
        <v>0</v>
      </c>
      <c r="U38" s="29">
        <f>SUMIFS(Table413[Amount],Table413[Date],S38,Table413[Category],"&lt;&gt;"&amp;Table13614[[#Headers],[Income]])+SUMIFS(Table4419[Amount],Table4419[Date],S38,Table4419[Category],"&lt;&gt;"&amp;Table13614[[#Headers],[Income]])</f>
        <v>0</v>
      </c>
      <c r="V38" s="29">
        <f t="shared" si="1"/>
        <v>12142.14</v>
      </c>
      <c r="W38" s="1">
        <f t="shared" si="2"/>
        <v>12142.140000000009</v>
      </c>
    </row>
    <row r="39" spans="2:23">
      <c r="B39" s="32"/>
      <c r="C39" s="37" t="str">
        <f>CONCATENATE(Table1391018[[#Headers],[Bills]]," - Budget &amp; Tracking")</f>
        <v>Bills - Budget &amp; Tracking</v>
      </c>
      <c r="D39" s="38"/>
      <c r="E39" s="38"/>
      <c r="F39" s="39"/>
      <c r="G39" s="32"/>
      <c r="H39" s="42"/>
      <c r="J39" s="11"/>
      <c r="K39" s="11"/>
      <c r="L39" s="11"/>
      <c r="M39" s="24"/>
      <c r="N39" s="12"/>
      <c r="O39" s="11"/>
      <c r="Q39" s="42"/>
      <c r="S39" s="30">
        <f t="shared" si="0"/>
        <v>45074</v>
      </c>
      <c r="T39" s="28">
        <f>SUMIFS(Table442021[Amount],Table442021[Date],S39,Table442021[Category],Table13614[[#Headers],[Income]])+SUMIFS(Table4419[Amount],Table4419[Date],S39,Table4419[Category],Table13614[[#Headers],[Income]])</f>
        <v>0</v>
      </c>
      <c r="U39" s="28">
        <f>SUMIFS(Table413[Amount],Table413[Date],S39,Table413[Category],"&lt;&gt;"&amp;Table13614[[#Headers],[Income]])+SUMIFS(Table4419[Amount],Table4419[Date],S39,Table4419[Category],"&lt;&gt;"&amp;Table13614[[#Headers],[Income]])</f>
        <v>0</v>
      </c>
      <c r="V39" s="28">
        <f t="shared" si="1"/>
        <v>12142.14</v>
      </c>
      <c r="W39" s="1">
        <f t="shared" si="2"/>
        <v>12142.140000000009</v>
      </c>
    </row>
    <row r="40" spans="2:23">
      <c r="B40" s="32"/>
      <c r="C40" s="31" t="s">
        <v>30</v>
      </c>
      <c r="D40" s="31" t="s">
        <v>1</v>
      </c>
      <c r="E40" s="31" t="s">
        <v>2</v>
      </c>
      <c r="F40" s="31" t="s">
        <v>14</v>
      </c>
      <c r="G40" s="32"/>
      <c r="H40" s="42"/>
      <c r="J40" s="11"/>
      <c r="K40" s="11"/>
      <c r="L40" s="11"/>
      <c r="M40" s="24"/>
      <c r="N40" s="12"/>
      <c r="O40" s="11"/>
      <c r="Q40" s="42"/>
      <c r="S40" s="27">
        <f t="shared" si="0"/>
        <v>45075</v>
      </c>
      <c r="T40" s="29">
        <f>SUMIFS(Table442021[Amount],Table442021[Date],S40,Table442021[Category],Table13614[[#Headers],[Income]])+SUMIFS(Table4419[Amount],Table4419[Date],S40,Table4419[Category],Table13614[[#Headers],[Income]])</f>
        <v>0</v>
      </c>
      <c r="U40" s="29">
        <f>SUMIFS(Table413[Amount],Table413[Date],S40,Table413[Category],"&lt;&gt;"&amp;Table13614[[#Headers],[Income]])+SUMIFS(Table4419[Amount],Table4419[Date],S40,Table4419[Category],"&lt;&gt;"&amp;Table13614[[#Headers],[Income]])</f>
        <v>0</v>
      </c>
      <c r="V40" s="29">
        <f t="shared" si="1"/>
        <v>12142.14</v>
      </c>
      <c r="W40" s="1">
        <f t="shared" si="2"/>
        <v>12142.140000000009</v>
      </c>
    </row>
    <row r="41" spans="2:23">
      <c r="B41" s="32"/>
      <c r="D41" s="2"/>
      <c r="E41" s="2">
        <f>SUMIFS(Table413[Amount],Table413[Category],Table1391018[[#Headers],[Bills]],Table413[Sub-Category],Table1391018[[#This Row],[Bills]])+SUMIFS(Table4419[Amount],Table4419[Category],Table1391018[[#Headers],[Bills]],Table4419[Sub-Category],Table1391018[[#This Row],[Bills]])</f>
        <v>0</v>
      </c>
      <c r="F41" s="3">
        <f>Table1391018[[#This Row],[Budget]]-Table1391018[[#This Row],[Actual]]</f>
        <v>0</v>
      </c>
      <c r="G41" s="32"/>
      <c r="H41" s="42"/>
      <c r="Q41" s="42"/>
      <c r="S41" s="30">
        <f t="shared" si="0"/>
        <v>45076</v>
      </c>
      <c r="T41" s="28">
        <f>SUMIFS(Table442021[Amount],Table442021[Date],S41,Table442021[Category],Table13614[[#Headers],[Income]])+SUMIFS(Table4419[Amount],Table4419[Date],S41,Table4419[Category],Table13614[[#Headers],[Income]])</f>
        <v>0</v>
      </c>
      <c r="U41" s="28">
        <f>SUMIFS(Table413[Amount],Table413[Date],S41,Table413[Category],"&lt;&gt;"&amp;Table13614[[#Headers],[Income]])+SUMIFS(Table4419[Amount],Table4419[Date],S41,Table4419[Category],"&lt;&gt;"&amp;Table13614[[#Headers],[Income]])</f>
        <v>0</v>
      </c>
      <c r="V41" s="28">
        <f t="shared" si="1"/>
        <v>12142.14</v>
      </c>
      <c r="W41" s="1">
        <f t="shared" si="2"/>
        <v>12142.140000000009</v>
      </c>
    </row>
    <row r="42" spans="2:23">
      <c r="B42" s="32"/>
      <c r="D42" s="2"/>
      <c r="E42" s="2">
        <f>SUMIFS(Table413[Amount],Table413[Category],Table1391018[[#Headers],[Bills]],Table413[Sub-Category],Table1391018[[#This Row],[Bills]])+SUMIFS(Table4419[Amount],Table4419[Category],Table1391018[[#Headers],[Bills]],Table4419[Sub-Category],Table1391018[[#This Row],[Bills]])</f>
        <v>0</v>
      </c>
      <c r="F42" s="3">
        <f>Table1391018[[#This Row],[Budget]]-Table1391018[[#This Row],[Actual]]</f>
        <v>0</v>
      </c>
      <c r="G42" s="32"/>
      <c r="H42" s="42"/>
      <c r="Q42" s="42"/>
      <c r="S42" s="27">
        <f t="shared" si="0"/>
        <v>45077</v>
      </c>
      <c r="T42" s="29">
        <f>SUMIFS(Table442021[Amount],Table442021[Date],S42,Table442021[Category],Table13614[[#Headers],[Income]])+SUMIFS(Table4419[Amount],Table4419[Date],S42,Table4419[Category],Table13614[[#Headers],[Income]])</f>
        <v>0</v>
      </c>
      <c r="U42" s="29">
        <f>SUMIFS(Table413[Amount],Table413[Date],S42,Table413[Category],"&lt;&gt;"&amp;Table13614[[#Headers],[Income]])+SUMIFS(Table4419[Amount],Table4419[Date],S42,Table4419[Category],"&lt;&gt;"&amp;Table13614[[#Headers],[Income]])</f>
        <v>0</v>
      </c>
      <c r="V42" s="29">
        <f t="shared" si="1"/>
        <v>12142.14</v>
      </c>
      <c r="W42" s="1">
        <f t="shared" si="2"/>
        <v>12142.140000000009</v>
      </c>
    </row>
    <row r="43" spans="2:23">
      <c r="B43" s="32"/>
      <c r="C43" s="11"/>
      <c r="D43" s="12"/>
      <c r="E43" s="13">
        <f>SUMIFS(Table413[Amount],Table413[Category],Table1391018[[#Headers],[Bills]],Table413[Sub-Category],Table1391018[[#This Row],[Bills]])+SUMIFS(Table4419[Amount],Table4419[Category],Table1391018[[#Headers],[Bills]],Table4419[Sub-Category],Table1391018[[#This Row],[Bills]])</f>
        <v>0</v>
      </c>
      <c r="F43" s="13">
        <f>Table1391018[[#This Row],[Budget]]-Table1391018[[#This Row],[Actual]]</f>
        <v>0</v>
      </c>
      <c r="G43" s="32"/>
      <c r="H43" s="42"/>
      <c r="Q43" s="42"/>
      <c r="S43" s="8"/>
    </row>
    <row r="44" spans="2:23">
      <c r="B44" s="32"/>
      <c r="C44" s="11"/>
      <c r="D44" s="12"/>
      <c r="E44" s="13">
        <f>SUMIFS(Table413[Amount],Table413[Category],Table1391018[[#Headers],[Bills]],Table413[Sub-Category],Table1391018[[#This Row],[Bills]])+SUMIFS(Table4419[Amount],Table4419[Category],Table1391018[[#Headers],[Bills]],Table4419[Sub-Category],Table1391018[[#This Row],[Bills]])</f>
        <v>0</v>
      </c>
      <c r="F44" s="13">
        <f>Table1391018[[#This Row],[Budget]]-Table1391018[[#This Row],[Actual]]</f>
        <v>0</v>
      </c>
      <c r="G44" s="32"/>
      <c r="H44" s="42"/>
      <c r="Q44" s="42"/>
      <c r="S44" s="8"/>
    </row>
    <row r="45" spans="2:23">
      <c r="B45" s="32"/>
      <c r="C45" s="11"/>
      <c r="D45" s="12"/>
      <c r="E45" s="13">
        <f>SUMIFS(Table413[Amount],Table413[Category],Table1391018[[#Headers],[Bills]],Table413[Sub-Category],Table1391018[[#This Row],[Bills]])+SUMIFS(Table4419[Amount],Table4419[Category],Table1391018[[#Headers],[Bills]],Table4419[Sub-Category],Table1391018[[#This Row],[Bills]])</f>
        <v>0</v>
      </c>
      <c r="F45" s="13">
        <f>Table1391018[[#This Row],[Budget]]-Table1391018[[#This Row],[Actual]]</f>
        <v>0</v>
      </c>
      <c r="G45" s="32"/>
      <c r="H45" s="42"/>
      <c r="Q45" s="42"/>
    </row>
    <row r="46" spans="2:23">
      <c r="B46" s="32"/>
      <c r="C46" s="9" t="s">
        <v>20</v>
      </c>
      <c r="D46" s="10">
        <f>SUBTOTAL(109,Table1391018[Budget])</f>
        <v>0</v>
      </c>
      <c r="E46" s="10">
        <f>SUBTOTAL(109,Table1391018[Actual])</f>
        <v>0</v>
      </c>
      <c r="F46" s="10">
        <f>SUBTOTAL(109,Table1391018[Variance])</f>
        <v>0</v>
      </c>
      <c r="G46" s="32"/>
      <c r="H46" s="42"/>
      <c r="Q46" s="42"/>
    </row>
    <row r="47" spans="2:23">
      <c r="B47" s="32"/>
      <c r="C47" s="20"/>
      <c r="D47" s="21"/>
      <c r="E47" s="21"/>
      <c r="F47" s="22"/>
      <c r="G47" s="32"/>
      <c r="H47" s="42"/>
      <c r="Q47" s="42"/>
    </row>
    <row r="48" spans="2:23">
      <c r="B48" s="32"/>
      <c r="C48" s="37" t="str">
        <f>CONCATENATE(Table13715[[#Headers],[Living]],"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SUMIFS(Table413[Amount],Table413[Category],Table13715[[#Headers],[Living]],Table413[Sub-Category],Table13715[[#This Row],[Living]])+SUMIFS(Table4419[Amount],Table4419[Category],Table13715[[#Headers],[Living]],Table4419[Sub-Category],Table13715[[#This Row],[Living]])</f>
        <v>0</v>
      </c>
      <c r="F50" s="3">
        <f>Table13715[[#This Row],[Budget]]-Table13715[[#This Row],[Actual]]</f>
        <v>0</v>
      </c>
      <c r="G50" s="32"/>
      <c r="H50" s="42"/>
      <c r="Q50" s="42"/>
    </row>
    <row r="51" spans="2:17">
      <c r="B51" s="32"/>
      <c r="D51" s="2"/>
      <c r="E51" s="2">
        <f>SUMIFS(Table413[Amount],Table413[Category],Table13715[[#Headers],[Living]],Table413[Sub-Category],Table13715[[#This Row],[Living]])+SUMIFS(Table4419[Amount],Table4419[Category],Table13715[[#Headers],[Living]],Table4419[Sub-Category],Table13715[[#This Row],[Living]])</f>
        <v>0</v>
      </c>
      <c r="F51" s="3">
        <f>Table13715[[#This Row],[Budget]]-Table13715[[#This Row],[Actual]]</f>
        <v>0</v>
      </c>
      <c r="G51" s="32"/>
      <c r="H51" s="42"/>
      <c r="Q51" s="42"/>
    </row>
    <row r="52" spans="2:17">
      <c r="B52" s="32"/>
      <c r="C52" s="11"/>
      <c r="D52" s="12"/>
      <c r="E52" s="13">
        <f>SUMIFS(Table413[Amount],Table413[Category],Table13715[[#Headers],[Living]],Table413[Sub-Category],Table13715[[#This Row],[Living]])+SUMIFS(Table4419[Amount],Table4419[Category],Table13715[[#Headers],[Living]],Table4419[Sub-Category],Table13715[[#This Row],[Living]])</f>
        <v>0</v>
      </c>
      <c r="F52" s="13">
        <f>Table13715[[#This Row],[Budget]]-Table13715[[#This Row],[Actual]]</f>
        <v>0</v>
      </c>
      <c r="G52" s="32"/>
      <c r="H52" s="42"/>
      <c r="Q52" s="42"/>
    </row>
    <row r="53" spans="2:17">
      <c r="B53" s="32"/>
      <c r="C53" s="11"/>
      <c r="D53" s="12"/>
      <c r="E53" s="13">
        <f>SUMIFS(Table413[Amount],Table413[Category],Table13715[[#Headers],[Living]],Table413[Sub-Category],Table13715[[#This Row],[Living]])+SUMIFS(Table4419[Amount],Table4419[Category],Table13715[[#Headers],[Living]],Table4419[Sub-Category],Table13715[[#This Row],[Living]])</f>
        <v>0</v>
      </c>
      <c r="F53" s="13">
        <f>Table13715[[#This Row],[Budget]]-Table13715[[#This Row],[Actual]]</f>
        <v>0</v>
      </c>
      <c r="G53" s="32"/>
      <c r="H53" s="42"/>
      <c r="Q53" s="42"/>
    </row>
    <row r="54" spans="2:17">
      <c r="B54" s="32"/>
      <c r="C54" s="9" t="s">
        <v>20</v>
      </c>
      <c r="D54" s="10">
        <f>SUBTOTAL(109,Table13715[Budget])</f>
        <v>0</v>
      </c>
      <c r="E54" s="10">
        <f>SUBTOTAL(109,Table13715[Actual])</f>
        <v>0</v>
      </c>
      <c r="F54" s="10">
        <f>SUBTOTAL(109,Table13715[Variance])</f>
        <v>0</v>
      </c>
      <c r="G54" s="32"/>
      <c r="H54" s="42"/>
      <c r="Q54" s="42"/>
    </row>
    <row r="55" spans="2:17">
      <c r="B55" s="32"/>
      <c r="C55" s="20"/>
      <c r="D55" s="21"/>
      <c r="E55" s="21"/>
      <c r="F55" s="22"/>
      <c r="G55" s="32"/>
      <c r="H55" s="42"/>
      <c r="Q55" s="42"/>
    </row>
    <row r="56" spans="2:17">
      <c r="B56" s="32"/>
      <c r="C56" s="37" t="str">
        <f>CONCATENATE(Table13816[[#Headers],[Entertainment]],"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SUMIFS(Table413[Amount],Table413[Category],Table13816[[#Headers],[Entertainment]],Table413[Sub-Category],Table13816[[#This Row],[Entertainment]])+SUMIFS(Table4419[Amount],Table4419[Category],Table13816[[#Headers],[Entertainment]],Table4419[Sub-Category],Table13816[[#This Row],[Entertainment]])</f>
        <v>0</v>
      </c>
      <c r="F58" s="3">
        <f>Table13816[[#This Row],[Budget]]-Table13816[[#This Row],[Actual]]</f>
        <v>0</v>
      </c>
      <c r="G58" s="32"/>
      <c r="H58" s="42"/>
      <c r="Q58" s="42"/>
    </row>
    <row r="59" spans="2:17">
      <c r="B59" s="33"/>
      <c r="D59" s="2"/>
      <c r="E59" s="2">
        <f>SUMIFS(Table413[Amount],Table413[Category],Table13816[[#Headers],[Entertainment]],Table413[Sub-Category],Table13816[[#This Row],[Entertainment]])+SUMIFS(Table4419[Amount],Table4419[Category],Table13816[[#Headers],[Entertainment]],Table4419[Sub-Category],Table13816[[#This Row],[Entertainment]])</f>
        <v>0</v>
      </c>
      <c r="F59" s="3">
        <f>Table13816[[#This Row],[Budget]]-Table13816[[#This Row],[Actual]]</f>
        <v>0</v>
      </c>
      <c r="G59" s="33"/>
      <c r="H59" s="42"/>
      <c r="Q59" s="42"/>
    </row>
    <row r="60" spans="2:17">
      <c r="C60" s="9" t="s">
        <v>20</v>
      </c>
      <c r="D60" s="10">
        <f>SUBTOTAL(109,Table13816[Budget])</f>
        <v>0</v>
      </c>
      <c r="E60" s="10">
        <f>SUBTOTAL(109,Table13816[Actual])</f>
        <v>0</v>
      </c>
      <c r="F60" s="10">
        <f>SUBTOTAL(109,Table13816[Variance])</f>
        <v>0</v>
      </c>
      <c r="H60" s="42"/>
      <c r="Q60" s="42"/>
    </row>
    <row r="61" spans="2:17">
      <c r="C61" s="26"/>
      <c r="D61" s="23"/>
      <c r="E61" s="23"/>
      <c r="F61" s="23"/>
      <c r="H61" s="42"/>
      <c r="Q61" s="42"/>
    </row>
    <row r="62" spans="2:17">
      <c r="C62" s="37" t="str">
        <f>CONCATENATE(Table13917[[#Headers],[Misc.]],"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SUMIFS(Table413[Amount],Table413[Category],Table13917[[#Headers],[Misc.]],Table413[Sub-Category],Table13917[[#This Row],[Misc.]])+SUMIFS(Table4419[Amount],Table4419[Category],Table13917[[#Headers],[Misc.]],Table4419[Sub-Category],Table13917[[#This Row],[Misc.]])</f>
        <v>0</v>
      </c>
      <c r="F64" s="13">
        <f>Table13917[[#This Row],[Budget]]-Table13917[[#This Row],[Actual]]</f>
        <v>0</v>
      </c>
      <c r="H64" s="42"/>
      <c r="Q64" s="42"/>
    </row>
    <row r="65" spans="3:17">
      <c r="C65" s="11"/>
      <c r="D65" s="12"/>
      <c r="E65" s="13">
        <f>SUMIFS(Table413[Amount],Table413[Category],Table13917[[#Headers],[Misc.]],Table413[Sub-Category],Table13917[[#This Row],[Misc.]])+SUMIFS(Table4419[Amount],Table4419[Category],Table13917[[#Headers],[Misc.]],Table4419[Sub-Category],Table13917[[#This Row],[Misc.]])</f>
        <v>0</v>
      </c>
      <c r="F65" s="13">
        <f>Table13917[[#This Row],[Budget]]-Table13917[[#This Row],[Actual]]</f>
        <v>0</v>
      </c>
      <c r="H65" s="42"/>
      <c r="Q65" s="42"/>
    </row>
    <row r="66" spans="3:17">
      <c r="C66" s="9" t="s">
        <v>20</v>
      </c>
      <c r="D66" s="10">
        <f>SUBTOTAL(109,Table13917[Budget])</f>
        <v>0</v>
      </c>
      <c r="E66" s="10">
        <f>SUBTOTAL(109,Table13917[Actual])</f>
        <v>0</v>
      </c>
      <c r="F66" s="10">
        <f>SUBTOTAL(109,Table13917[Variance])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75" priority="16" operator="equal">
      <formula>TODAY()</formula>
    </cfRule>
  </conditionalFormatting>
  <conditionalFormatting sqref="T12 T20:U42">
    <cfRule type="expression" dxfId="174" priority="15">
      <formula>IF($S12=TODAY(),TRUE)</formula>
    </cfRule>
  </conditionalFormatting>
  <conditionalFormatting sqref="U12">
    <cfRule type="expression" dxfId="173" priority="14">
      <formula>IF($S12=TODAY(),TRUE)</formula>
    </cfRule>
  </conditionalFormatting>
  <conditionalFormatting sqref="V12 V20:V42">
    <cfRule type="expression" dxfId="172" priority="13">
      <formula>IF($S12=TODAY(),TRUE)</formula>
    </cfRule>
  </conditionalFormatting>
  <conditionalFormatting sqref="S13:S15">
    <cfRule type="cellIs" dxfId="171" priority="12" operator="equal">
      <formula>TODAY()</formula>
    </cfRule>
  </conditionalFormatting>
  <conditionalFormatting sqref="T13:T15">
    <cfRule type="expression" dxfId="170" priority="11">
      <formula>IF($S13=TODAY(),TRUE)</formula>
    </cfRule>
  </conditionalFormatting>
  <conditionalFormatting sqref="U13:U15">
    <cfRule type="expression" dxfId="169" priority="10">
      <formula>IF($S13=TODAY(),TRUE)</formula>
    </cfRule>
  </conditionalFormatting>
  <conditionalFormatting sqref="V13:V15">
    <cfRule type="expression" dxfId="168" priority="9">
      <formula>IF($S13=TODAY(),TRUE)</formula>
    </cfRule>
  </conditionalFormatting>
  <conditionalFormatting sqref="S16 S20 S24 S28 S32 S36 S40">
    <cfRule type="cellIs" dxfId="167" priority="8" operator="equal">
      <formula>TODAY()</formula>
    </cfRule>
  </conditionalFormatting>
  <conditionalFormatting sqref="T16">
    <cfRule type="expression" dxfId="166" priority="7">
      <formula>IF($S16=TODAY(),TRUE)</formula>
    </cfRule>
  </conditionalFormatting>
  <conditionalFormatting sqref="U16">
    <cfRule type="expression" dxfId="165" priority="6">
      <formula>IF($S16=TODAY(),TRUE)</formula>
    </cfRule>
  </conditionalFormatting>
  <conditionalFormatting sqref="V16">
    <cfRule type="expression" dxfId="164" priority="5">
      <formula>IF($S16=TODAY(),TRUE)</formula>
    </cfRule>
  </conditionalFormatting>
  <conditionalFormatting sqref="S17:S19 S21:S23 S25:S27 S29:S31 S33:S35 S37:S39 S41:S42">
    <cfRule type="cellIs" dxfId="163" priority="4" operator="equal">
      <formula>TODAY()</formula>
    </cfRule>
  </conditionalFormatting>
  <conditionalFormatting sqref="T17:T19">
    <cfRule type="expression" dxfId="162" priority="3">
      <formula>IF($S17=TODAY(),TRUE)</formula>
    </cfRule>
  </conditionalFormatting>
  <conditionalFormatting sqref="U17:U19">
    <cfRule type="expression" dxfId="161" priority="2">
      <formula>IF($S17=TODAY(),TRUE)</formula>
    </cfRule>
  </conditionalFormatting>
  <conditionalFormatting sqref="V17:V19">
    <cfRule type="expression" dxfId="160"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100-000000000000}">
      <formula1>$U$2:$U$4</formula1>
    </dataValidation>
    <dataValidation type="list" allowBlank="1" showInputMessage="1" showErrorMessage="1" sqref="K35:K40 K19:K32 K12:K16" xr:uid="{00000000-0002-0000-0100-000001000000}">
      <formula1>$R$2:$R$8</formula1>
    </dataValidation>
    <dataValidation type="list" allowBlank="1" showInputMessage="1" showErrorMessage="1" sqref="L35:L40 L12:L16 L19:L32" xr:uid="{00000000-0002-0000-01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3209C90F-C027-42C4-94FB-B109354FC87C}">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5980C809-EDD6-44A8-A2CD-66600CE5CE35}">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DATE(YEAR(Mo.2!C1),MONTH(Mo.2!C1)+1,DAY(Mo.2!C1))</f>
        <v>45078</v>
      </c>
      <c r="D1" s="61"/>
      <c r="E1" s="61"/>
      <c r="F1" s="61"/>
      <c r="R1" s="45" t="s">
        <v>0</v>
      </c>
      <c r="S1" s="45" t="s">
        <v>1</v>
      </c>
      <c r="T1" s="45" t="s">
        <v>2</v>
      </c>
      <c r="U1" s="45" t="s">
        <v>16</v>
      </c>
      <c r="V1" s="45" t="s">
        <v>45</v>
      </c>
    </row>
    <row r="2" spans="2:23">
      <c r="D2" s="18" t="s">
        <v>1</v>
      </c>
      <c r="E2" s="19" t="s">
        <v>2</v>
      </c>
      <c r="F2" s="19" t="s">
        <v>14</v>
      </c>
      <c r="R2" s="45" t="str">
        <f>Table13635[[#Headers],[Income]]</f>
        <v>Income</v>
      </c>
      <c r="S2" s="45">
        <f>SUM(Table13635[Budget])</f>
        <v>0</v>
      </c>
      <c r="T2" s="45">
        <f>SUM(Table13635[Actual])</f>
        <v>0</v>
      </c>
      <c r="U2" s="45" t="s">
        <v>19</v>
      </c>
      <c r="V2" s="45">
        <f>AVERAGE(V12:V42)</f>
        <v>12142.140000000009</v>
      </c>
    </row>
    <row r="3" spans="2:23">
      <c r="C3" s="17" t="s">
        <v>35</v>
      </c>
      <c r="D3" s="5">
        <f>Mo.2!D6</f>
        <v>10815</v>
      </c>
      <c r="E3" s="14">
        <f>Mo.2!E6</f>
        <v>12142.14</v>
      </c>
      <c r="F3" s="14">
        <f>E3-D3</f>
        <v>1327.1399999999994</v>
      </c>
      <c r="R3" s="45" t="str">
        <f>Table132[[#Headers],[Housing]]</f>
        <v>Housing</v>
      </c>
      <c r="S3" s="45">
        <f>SUM(Table132[Budget])</f>
        <v>0</v>
      </c>
      <c r="T3" s="45">
        <f>SUM(Table132[Actual])</f>
        <v>0</v>
      </c>
      <c r="U3" s="45" t="s">
        <v>17</v>
      </c>
      <c r="V3" s="45"/>
    </row>
    <row r="4" spans="2:23">
      <c r="C4" s="17" t="s">
        <v>32</v>
      </c>
      <c r="D4" s="5">
        <f>Table13635[[#Totals],[Budget]]</f>
        <v>0</v>
      </c>
      <c r="E4" s="5">
        <f>Table13635[[#Totals],[Actual]]</f>
        <v>0</v>
      </c>
      <c r="F4" s="5">
        <f>E4-D4</f>
        <v>0</v>
      </c>
      <c r="R4" s="45" t="str">
        <f>Table1333[[#Headers],[Transportation]]</f>
        <v>Transportation</v>
      </c>
      <c r="S4" s="45">
        <f>SUM(Table1333[Budget])</f>
        <v>0</v>
      </c>
      <c r="T4" s="45">
        <f>SUM(Table1333[Actual])</f>
        <v>0</v>
      </c>
      <c r="U4" s="45" t="s">
        <v>18</v>
      </c>
      <c r="V4" s="45"/>
    </row>
    <row r="5" spans="2:23">
      <c r="C5" s="17" t="s">
        <v>33</v>
      </c>
      <c r="D5" s="5">
        <f>Table132[[#Totals],[Budget]]+Table1333[[#Totals],[Budget]]+Table1391039[[#Totals],[Budget]]+Table13736[[#Totals],[Budget]]+Table13837[[#Totals],[Budget]]+Table13938[[#Totals],[Budget]]</f>
        <v>0</v>
      </c>
      <c r="E5" s="5">
        <f>Table132[[#Totals],[Actual]]+Table1333[[#Totals],[Actual]]+Table1391039[[#Totals],[Actual]]+Table13736[[#Totals],[Actual]]+Table13837[[#Totals],[Actual]]+Table13938[[#Totals],[Actual]]</f>
        <v>0</v>
      </c>
      <c r="F5" s="5">
        <f>E5-D5</f>
        <v>0</v>
      </c>
      <c r="R5" s="45" t="str">
        <f>Table1391039[[#Headers],[Bills]]</f>
        <v>Bills</v>
      </c>
      <c r="S5" s="45">
        <f>SUM(Table1391039[Budget])</f>
        <v>0</v>
      </c>
      <c r="T5" s="45">
        <f>SUM(Table1391039[Actual])</f>
        <v>0</v>
      </c>
      <c r="U5" s="45"/>
      <c r="V5" s="45"/>
    </row>
    <row r="6" spans="2:23">
      <c r="C6" s="15" t="s">
        <v>34</v>
      </c>
      <c r="D6" s="16">
        <f>D3+D4-D5</f>
        <v>10815</v>
      </c>
      <c r="E6" s="16">
        <f>E3+E4-E5</f>
        <v>12142.14</v>
      </c>
      <c r="F6" s="16">
        <f>F3+F4-F5</f>
        <v>1327.1399999999994</v>
      </c>
      <c r="R6" s="45" t="str">
        <f>Table13736[[#Headers],[Living]]</f>
        <v>Living</v>
      </c>
      <c r="S6" s="45">
        <f>SUM(Table13736[Budget])</f>
        <v>0</v>
      </c>
      <c r="T6" s="45">
        <f>SUM(Table13736[Actual])</f>
        <v>0</v>
      </c>
      <c r="U6" s="45"/>
      <c r="V6" s="45"/>
    </row>
    <row r="7" spans="2:23" ht="3.75" customHeight="1">
      <c r="D7" s="2"/>
      <c r="R7" s="45" t="str">
        <f>Table13837[[#Headers],[Entertainment]]</f>
        <v>Entertainment</v>
      </c>
      <c r="S7" s="45">
        <f>SUM(Table13837[Budget])</f>
        <v>0</v>
      </c>
      <c r="T7" s="45">
        <f>SUM(Table13837[Actual])</f>
        <v>0</v>
      </c>
      <c r="U7" s="45"/>
      <c r="V7" s="45"/>
    </row>
    <row r="8" spans="2:23" ht="1.5" customHeight="1">
      <c r="C8" s="42"/>
      <c r="D8" s="43"/>
      <c r="E8" s="42"/>
      <c r="F8" s="42"/>
      <c r="G8" s="42"/>
      <c r="H8" s="42"/>
      <c r="I8" s="42"/>
      <c r="J8" s="42"/>
      <c r="K8" s="42"/>
      <c r="L8" s="42"/>
      <c r="M8" s="42"/>
      <c r="N8" s="42"/>
      <c r="O8" s="42"/>
      <c r="P8" s="42"/>
      <c r="Q8" s="42"/>
      <c r="R8" s="44" t="str">
        <f>Table13938[[#Headers],[Misc.]]</f>
        <v>Misc.</v>
      </c>
      <c r="S8" s="44">
        <f>SUM(Table13938[Budget])</f>
        <v>0</v>
      </c>
      <c r="T8" s="44">
        <f>SUM(Table13938[Actual])</f>
        <v>0</v>
      </c>
      <c r="U8" s="44"/>
      <c r="V8" s="44"/>
    </row>
    <row r="9" spans="2:23" ht="3.75" customHeight="1">
      <c r="D9" s="2"/>
      <c r="H9" s="42"/>
      <c r="Q9" s="42"/>
    </row>
    <row r="10" spans="2:23" s="25" customFormat="1">
      <c r="B10" s="35"/>
      <c r="C10" s="37" t="str">
        <f>CONCATENATE(Table13635[[#Headers],[Income]],"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SUMIFS(Table442041[Amount],Table442041[Category],Table13635[[#Headers],[Income]],Table442041[Sub-Category],Table13635[[#This Row],[Income]])+SUMIFS(Table4440[Amount],Table4440[Category],Table13635[[#Headers],[Income]],Table4440[Sub-Category],Table13635[[#This Row],[Income]])</f>
        <v>0</v>
      </c>
      <c r="F12" s="3">
        <f>Table13635[[#This Row],[Actual]]-Table13635[[#This Row],[Budget]]</f>
        <v>0</v>
      </c>
      <c r="G12" s="32"/>
      <c r="H12" s="42"/>
      <c r="M12" s="4"/>
      <c r="N12" s="2"/>
      <c r="Q12" s="42"/>
      <c r="S12" s="27">
        <f>C1</f>
        <v>45078</v>
      </c>
      <c r="T12" s="29">
        <f>SUMIFS(Table442041[Amount],Table442041[Date],S12,Table442041[Category],Table13635[[#Headers],[Income]])+SUMIFS(Table4440[Amount],Table4440[Date],S12,Table4440[Category],Table13635[[#Headers],[Income]])</f>
        <v>0</v>
      </c>
      <c r="U12" s="29">
        <f>SUMIFS(Table434[Amount],Table434[Date],S12,Table434[Category],"&lt;&gt;"&amp;Table13635[[#Headers],[Income]])+SUMIFS(Table4440[Amount],Table4440[Date],S12,Table4440[Category],"&lt;&gt;"&amp;Table13635[[#Headers],[Income]])</f>
        <v>0</v>
      </c>
      <c r="V12" s="29">
        <f>E3+T12-U12</f>
        <v>12142.14</v>
      </c>
      <c r="W12" s="1">
        <f>V2</f>
        <v>12142.140000000009</v>
      </c>
    </row>
    <row r="13" spans="2:23">
      <c r="B13" s="32"/>
      <c r="D13" s="2"/>
      <c r="E13" s="2">
        <f>SUMIFS(Table442041[Amount],Table442041[Category],Table13635[[#Headers],[Income]],Table442041[Sub-Category],Table13635[[#This Row],[Income]])+SUMIFS(Table4440[Amount],Table4440[Category],Table13635[[#Headers],[Income]],Table4440[Sub-Category],Table13635[[#This Row],[Income]])</f>
        <v>0</v>
      </c>
      <c r="F13" s="3">
        <f>Table13635[[#This Row],[Actual]]-Table13635[[#This Row],[Budget]]</f>
        <v>0</v>
      </c>
      <c r="G13" s="32"/>
      <c r="H13" s="42"/>
      <c r="M13" s="4"/>
      <c r="N13" s="2"/>
      <c r="Q13" s="42"/>
      <c r="S13" s="30">
        <f t="shared" ref="S13:S42" si="0">S12+1</f>
        <v>45079</v>
      </c>
      <c r="T13" s="28">
        <f>SUMIFS(Table442041[Amount],Table442041[Date],S13,Table442041[Category],Table13635[[#Headers],[Income]])+SUMIFS(Table4440[Amount],Table4440[Date],S13,Table4440[Category],Table13635[[#Headers],[Income]])</f>
        <v>0</v>
      </c>
      <c r="U13" s="28">
        <f>SUMIFS(Table434[Amount],Table434[Date],S13,Table434[Category],"&lt;&gt;"&amp;Table13635[[#Headers],[Income]])+SUMIFS(Table4440[Amount],Table4440[Date],S13,Table4440[Category],"&lt;&gt;"&amp;Table13635[[#Headers],[Income]])</f>
        <v>0</v>
      </c>
      <c r="V13" s="28">
        <f>V12+T13-U13</f>
        <v>12142.14</v>
      </c>
      <c r="W13" s="1">
        <f>W12</f>
        <v>12142.140000000009</v>
      </c>
    </row>
    <row r="14" spans="2:23">
      <c r="B14" s="32"/>
      <c r="D14" s="12"/>
      <c r="E14" s="12">
        <f>SUMIFS(Table442041[Amount],Table442041[Category],Table13635[[#Headers],[Income]],Table442041[Sub-Category],Table13635[[#This Row],[Income]])+SUMIFS(Table4440[Amount],Table4440[Category],Table13635[[#Headers],[Income]],Table4440[Sub-Category],Table13635[[#This Row],[Income]])</f>
        <v>0</v>
      </c>
      <c r="F14" s="2">
        <f>Table13635[[#This Row],[Actual]]-Table13635[[#This Row],[Budget]]</f>
        <v>0</v>
      </c>
      <c r="G14" s="32"/>
      <c r="H14" s="42"/>
      <c r="M14" s="4"/>
      <c r="N14" s="2"/>
      <c r="Q14" s="42"/>
      <c r="S14" s="27">
        <f t="shared" si="0"/>
        <v>45080</v>
      </c>
      <c r="T14" s="29">
        <f>SUMIFS(Table442041[Amount],Table442041[Date],S14,Table442041[Category],Table13635[[#Headers],[Income]])+SUMIFS(Table4440[Amount],Table4440[Date],S14,Table4440[Category],Table13635[[#Headers],[Income]])</f>
        <v>0</v>
      </c>
      <c r="U14" s="29">
        <f>SUMIFS(Table434[Amount],Table434[Date],S14,Table434[Category],"&lt;&gt;"&amp;Table13635[[#Headers],[Income]])+SUMIFS(Table4440[Amount],Table4440[Date],S14,Table4440[Category],"&lt;&gt;"&amp;Table13635[[#Headers],[Income]])</f>
        <v>0</v>
      </c>
      <c r="V14" s="29">
        <f t="shared" ref="V14:V42" si="1">V13+T14-U14</f>
        <v>12142.14</v>
      </c>
      <c r="W14" s="1">
        <f t="shared" ref="W14:W42" si="2">W13</f>
        <v>12142.140000000009</v>
      </c>
    </row>
    <row r="15" spans="2:23">
      <c r="B15" s="32"/>
      <c r="D15" s="2"/>
      <c r="E15" s="3">
        <f>SUMIFS(Table442041[Amount],Table442041[Category],Table13635[[#Headers],[Income]],Table442041[Sub-Category],Table13635[[#This Row],[Income]])+SUMIFS(Table4440[Amount],Table4440[Category],Table13635[[#Headers],[Income]],Table4440[Sub-Category],Table13635[[#This Row],[Income]])</f>
        <v>0</v>
      </c>
      <c r="F15" s="3">
        <f>Table13635[[#This Row],[Actual]]-Table13635[[#This Row],[Budget]]</f>
        <v>0</v>
      </c>
      <c r="G15" s="32"/>
      <c r="H15" s="42"/>
      <c r="J15" s="11"/>
      <c r="K15" s="11"/>
      <c r="L15" s="11"/>
      <c r="M15" s="24"/>
      <c r="N15" s="12"/>
      <c r="O15" s="11"/>
      <c r="Q15" s="42"/>
      <c r="S15" s="30">
        <f t="shared" si="0"/>
        <v>45081</v>
      </c>
      <c r="T15" s="28">
        <f>SUMIFS(Table442041[Amount],Table442041[Date],S15,Table442041[Category],Table13635[[#Headers],[Income]])+SUMIFS(Table4440[Amount],Table4440[Date],S15,Table4440[Category],Table13635[[#Headers],[Income]])</f>
        <v>0</v>
      </c>
      <c r="U15" s="28">
        <f>SUMIFS(Table434[Amount],Table434[Date],S15,Table434[Category],"&lt;&gt;"&amp;Table13635[[#Headers],[Income]])+SUMIFS(Table4440[Amount],Table4440[Date],S15,Table4440[Category],"&lt;&gt;"&amp;Table13635[[#Headers],[Income]])</f>
        <v>0</v>
      </c>
      <c r="V15" s="28">
        <f t="shared" si="1"/>
        <v>12142.14</v>
      </c>
      <c r="W15" s="1">
        <f t="shared" si="2"/>
        <v>12142.140000000009</v>
      </c>
    </row>
    <row r="16" spans="2:23">
      <c r="B16" s="32"/>
      <c r="C16" s="6" t="s">
        <v>20</v>
      </c>
      <c r="D16" s="7">
        <f>SUBTOTAL(109,Table13635[Budget])</f>
        <v>0</v>
      </c>
      <c r="E16" s="7">
        <f>SUBTOTAL(109,Table13635[Actual])</f>
        <v>0</v>
      </c>
      <c r="F16" s="7">
        <f>SUBTOTAL(109,Table13635[Variance])</f>
        <v>0</v>
      </c>
      <c r="G16" s="36"/>
      <c r="H16" s="43"/>
      <c r="I16" s="2"/>
      <c r="M16" s="4"/>
      <c r="N16" s="2"/>
      <c r="Q16" s="43"/>
      <c r="S16" s="27">
        <f t="shared" si="0"/>
        <v>45082</v>
      </c>
      <c r="T16" s="29">
        <f>SUMIFS(Table442041[Amount],Table442041[Date],S16,Table442041[Category],Table13635[[#Headers],[Income]])+SUMIFS(Table4440[Amount],Table4440[Date],S16,Table4440[Category],Table13635[[#Headers],[Income]])</f>
        <v>0</v>
      </c>
      <c r="U16" s="29">
        <f>SUMIFS(Table434[Amount],Table434[Date],S16,Table434[Category],"&lt;&gt;"&amp;Table13635[[#Headers],[Income]])+SUMIFS(Table4440[Amount],Table4440[Date],S16,Table4440[Category],"&lt;&gt;"&amp;Table13635[[#Headers],[Income]])</f>
        <v>0</v>
      </c>
      <c r="V16" s="29">
        <f t="shared" si="1"/>
        <v>12142.14</v>
      </c>
      <c r="W16" s="1">
        <f t="shared" si="2"/>
        <v>12142.140000000009</v>
      </c>
    </row>
    <row r="17" spans="2:23">
      <c r="B17" s="32"/>
      <c r="C17" s="20"/>
      <c r="D17" s="21"/>
      <c r="E17" s="21"/>
      <c r="F17" s="21"/>
      <c r="G17" s="36"/>
      <c r="H17" s="43"/>
      <c r="I17" s="2"/>
      <c r="J17" s="37" t="s">
        <v>43</v>
      </c>
      <c r="K17" s="38"/>
      <c r="L17" s="38"/>
      <c r="M17" s="38"/>
      <c r="N17" s="38"/>
      <c r="O17" s="39"/>
      <c r="Q17" s="43"/>
      <c r="S17" s="30">
        <f t="shared" si="0"/>
        <v>45083</v>
      </c>
      <c r="T17" s="28">
        <f>SUMIFS(Table442041[Amount],Table442041[Date],S17,Table442041[Category],Table13635[[#Headers],[Income]])+SUMIFS(Table4440[Amount],Table4440[Date],S17,Table4440[Category],Table13635[[#Headers],[Income]])</f>
        <v>0</v>
      </c>
      <c r="U17" s="28">
        <f>SUMIFS(Table434[Amount],Table434[Date],S17,Table434[Category],"&lt;&gt;"&amp;Table13635[[#Headers],[Income]])+SUMIFS(Table4440[Amount],Table4440[Date],S17,Table4440[Category],"&lt;&gt;"&amp;Table13635[[#Headers],[Income]])</f>
        <v>0</v>
      </c>
      <c r="V17" s="28">
        <f t="shared" si="1"/>
        <v>12142.14</v>
      </c>
      <c r="W17" s="1">
        <f t="shared" si="2"/>
        <v>12142.140000000009</v>
      </c>
    </row>
    <row r="18" spans="2:23">
      <c r="B18" s="32"/>
      <c r="C18" s="37" t="str">
        <f>CONCATENATE(Table132[[#Headers],[Housing]],"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45084</v>
      </c>
      <c r="T18" s="29">
        <f>SUMIFS(Table442041[Amount],Table442041[Date],S18,Table442041[Category],Table13635[[#Headers],[Income]])+SUMIFS(Table4440[Amount],Table4440[Date],S18,Table4440[Category],Table13635[[#Headers],[Income]])</f>
        <v>0</v>
      </c>
      <c r="U18" s="29">
        <f>SUMIFS(Table434[Amount],Table434[Date],S18,Table434[Category],"&lt;&gt;"&amp;Table13635[[#Headers],[Income]])+SUMIFS(Table4440[Amount],Table4440[Date],S18,Table4440[Category],"&lt;&gt;"&amp;Table13635[[#Headers],[Income]])</f>
        <v>0</v>
      </c>
      <c r="V18" s="29">
        <f t="shared" si="1"/>
        <v>12142.14</v>
      </c>
      <c r="W18" s="1">
        <f t="shared" si="2"/>
        <v>12142.140000000009</v>
      </c>
    </row>
    <row r="19" spans="2:23">
      <c r="B19" s="32"/>
      <c r="C19" s="31" t="s">
        <v>8</v>
      </c>
      <c r="D19" s="31" t="s">
        <v>1</v>
      </c>
      <c r="E19" s="31" t="s">
        <v>2</v>
      </c>
      <c r="F19" s="31" t="s">
        <v>14</v>
      </c>
      <c r="G19" s="36"/>
      <c r="H19" s="43"/>
      <c r="I19" s="2"/>
      <c r="M19" s="4"/>
      <c r="N19" s="2"/>
      <c r="Q19" s="43"/>
      <c r="S19" s="30">
        <f t="shared" si="0"/>
        <v>45085</v>
      </c>
      <c r="T19" s="28">
        <f>SUMIFS(Table442041[Amount],Table442041[Date],S19,Table442041[Category],Table13635[[#Headers],[Income]])+SUMIFS(Table4440[Amount],Table4440[Date],S19,Table4440[Category],Table13635[[#Headers],[Income]])</f>
        <v>0</v>
      </c>
      <c r="U19" s="28">
        <f>SUMIFS(Table434[Amount],Table434[Date],S19,Table434[Category],"&lt;&gt;"&amp;Table13635[[#Headers],[Income]])+SUMIFS(Table4440[Amount],Table4440[Date],S19,Table4440[Category],"&lt;&gt;"&amp;Table13635[[#Headers],[Income]])</f>
        <v>0</v>
      </c>
      <c r="V19" s="28">
        <f t="shared" si="1"/>
        <v>12142.14</v>
      </c>
      <c r="W19" s="1">
        <f t="shared" si="2"/>
        <v>12142.140000000009</v>
      </c>
    </row>
    <row r="20" spans="2:23">
      <c r="B20" s="32"/>
      <c r="D20" s="2"/>
      <c r="E20" s="2">
        <f>SUMIFS(Table434[Amount],Table434[Category],Table132[[#Headers],[Housing]],Table434[Sub-Category],Table132[[#This Row],[Housing]])+SUMIFS(Table4440[Amount],Table4440[Category],Table132[[#Headers],[Housing]],Table4440[Sub-Category],Table132[[#This Row],[Housing]])</f>
        <v>0</v>
      </c>
      <c r="F20" s="3">
        <f>Table132[[#This Row],[Budget]]-Table132[[#This Row],[Actual]]</f>
        <v>0</v>
      </c>
      <c r="G20" s="36"/>
      <c r="H20" s="43"/>
      <c r="I20" s="2"/>
      <c r="J20" s="11"/>
      <c r="K20" s="11"/>
      <c r="L20" s="11"/>
      <c r="M20" s="24"/>
      <c r="N20" s="12"/>
      <c r="O20" s="11"/>
      <c r="Q20" s="43"/>
      <c r="S20" s="27">
        <f t="shared" si="0"/>
        <v>45086</v>
      </c>
      <c r="T20" s="29">
        <f>SUMIFS(Table442041[Amount],Table442041[Date],S20,Table442041[Category],Table13635[[#Headers],[Income]])+SUMIFS(Table4440[Amount],Table4440[Date],S20,Table4440[Category],Table13635[[#Headers],[Income]])</f>
        <v>0</v>
      </c>
      <c r="U20" s="29">
        <f>SUMIFS(Table434[Amount],Table434[Date],S20,Table434[Category],"&lt;&gt;"&amp;Table13635[[#Headers],[Income]])+SUMIFS(Table4440[Amount],Table4440[Date],S20,Table4440[Category],"&lt;&gt;"&amp;Table13635[[#Headers],[Income]])</f>
        <v>0</v>
      </c>
      <c r="V20" s="29">
        <f t="shared" si="1"/>
        <v>12142.14</v>
      </c>
      <c r="W20" s="1">
        <f t="shared" si="2"/>
        <v>12142.140000000009</v>
      </c>
    </row>
    <row r="21" spans="2:23">
      <c r="B21" s="32"/>
      <c r="D21" s="2"/>
      <c r="E21" s="2">
        <f>SUMIFS(Table434[Amount],Table434[Category],Table132[[#Headers],[Housing]],Table434[Sub-Category],Table132[[#This Row],[Housing]])+SUMIFS(Table4440[Amount],Table4440[Category],Table132[[#Headers],[Housing]],Table4440[Sub-Category],Table132[[#This Row],[Housing]])</f>
        <v>0</v>
      </c>
      <c r="F21" s="3">
        <f>Table132[[#This Row],[Budget]]-Table132[[#This Row],[Actual]]</f>
        <v>0</v>
      </c>
      <c r="G21" s="36"/>
      <c r="H21" s="43"/>
      <c r="I21" s="2"/>
      <c r="J21" s="11"/>
      <c r="K21" s="11"/>
      <c r="L21" s="11"/>
      <c r="M21" s="24"/>
      <c r="N21" s="12"/>
      <c r="O21" s="11"/>
      <c r="Q21" s="43"/>
      <c r="S21" s="30">
        <f t="shared" si="0"/>
        <v>45087</v>
      </c>
      <c r="T21" s="28">
        <f>SUMIFS(Table442041[Amount],Table442041[Date],S21,Table442041[Category],Table13635[[#Headers],[Income]])+SUMIFS(Table4440[Amount],Table4440[Date],S21,Table4440[Category],Table13635[[#Headers],[Income]])</f>
        <v>0</v>
      </c>
      <c r="U21" s="28">
        <f>SUMIFS(Table434[Amount],Table434[Date],S21,Table434[Category],"&lt;&gt;"&amp;Table13635[[#Headers],[Income]])+SUMIFS(Table4440[Amount],Table4440[Date],S21,Table4440[Category],"&lt;&gt;"&amp;Table13635[[#Headers],[Income]])</f>
        <v>0</v>
      </c>
      <c r="V21" s="28">
        <f t="shared" si="1"/>
        <v>12142.14</v>
      </c>
      <c r="W21" s="1">
        <f t="shared" si="2"/>
        <v>12142.140000000009</v>
      </c>
    </row>
    <row r="22" spans="2:23">
      <c r="B22" s="32"/>
      <c r="D22" s="2"/>
      <c r="E22" s="2">
        <f>SUMIFS(Table434[Amount],Table434[Category],Table132[[#Headers],[Housing]],Table434[Sub-Category],Table132[[#This Row],[Housing]])+SUMIFS(Table4440[Amount],Table4440[Category],Table132[[#Headers],[Housing]],Table4440[Sub-Category],Table132[[#This Row],[Housing]])</f>
        <v>0</v>
      </c>
      <c r="F22" s="3">
        <f>Table132[[#This Row],[Budget]]-Table132[[#This Row],[Actual]]</f>
        <v>0</v>
      </c>
      <c r="G22" s="36"/>
      <c r="H22" s="43"/>
      <c r="I22" s="2"/>
      <c r="J22" s="11"/>
      <c r="K22" s="11"/>
      <c r="L22" s="11"/>
      <c r="M22" s="24"/>
      <c r="N22" s="12"/>
      <c r="O22" s="11"/>
      <c r="Q22" s="43"/>
      <c r="S22" s="27">
        <f t="shared" si="0"/>
        <v>45088</v>
      </c>
      <c r="T22" s="29">
        <f>SUMIFS(Table442041[Amount],Table442041[Date],S22,Table442041[Category],Table13635[[#Headers],[Income]])+SUMIFS(Table4440[Amount],Table4440[Date],S22,Table4440[Category],Table13635[[#Headers],[Income]])</f>
        <v>0</v>
      </c>
      <c r="U22" s="29">
        <f>SUMIFS(Table434[Amount],Table434[Date],S22,Table434[Category],"&lt;&gt;"&amp;Table13635[[#Headers],[Income]])+SUMIFS(Table4440[Amount],Table4440[Date],S22,Table4440[Category],"&lt;&gt;"&amp;Table13635[[#Headers],[Income]])</f>
        <v>0</v>
      </c>
      <c r="V22" s="29">
        <f t="shared" si="1"/>
        <v>12142.14</v>
      </c>
      <c r="W22" s="1">
        <f t="shared" si="2"/>
        <v>12142.140000000009</v>
      </c>
    </row>
    <row r="23" spans="2:23">
      <c r="B23" s="32"/>
      <c r="D23" s="2"/>
      <c r="E23" s="2">
        <f>SUMIFS(Table434[Amount],Table434[Category],Table132[[#Headers],[Housing]],Table434[Sub-Category],Table132[[#This Row],[Housing]])+SUMIFS(Table4440[Amount],Table4440[Category],Table132[[#Headers],[Housing]],Table4440[Sub-Category],Table132[[#This Row],[Housing]])</f>
        <v>0</v>
      </c>
      <c r="F23" s="3">
        <f>Table132[[#This Row],[Budget]]-Table132[[#This Row],[Actual]]</f>
        <v>0</v>
      </c>
      <c r="G23" s="36"/>
      <c r="H23" s="43"/>
      <c r="I23" s="2"/>
      <c r="J23" s="11"/>
      <c r="K23" s="11"/>
      <c r="L23" s="11"/>
      <c r="M23" s="24"/>
      <c r="N23" s="12"/>
      <c r="O23" s="11"/>
      <c r="Q23" s="43"/>
      <c r="S23" s="30">
        <f t="shared" si="0"/>
        <v>45089</v>
      </c>
      <c r="T23" s="28">
        <f>SUMIFS(Table442041[Amount],Table442041[Date],S23,Table442041[Category],Table13635[[#Headers],[Income]])+SUMIFS(Table4440[Amount],Table4440[Date],S23,Table4440[Category],Table13635[[#Headers],[Income]])</f>
        <v>0</v>
      </c>
      <c r="U23" s="28">
        <f>SUMIFS(Table434[Amount],Table434[Date],S23,Table434[Category],"&lt;&gt;"&amp;Table13635[[#Headers],[Income]])+SUMIFS(Table4440[Amount],Table4440[Date],S23,Table4440[Category],"&lt;&gt;"&amp;Table13635[[#Headers],[Income]])</f>
        <v>0</v>
      </c>
      <c r="V23" s="28">
        <f t="shared" si="1"/>
        <v>12142.14</v>
      </c>
      <c r="W23" s="1">
        <f t="shared" si="2"/>
        <v>12142.140000000009</v>
      </c>
    </row>
    <row r="24" spans="2:23">
      <c r="B24" s="32"/>
      <c r="D24" s="2"/>
      <c r="E24" s="2">
        <f>SUMIFS(Table434[Amount],Table434[Category],Table132[[#Headers],[Housing]],Table434[Sub-Category],Table132[[#This Row],[Housing]])+SUMIFS(Table4440[Amount],Table4440[Category],Table132[[#Headers],[Housing]],Table4440[Sub-Category],Table132[[#This Row],[Housing]])</f>
        <v>0</v>
      </c>
      <c r="F24" s="3">
        <f>Table132[[#This Row],[Budget]]-Table132[[#This Row],[Actual]]</f>
        <v>0</v>
      </c>
      <c r="G24" s="36"/>
      <c r="H24" s="43"/>
      <c r="I24" s="2"/>
      <c r="J24" s="11"/>
      <c r="K24" s="11"/>
      <c r="L24" s="11"/>
      <c r="M24" s="24"/>
      <c r="N24" s="12"/>
      <c r="O24" s="11"/>
      <c r="Q24" s="43"/>
      <c r="S24" s="27">
        <f t="shared" si="0"/>
        <v>45090</v>
      </c>
      <c r="T24" s="29">
        <f>SUMIFS(Table442041[Amount],Table442041[Date],S24,Table442041[Category],Table13635[[#Headers],[Income]])+SUMIFS(Table4440[Amount],Table4440[Date],S24,Table4440[Category],Table13635[[#Headers],[Income]])</f>
        <v>0</v>
      </c>
      <c r="U24" s="29">
        <f>SUMIFS(Table434[Amount],Table434[Date],S24,Table434[Category],"&lt;&gt;"&amp;Table13635[[#Headers],[Income]])+SUMIFS(Table4440[Amount],Table4440[Date],S24,Table4440[Category],"&lt;&gt;"&amp;Table13635[[#Headers],[Income]])</f>
        <v>0</v>
      </c>
      <c r="V24" s="29">
        <f t="shared" si="1"/>
        <v>12142.14</v>
      </c>
      <c r="W24" s="1">
        <f t="shared" si="2"/>
        <v>12142.140000000009</v>
      </c>
    </row>
    <row r="25" spans="2:23">
      <c r="B25" s="32"/>
      <c r="D25" s="2"/>
      <c r="E25" s="2">
        <f>SUMIFS(Table434[Amount],Table434[Category],Table132[[#Headers],[Housing]],Table434[Sub-Category],Table132[[#This Row],[Housing]])+SUMIFS(Table4440[Amount],Table4440[Category],Table132[[#Headers],[Housing]],Table4440[Sub-Category],Table132[[#This Row],[Housing]])</f>
        <v>0</v>
      </c>
      <c r="F25" s="3">
        <f>Table132[[#This Row],[Budget]]-Table132[[#This Row],[Actual]]</f>
        <v>0</v>
      </c>
      <c r="G25" s="32"/>
      <c r="H25" s="42"/>
      <c r="J25" s="11"/>
      <c r="K25" s="11"/>
      <c r="L25" s="11"/>
      <c r="M25" s="24"/>
      <c r="N25" s="12"/>
      <c r="O25" s="11"/>
      <c r="Q25" s="42"/>
      <c r="S25" s="30">
        <f t="shared" si="0"/>
        <v>45091</v>
      </c>
      <c r="T25" s="28">
        <f>SUMIFS(Table442041[Amount],Table442041[Date],S25,Table442041[Category],Table13635[[#Headers],[Income]])+SUMIFS(Table4440[Amount],Table4440[Date],S25,Table4440[Category],Table13635[[#Headers],[Income]])</f>
        <v>0</v>
      </c>
      <c r="U25" s="28">
        <f>SUMIFS(Table434[Amount],Table434[Date],S25,Table434[Category],"&lt;&gt;"&amp;Table13635[[#Headers],[Income]])+SUMIFS(Table4440[Amount],Table4440[Date],S25,Table4440[Category],"&lt;&gt;"&amp;Table13635[[#Headers],[Income]])</f>
        <v>0</v>
      </c>
      <c r="V25" s="28">
        <f t="shared" si="1"/>
        <v>12142.14</v>
      </c>
      <c r="W25" s="1">
        <f t="shared" si="2"/>
        <v>12142.140000000009</v>
      </c>
    </row>
    <row r="26" spans="2:23">
      <c r="B26" s="32"/>
      <c r="D26" s="2"/>
      <c r="E26" s="2">
        <f>SUMIFS(Table434[Amount],Table434[Category],Table132[[#Headers],[Housing]],Table434[Sub-Category],Table132[[#This Row],[Housing]])+SUMIFS(Table4440[Amount],Table4440[Category],Table132[[#Headers],[Housing]],Table4440[Sub-Category],Table132[[#This Row],[Housing]])</f>
        <v>0</v>
      </c>
      <c r="F26" s="3">
        <f>Table132[[#This Row],[Budget]]-Table132[[#This Row],[Actual]]</f>
        <v>0</v>
      </c>
      <c r="G26" s="32"/>
      <c r="H26" s="42"/>
      <c r="J26" s="11"/>
      <c r="K26" s="11"/>
      <c r="L26" s="11"/>
      <c r="M26" s="24"/>
      <c r="N26" s="12"/>
      <c r="O26" s="11"/>
      <c r="Q26" s="42"/>
      <c r="S26" s="27">
        <f t="shared" si="0"/>
        <v>45092</v>
      </c>
      <c r="T26" s="29">
        <f>SUMIFS(Table442041[Amount],Table442041[Date],S26,Table442041[Category],Table13635[[#Headers],[Income]])+SUMIFS(Table4440[Amount],Table4440[Date],S26,Table4440[Category],Table13635[[#Headers],[Income]])</f>
        <v>0</v>
      </c>
      <c r="U26" s="29">
        <f>SUMIFS(Table434[Amount],Table434[Date],S26,Table434[Category],"&lt;&gt;"&amp;Table13635[[#Headers],[Income]])+SUMIFS(Table4440[Amount],Table4440[Date],S26,Table4440[Category],"&lt;&gt;"&amp;Table13635[[#Headers],[Income]])</f>
        <v>0</v>
      </c>
      <c r="V26" s="29">
        <f t="shared" si="1"/>
        <v>12142.14</v>
      </c>
      <c r="W26" s="1">
        <f t="shared" si="2"/>
        <v>12142.140000000009</v>
      </c>
    </row>
    <row r="27" spans="2:23">
      <c r="B27" s="32"/>
      <c r="D27" s="2"/>
      <c r="E27" s="2">
        <f>SUMIFS(Table434[Amount],Table434[Category],Table132[[#Headers],[Housing]],Table434[Sub-Category],Table132[[#This Row],[Housing]])+SUMIFS(Table4440[Amount],Table4440[Category],Table132[[#Headers],[Housing]],Table4440[Sub-Category],Table132[[#This Row],[Housing]])</f>
        <v>0</v>
      </c>
      <c r="F27" s="3">
        <f>Table132[[#This Row],[Budget]]-Table132[[#This Row],[Actual]]</f>
        <v>0</v>
      </c>
      <c r="G27" s="36"/>
      <c r="H27" s="43"/>
      <c r="I27" s="2"/>
      <c r="J27" s="11"/>
      <c r="K27" s="11"/>
      <c r="L27" s="11"/>
      <c r="M27" s="24"/>
      <c r="N27" s="12"/>
      <c r="O27" s="11"/>
      <c r="Q27" s="43"/>
      <c r="S27" s="30">
        <f t="shared" si="0"/>
        <v>45093</v>
      </c>
      <c r="T27" s="28">
        <f>SUMIFS(Table442041[Amount],Table442041[Date],S27,Table442041[Category],Table13635[[#Headers],[Income]])+SUMIFS(Table4440[Amount],Table4440[Date],S27,Table4440[Category],Table13635[[#Headers],[Income]])</f>
        <v>0</v>
      </c>
      <c r="U27" s="28">
        <f>SUMIFS(Table434[Amount],Table434[Date],S27,Table434[Category],"&lt;&gt;"&amp;Table13635[[#Headers],[Income]])+SUMIFS(Table4440[Amount],Table4440[Date],S27,Table4440[Category],"&lt;&gt;"&amp;Table13635[[#Headers],[Income]])</f>
        <v>0</v>
      </c>
      <c r="V27" s="28">
        <f t="shared" si="1"/>
        <v>12142.14</v>
      </c>
      <c r="W27" s="1">
        <f t="shared" si="2"/>
        <v>12142.140000000009</v>
      </c>
    </row>
    <row r="28" spans="2:23">
      <c r="B28" s="32"/>
      <c r="C28" s="11"/>
      <c r="D28" s="12"/>
      <c r="E28" s="13">
        <f>SUMIFS(Table434[Amount],Table434[Category],Table132[[#Headers],[Housing]],Table434[Sub-Category],Table132[[#This Row],[Housing]])+SUMIFS(Table4440[Amount],Table4440[Category],Table132[[#Headers],[Housing]],Table4440[Sub-Category],Table132[[#This Row],[Housing]])</f>
        <v>0</v>
      </c>
      <c r="F28" s="13">
        <f>Table132[[#This Row],[Budget]]-Table132[[#This Row],[Actual]]</f>
        <v>0</v>
      </c>
      <c r="G28" s="36"/>
      <c r="H28" s="43"/>
      <c r="I28" s="2"/>
      <c r="J28" s="11"/>
      <c r="K28" s="11"/>
      <c r="L28" s="11"/>
      <c r="M28" s="24"/>
      <c r="N28" s="12"/>
      <c r="O28" s="11"/>
      <c r="Q28" s="43"/>
      <c r="S28" s="27">
        <f t="shared" si="0"/>
        <v>45094</v>
      </c>
      <c r="T28" s="29">
        <f>SUMIFS(Table442041[Amount],Table442041[Date],S28,Table442041[Category],Table13635[[#Headers],[Income]])+SUMIFS(Table4440[Amount],Table4440[Date],S28,Table4440[Category],Table13635[[#Headers],[Income]])</f>
        <v>0</v>
      </c>
      <c r="U28" s="29">
        <f>SUMIFS(Table434[Amount],Table434[Date],S28,Table434[Category],"&lt;&gt;"&amp;Table13635[[#Headers],[Income]])+SUMIFS(Table4440[Amount],Table4440[Date],S28,Table4440[Category],"&lt;&gt;"&amp;Table13635[[#Headers],[Income]])</f>
        <v>0</v>
      </c>
      <c r="V28" s="29">
        <f t="shared" si="1"/>
        <v>12142.14</v>
      </c>
      <c r="W28" s="1">
        <f t="shared" si="2"/>
        <v>12142.140000000009</v>
      </c>
    </row>
    <row r="29" spans="2:23">
      <c r="B29" s="32"/>
      <c r="C29" s="9" t="s">
        <v>20</v>
      </c>
      <c r="D29" s="10">
        <f>SUBTOTAL(109,Table132[Budget])</f>
        <v>0</v>
      </c>
      <c r="E29" s="10">
        <f>SUBTOTAL(109,Table132[Actual])</f>
        <v>0</v>
      </c>
      <c r="F29" s="10">
        <f>SUBTOTAL(109,Table132[Variance])</f>
        <v>0</v>
      </c>
      <c r="G29" s="32"/>
      <c r="H29" s="42"/>
      <c r="J29" s="11"/>
      <c r="K29" s="11"/>
      <c r="L29" s="11"/>
      <c r="M29" s="24"/>
      <c r="N29" s="12"/>
      <c r="O29" s="11"/>
      <c r="Q29" s="42"/>
      <c r="S29" s="30">
        <f t="shared" si="0"/>
        <v>45095</v>
      </c>
      <c r="T29" s="28">
        <f>SUMIFS(Table442041[Amount],Table442041[Date],S29,Table442041[Category],Table13635[[#Headers],[Income]])+SUMIFS(Table4440[Amount],Table4440[Date],S29,Table4440[Category],Table13635[[#Headers],[Income]])</f>
        <v>0</v>
      </c>
      <c r="U29" s="28">
        <f>SUMIFS(Table434[Amount],Table434[Date],S29,Table434[Category],"&lt;&gt;"&amp;Table13635[[#Headers],[Income]])+SUMIFS(Table4440[Amount],Table4440[Date],S29,Table4440[Category],"&lt;&gt;"&amp;Table13635[[#Headers],[Income]])</f>
        <v>0</v>
      </c>
      <c r="V29" s="28">
        <f t="shared" si="1"/>
        <v>12142.14</v>
      </c>
      <c r="W29" s="1">
        <f t="shared" si="2"/>
        <v>12142.140000000009</v>
      </c>
    </row>
    <row r="30" spans="2:23">
      <c r="B30" s="32"/>
      <c r="C30" s="26"/>
      <c r="D30" s="23"/>
      <c r="E30" s="23"/>
      <c r="F30" s="23"/>
      <c r="G30" s="32"/>
      <c r="H30" s="42"/>
      <c r="J30" s="11"/>
      <c r="K30" s="11"/>
      <c r="L30" s="11"/>
      <c r="M30" s="24"/>
      <c r="N30" s="12"/>
      <c r="O30" s="11"/>
      <c r="Q30" s="42"/>
      <c r="S30" s="27">
        <f t="shared" si="0"/>
        <v>45096</v>
      </c>
      <c r="T30" s="29">
        <f>SUMIFS(Table442041[Amount],Table442041[Date],S30,Table442041[Category],Table13635[[#Headers],[Income]])+SUMIFS(Table4440[Amount],Table4440[Date],S30,Table4440[Category],Table13635[[#Headers],[Income]])</f>
        <v>0</v>
      </c>
      <c r="U30" s="29">
        <f>SUMIFS(Table434[Amount],Table434[Date],S30,Table434[Category],"&lt;&gt;"&amp;Table13635[[#Headers],[Income]])+SUMIFS(Table4440[Amount],Table4440[Date],S30,Table4440[Category],"&lt;&gt;"&amp;Table13635[[#Headers],[Income]])</f>
        <v>0</v>
      </c>
      <c r="V30" s="29">
        <f t="shared" si="1"/>
        <v>12142.14</v>
      </c>
      <c r="W30" s="1">
        <f t="shared" si="2"/>
        <v>12142.140000000009</v>
      </c>
    </row>
    <row r="31" spans="2:23">
      <c r="B31" s="32"/>
      <c r="C31" s="37" t="str">
        <f>CONCATENATE(Table1333[[#Headers],[Transportation]]," - Budget &amp; Tracking")</f>
        <v>Transportation - Budget &amp; Tracking</v>
      </c>
      <c r="D31" s="38"/>
      <c r="E31" s="38"/>
      <c r="F31" s="39"/>
      <c r="G31" s="32"/>
      <c r="H31" s="42"/>
      <c r="J31" s="11"/>
      <c r="K31" s="11"/>
      <c r="L31" s="11"/>
      <c r="M31" s="24"/>
      <c r="N31" s="12"/>
      <c r="O31" s="11"/>
      <c r="Q31" s="42"/>
      <c r="S31" s="30">
        <f t="shared" si="0"/>
        <v>45097</v>
      </c>
      <c r="T31" s="28">
        <f>SUMIFS(Table442041[Amount],Table442041[Date],S31,Table442041[Category],Table13635[[#Headers],[Income]])+SUMIFS(Table4440[Amount],Table4440[Date],S31,Table4440[Category],Table13635[[#Headers],[Income]])</f>
        <v>0</v>
      </c>
      <c r="U31" s="28">
        <f>SUMIFS(Table434[Amount],Table434[Date],S31,Table434[Category],"&lt;&gt;"&amp;Table13635[[#Headers],[Income]])+SUMIFS(Table4440[Amount],Table4440[Date],S31,Table4440[Category],"&lt;&gt;"&amp;Table13635[[#Headers],[Income]])</f>
        <v>0</v>
      </c>
      <c r="V31" s="28">
        <f t="shared" si="1"/>
        <v>12142.14</v>
      </c>
      <c r="W31" s="1">
        <f t="shared" si="2"/>
        <v>12142.140000000009</v>
      </c>
    </row>
    <row r="32" spans="2:23">
      <c r="B32" s="32"/>
      <c r="C32" s="31" t="s">
        <v>12</v>
      </c>
      <c r="D32" s="31" t="s">
        <v>1</v>
      </c>
      <c r="E32" s="31" t="s">
        <v>2</v>
      </c>
      <c r="F32" s="31" t="s">
        <v>14</v>
      </c>
      <c r="G32" s="32"/>
      <c r="H32" s="42"/>
      <c r="J32" s="11"/>
      <c r="K32" s="11"/>
      <c r="L32" s="11"/>
      <c r="M32" s="24"/>
      <c r="N32" s="12"/>
      <c r="O32" s="11"/>
      <c r="Q32" s="42"/>
      <c r="S32" s="27">
        <f t="shared" si="0"/>
        <v>45098</v>
      </c>
      <c r="T32" s="29">
        <f>SUMIFS(Table442041[Amount],Table442041[Date],S32,Table442041[Category],Table13635[[#Headers],[Income]])+SUMIFS(Table4440[Amount],Table4440[Date],S32,Table4440[Category],Table13635[[#Headers],[Income]])</f>
        <v>0</v>
      </c>
      <c r="U32" s="29">
        <f>SUMIFS(Table434[Amount],Table434[Date],S32,Table434[Category],"&lt;&gt;"&amp;Table13635[[#Headers],[Income]])+SUMIFS(Table4440[Amount],Table4440[Date],S32,Table4440[Category],"&lt;&gt;"&amp;Table13635[[#Headers],[Income]])</f>
        <v>0</v>
      </c>
      <c r="V32" s="29">
        <f t="shared" si="1"/>
        <v>12142.14</v>
      </c>
      <c r="W32" s="1">
        <f t="shared" si="2"/>
        <v>12142.140000000009</v>
      </c>
    </row>
    <row r="33" spans="2:23">
      <c r="B33" s="32"/>
      <c r="D33" s="2"/>
      <c r="E33" s="2">
        <f>SUMIFS(Table434[Amount],Table434[Category],Table1333[[#Headers],[Transportation]],Table434[Sub-Category],Table1333[[#This Row],[Transportation]])+SUMIFS(Table4440[Amount],Table4440[Category],Table1333[[#Headers],[Transportation]],Table4440[Sub-Category],Table1333[[#This Row],[Transportation]])</f>
        <v>0</v>
      </c>
      <c r="F33" s="3">
        <f>Table1333[[#This Row],[Budget]]-Table1333[[#This Row],[Actual]]</f>
        <v>0</v>
      </c>
      <c r="G33" s="32"/>
      <c r="H33" s="42"/>
      <c r="J33" s="37" t="s">
        <v>44</v>
      </c>
      <c r="K33" s="38"/>
      <c r="L33" s="38"/>
      <c r="M33" s="38"/>
      <c r="N33" s="38"/>
      <c r="O33" s="39"/>
      <c r="Q33" s="42"/>
      <c r="S33" s="30">
        <f t="shared" si="0"/>
        <v>45099</v>
      </c>
      <c r="T33" s="28">
        <f>SUMIFS(Table442041[Amount],Table442041[Date],S33,Table442041[Category],Table13635[[#Headers],[Income]])+SUMIFS(Table4440[Amount],Table4440[Date],S33,Table4440[Category],Table13635[[#Headers],[Income]])</f>
        <v>0</v>
      </c>
      <c r="U33" s="28">
        <f>SUMIFS(Table434[Amount],Table434[Date],S33,Table434[Category],"&lt;&gt;"&amp;Table13635[[#Headers],[Income]])+SUMIFS(Table4440[Amount],Table4440[Date],S33,Table4440[Category],"&lt;&gt;"&amp;Table13635[[#Headers],[Income]])</f>
        <v>0</v>
      </c>
      <c r="V33" s="28">
        <f t="shared" si="1"/>
        <v>12142.14</v>
      </c>
      <c r="W33" s="1">
        <f t="shared" si="2"/>
        <v>12142.140000000009</v>
      </c>
    </row>
    <row r="34" spans="2:23">
      <c r="B34" s="32"/>
      <c r="D34" s="2"/>
      <c r="E34" s="2">
        <f>SUMIFS(Table434[Amount],Table434[Category],Table1333[[#Headers],[Transportation]],Table434[Sub-Category],Table1333[[#This Row],[Transportation]])+SUMIFS(Table4440[Amount],Table4440[Category],Table1333[[#Headers],[Transportation]],Table4440[Sub-Category],Table1333[[#This Row],[Transportation]])</f>
        <v>0</v>
      </c>
      <c r="F34" s="3">
        <f>Table1333[[#This Row],[Budget]]-Table1333[[#This Row],[Actual]]</f>
        <v>0</v>
      </c>
      <c r="G34" s="32"/>
      <c r="H34" s="42"/>
      <c r="J34" s="31" t="s">
        <v>9</v>
      </c>
      <c r="K34" s="31" t="s">
        <v>0</v>
      </c>
      <c r="L34" s="31" t="s">
        <v>13</v>
      </c>
      <c r="M34" s="31" t="s">
        <v>10</v>
      </c>
      <c r="N34" s="31" t="s">
        <v>11</v>
      </c>
      <c r="O34" s="31" t="s">
        <v>16</v>
      </c>
      <c r="Q34" s="42"/>
      <c r="S34" s="27">
        <f t="shared" si="0"/>
        <v>45100</v>
      </c>
      <c r="T34" s="29">
        <f>SUMIFS(Table442041[Amount],Table442041[Date],S34,Table442041[Category],Table13635[[#Headers],[Income]])+SUMIFS(Table4440[Amount],Table4440[Date],S34,Table4440[Category],Table13635[[#Headers],[Income]])</f>
        <v>0</v>
      </c>
      <c r="U34" s="29">
        <f>SUMIFS(Table434[Amount],Table434[Date],S34,Table434[Category],"&lt;&gt;"&amp;Table13635[[#Headers],[Income]])+SUMIFS(Table4440[Amount],Table4440[Date],S34,Table4440[Category],"&lt;&gt;"&amp;Table13635[[#Headers],[Income]])</f>
        <v>0</v>
      </c>
      <c r="V34" s="29">
        <f t="shared" si="1"/>
        <v>12142.14</v>
      </c>
      <c r="W34" s="1">
        <f t="shared" si="2"/>
        <v>12142.140000000009</v>
      </c>
    </row>
    <row r="35" spans="2:23">
      <c r="B35" s="32"/>
      <c r="C35" s="11"/>
      <c r="D35" s="12"/>
      <c r="E35" s="13">
        <f>SUMIFS(Table434[Amount],Table434[Category],Table1333[[#Headers],[Transportation]],Table434[Sub-Category],Table1333[[#This Row],[Transportation]])+SUMIFS(Table4440[Amount],Table4440[Category],Table1333[[#Headers],[Transportation]],Table4440[Sub-Category],Table1333[[#This Row],[Transportation]])</f>
        <v>0</v>
      </c>
      <c r="F35" s="13">
        <f>Table1333[[#This Row],[Budget]]-Table1333[[#This Row],[Actual]]</f>
        <v>0</v>
      </c>
      <c r="G35" s="32"/>
      <c r="H35" s="42"/>
      <c r="M35" s="4"/>
      <c r="N35" s="2"/>
      <c r="Q35" s="42"/>
      <c r="S35" s="30">
        <f t="shared" si="0"/>
        <v>45101</v>
      </c>
      <c r="T35" s="28">
        <f>SUMIFS(Table442041[Amount],Table442041[Date],S35,Table442041[Category],Table13635[[#Headers],[Income]])+SUMIFS(Table4440[Amount],Table4440[Date],S35,Table4440[Category],Table13635[[#Headers],[Income]])</f>
        <v>0</v>
      </c>
      <c r="U35" s="28">
        <f>SUMIFS(Table434[Amount],Table434[Date],S35,Table434[Category],"&lt;&gt;"&amp;Table13635[[#Headers],[Income]])+SUMIFS(Table4440[Amount],Table4440[Date],S35,Table4440[Category],"&lt;&gt;"&amp;Table13635[[#Headers],[Income]])</f>
        <v>0</v>
      </c>
      <c r="V35" s="28">
        <f t="shared" si="1"/>
        <v>12142.14</v>
      </c>
      <c r="W35" s="1">
        <f t="shared" si="2"/>
        <v>12142.140000000009</v>
      </c>
    </row>
    <row r="36" spans="2:23">
      <c r="B36" s="32"/>
      <c r="C36" s="11"/>
      <c r="D36" s="12"/>
      <c r="E36" s="13">
        <f>SUMIFS(Table434[Amount],Table434[Category],Table1333[[#Headers],[Transportation]],Table434[Sub-Category],Table1333[[#This Row],[Transportation]])+SUMIFS(Table4440[Amount],Table4440[Category],Table1333[[#Headers],[Transportation]],Table4440[Sub-Category],Table1333[[#This Row],[Transportation]])</f>
        <v>0</v>
      </c>
      <c r="F36" s="13">
        <f>Table1333[[#This Row],[Budget]]-Table1333[[#This Row],[Actual]]</f>
        <v>0</v>
      </c>
      <c r="G36" s="32"/>
      <c r="H36" s="42"/>
      <c r="M36" s="4"/>
      <c r="N36" s="2"/>
      <c r="Q36" s="42"/>
      <c r="S36" s="27">
        <f t="shared" si="0"/>
        <v>45102</v>
      </c>
      <c r="T36" s="29">
        <f>SUMIFS(Table442041[Amount],Table442041[Date],S36,Table442041[Category],Table13635[[#Headers],[Income]])+SUMIFS(Table4440[Amount],Table4440[Date],S36,Table4440[Category],Table13635[[#Headers],[Income]])</f>
        <v>0</v>
      </c>
      <c r="U36" s="29">
        <f>SUMIFS(Table434[Amount],Table434[Date],S36,Table434[Category],"&lt;&gt;"&amp;Table13635[[#Headers],[Income]])+SUMIFS(Table4440[Amount],Table4440[Date],S36,Table4440[Category],"&lt;&gt;"&amp;Table13635[[#Headers],[Income]])</f>
        <v>0</v>
      </c>
      <c r="V36" s="29">
        <f t="shared" si="1"/>
        <v>12142.14</v>
      </c>
      <c r="W36" s="1">
        <f t="shared" si="2"/>
        <v>12142.140000000009</v>
      </c>
    </row>
    <row r="37" spans="2:23">
      <c r="B37" s="32"/>
      <c r="C37" s="9" t="s">
        <v>20</v>
      </c>
      <c r="D37" s="10">
        <f>SUBTOTAL(109,Table1333[Budget])</f>
        <v>0</v>
      </c>
      <c r="E37" s="10">
        <f>SUBTOTAL(109,Table1333[Actual])</f>
        <v>0</v>
      </c>
      <c r="F37" s="10">
        <f>SUBTOTAL(109,Table1333[Variance])</f>
        <v>0</v>
      </c>
      <c r="G37" s="32"/>
      <c r="H37" s="42"/>
      <c r="M37" s="4"/>
      <c r="N37" s="2"/>
      <c r="Q37" s="42"/>
      <c r="S37" s="30">
        <f t="shared" si="0"/>
        <v>45103</v>
      </c>
      <c r="T37" s="28">
        <f>SUMIFS(Table442041[Amount],Table442041[Date],S37,Table442041[Category],Table13635[[#Headers],[Income]])+SUMIFS(Table4440[Amount],Table4440[Date],S37,Table4440[Category],Table13635[[#Headers],[Income]])</f>
        <v>0</v>
      </c>
      <c r="U37" s="28">
        <f>SUMIFS(Table434[Amount],Table434[Date],S37,Table434[Category],"&lt;&gt;"&amp;Table13635[[#Headers],[Income]])+SUMIFS(Table4440[Amount],Table4440[Date],S37,Table4440[Category],"&lt;&gt;"&amp;Table13635[[#Headers],[Income]])</f>
        <v>0</v>
      </c>
      <c r="V37" s="28">
        <f t="shared" si="1"/>
        <v>12142.14</v>
      </c>
      <c r="W37" s="1">
        <f t="shared" si="2"/>
        <v>12142.140000000009</v>
      </c>
    </row>
    <row r="38" spans="2:23">
      <c r="B38" s="32"/>
      <c r="C38" s="26"/>
      <c r="D38" s="23"/>
      <c r="E38" s="23"/>
      <c r="F38" s="23"/>
      <c r="G38" s="32"/>
      <c r="H38" s="42"/>
      <c r="J38" s="11"/>
      <c r="K38" s="11"/>
      <c r="L38" s="11"/>
      <c r="M38" s="24"/>
      <c r="N38" s="12"/>
      <c r="O38" s="11"/>
      <c r="Q38" s="42"/>
      <c r="S38" s="27">
        <f t="shared" si="0"/>
        <v>45104</v>
      </c>
      <c r="T38" s="29">
        <f>SUMIFS(Table442041[Amount],Table442041[Date],S38,Table442041[Category],Table13635[[#Headers],[Income]])+SUMIFS(Table4440[Amount],Table4440[Date],S38,Table4440[Category],Table13635[[#Headers],[Income]])</f>
        <v>0</v>
      </c>
      <c r="U38" s="29">
        <f>SUMIFS(Table434[Amount],Table434[Date],S38,Table434[Category],"&lt;&gt;"&amp;Table13635[[#Headers],[Income]])+SUMIFS(Table4440[Amount],Table4440[Date],S38,Table4440[Category],"&lt;&gt;"&amp;Table13635[[#Headers],[Income]])</f>
        <v>0</v>
      </c>
      <c r="V38" s="29">
        <f t="shared" si="1"/>
        <v>12142.14</v>
      </c>
      <c r="W38" s="1">
        <f t="shared" si="2"/>
        <v>12142.140000000009</v>
      </c>
    </row>
    <row r="39" spans="2:23">
      <c r="B39" s="32"/>
      <c r="C39" s="37" t="str">
        <f>CONCATENATE(Table1391039[[#Headers],[Bills]]," - Budget &amp; Tracking")</f>
        <v>Bills - Budget &amp; Tracking</v>
      </c>
      <c r="D39" s="38"/>
      <c r="E39" s="38"/>
      <c r="F39" s="39"/>
      <c r="G39" s="32"/>
      <c r="H39" s="42"/>
      <c r="J39" s="11"/>
      <c r="K39" s="11"/>
      <c r="L39" s="11"/>
      <c r="M39" s="24"/>
      <c r="N39" s="12"/>
      <c r="O39" s="11"/>
      <c r="Q39" s="42"/>
      <c r="S39" s="30">
        <f t="shared" si="0"/>
        <v>45105</v>
      </c>
      <c r="T39" s="28">
        <f>SUMIFS(Table442041[Amount],Table442041[Date],S39,Table442041[Category],Table13635[[#Headers],[Income]])+SUMIFS(Table4440[Amount],Table4440[Date],S39,Table4440[Category],Table13635[[#Headers],[Income]])</f>
        <v>0</v>
      </c>
      <c r="U39" s="28">
        <f>SUMIFS(Table434[Amount],Table434[Date],S39,Table434[Category],"&lt;&gt;"&amp;Table13635[[#Headers],[Income]])+SUMIFS(Table4440[Amount],Table4440[Date],S39,Table4440[Category],"&lt;&gt;"&amp;Table13635[[#Headers],[Income]])</f>
        <v>0</v>
      </c>
      <c r="V39" s="28">
        <f t="shared" si="1"/>
        <v>12142.14</v>
      </c>
      <c r="W39" s="1">
        <f t="shared" si="2"/>
        <v>12142.140000000009</v>
      </c>
    </row>
    <row r="40" spans="2:23">
      <c r="B40" s="32"/>
      <c r="C40" s="31" t="s">
        <v>30</v>
      </c>
      <c r="D40" s="31" t="s">
        <v>1</v>
      </c>
      <c r="E40" s="31" t="s">
        <v>2</v>
      </c>
      <c r="F40" s="31" t="s">
        <v>14</v>
      </c>
      <c r="G40" s="32"/>
      <c r="H40" s="42"/>
      <c r="J40" s="11"/>
      <c r="K40" s="11"/>
      <c r="L40" s="11"/>
      <c r="M40" s="24"/>
      <c r="N40" s="12"/>
      <c r="O40" s="11"/>
      <c r="Q40" s="42"/>
      <c r="S40" s="27">
        <f t="shared" si="0"/>
        <v>45106</v>
      </c>
      <c r="T40" s="29">
        <f>SUMIFS(Table442041[Amount],Table442041[Date],S40,Table442041[Category],Table13635[[#Headers],[Income]])+SUMIFS(Table4440[Amount],Table4440[Date],S40,Table4440[Category],Table13635[[#Headers],[Income]])</f>
        <v>0</v>
      </c>
      <c r="U40" s="29">
        <f>SUMIFS(Table434[Amount],Table434[Date],S40,Table434[Category],"&lt;&gt;"&amp;Table13635[[#Headers],[Income]])+SUMIFS(Table4440[Amount],Table4440[Date],S40,Table4440[Category],"&lt;&gt;"&amp;Table13635[[#Headers],[Income]])</f>
        <v>0</v>
      </c>
      <c r="V40" s="29">
        <f t="shared" si="1"/>
        <v>12142.14</v>
      </c>
      <c r="W40" s="1">
        <f t="shared" si="2"/>
        <v>12142.140000000009</v>
      </c>
    </row>
    <row r="41" spans="2:23">
      <c r="B41" s="32"/>
      <c r="D41" s="2"/>
      <c r="E41" s="2">
        <f>SUMIFS(Table434[Amount],Table434[Category],Table1391039[[#Headers],[Bills]],Table434[Sub-Category],Table1391039[[#This Row],[Bills]])+SUMIFS(Table4440[Amount],Table4440[Category],Table1391039[[#Headers],[Bills]],Table4440[Sub-Category],Table1391039[[#This Row],[Bills]])</f>
        <v>0</v>
      </c>
      <c r="F41" s="3">
        <f>Table1391039[[#This Row],[Budget]]-Table1391039[[#This Row],[Actual]]</f>
        <v>0</v>
      </c>
      <c r="G41" s="32"/>
      <c r="H41" s="42"/>
      <c r="Q41" s="42"/>
      <c r="S41" s="30">
        <f t="shared" si="0"/>
        <v>45107</v>
      </c>
      <c r="T41" s="28">
        <f>SUMIFS(Table442041[Amount],Table442041[Date],S41,Table442041[Category],Table13635[[#Headers],[Income]])+SUMIFS(Table4440[Amount],Table4440[Date],S41,Table4440[Category],Table13635[[#Headers],[Income]])</f>
        <v>0</v>
      </c>
      <c r="U41" s="28">
        <f>SUMIFS(Table434[Amount],Table434[Date],S41,Table434[Category],"&lt;&gt;"&amp;Table13635[[#Headers],[Income]])+SUMIFS(Table4440[Amount],Table4440[Date],S41,Table4440[Category],"&lt;&gt;"&amp;Table13635[[#Headers],[Income]])</f>
        <v>0</v>
      </c>
      <c r="V41" s="28">
        <f t="shared" si="1"/>
        <v>12142.14</v>
      </c>
      <c r="W41" s="1">
        <f t="shared" si="2"/>
        <v>12142.140000000009</v>
      </c>
    </row>
    <row r="42" spans="2:23">
      <c r="B42" s="32"/>
      <c r="D42" s="2"/>
      <c r="E42" s="2">
        <f>SUMIFS(Table434[Amount],Table434[Category],Table1391039[[#Headers],[Bills]],Table434[Sub-Category],Table1391039[[#This Row],[Bills]])+SUMIFS(Table4440[Amount],Table4440[Category],Table1391039[[#Headers],[Bills]],Table4440[Sub-Category],Table1391039[[#This Row],[Bills]])</f>
        <v>0</v>
      </c>
      <c r="F42" s="3">
        <f>Table1391039[[#This Row],[Budget]]-Table1391039[[#This Row],[Actual]]</f>
        <v>0</v>
      </c>
      <c r="G42" s="32"/>
      <c r="H42" s="42"/>
      <c r="Q42" s="42"/>
      <c r="S42" s="27">
        <f t="shared" si="0"/>
        <v>45108</v>
      </c>
      <c r="T42" s="29">
        <f>SUMIFS(Table442041[Amount],Table442041[Date],S42,Table442041[Category],Table13635[[#Headers],[Income]])+SUMIFS(Table4440[Amount],Table4440[Date],S42,Table4440[Category],Table13635[[#Headers],[Income]])</f>
        <v>0</v>
      </c>
      <c r="U42" s="29">
        <f>SUMIFS(Table434[Amount],Table434[Date],S42,Table434[Category],"&lt;&gt;"&amp;Table13635[[#Headers],[Income]])+SUMIFS(Table4440[Amount],Table4440[Date],S42,Table4440[Category],"&lt;&gt;"&amp;Table13635[[#Headers],[Income]])</f>
        <v>0</v>
      </c>
      <c r="V42" s="29">
        <f t="shared" si="1"/>
        <v>12142.14</v>
      </c>
      <c r="W42" s="1">
        <f t="shared" si="2"/>
        <v>12142.140000000009</v>
      </c>
    </row>
    <row r="43" spans="2:23">
      <c r="B43" s="32"/>
      <c r="C43" s="11"/>
      <c r="D43" s="12"/>
      <c r="E43" s="13">
        <f>SUMIFS(Table434[Amount],Table434[Category],Table1391039[[#Headers],[Bills]],Table434[Sub-Category],Table1391039[[#This Row],[Bills]])+SUMIFS(Table4440[Amount],Table4440[Category],Table1391039[[#Headers],[Bills]],Table4440[Sub-Category],Table1391039[[#This Row],[Bills]])</f>
        <v>0</v>
      </c>
      <c r="F43" s="13">
        <f>Table1391039[[#This Row],[Budget]]-Table1391039[[#This Row],[Actual]]</f>
        <v>0</v>
      </c>
      <c r="G43" s="32"/>
      <c r="H43" s="42"/>
      <c r="Q43" s="42"/>
      <c r="S43" s="8"/>
    </row>
    <row r="44" spans="2:23">
      <c r="B44" s="32"/>
      <c r="C44" s="11"/>
      <c r="D44" s="12"/>
      <c r="E44" s="13">
        <f>SUMIFS(Table434[Amount],Table434[Category],Table1391039[[#Headers],[Bills]],Table434[Sub-Category],Table1391039[[#This Row],[Bills]])+SUMIFS(Table4440[Amount],Table4440[Category],Table1391039[[#Headers],[Bills]],Table4440[Sub-Category],Table1391039[[#This Row],[Bills]])</f>
        <v>0</v>
      </c>
      <c r="F44" s="13">
        <f>Table1391039[[#This Row],[Budget]]-Table1391039[[#This Row],[Actual]]</f>
        <v>0</v>
      </c>
      <c r="G44" s="32"/>
      <c r="H44" s="42"/>
      <c r="Q44" s="42"/>
      <c r="S44" s="8"/>
    </row>
    <row r="45" spans="2:23">
      <c r="B45" s="32"/>
      <c r="C45" s="11"/>
      <c r="D45" s="12"/>
      <c r="E45" s="13">
        <f>SUMIFS(Table434[Amount],Table434[Category],Table1391039[[#Headers],[Bills]],Table434[Sub-Category],Table1391039[[#This Row],[Bills]])+SUMIFS(Table4440[Amount],Table4440[Category],Table1391039[[#Headers],[Bills]],Table4440[Sub-Category],Table1391039[[#This Row],[Bills]])</f>
        <v>0</v>
      </c>
      <c r="F45" s="13">
        <f>Table1391039[[#This Row],[Budget]]-Table1391039[[#This Row],[Actual]]</f>
        <v>0</v>
      </c>
      <c r="G45" s="32"/>
      <c r="H45" s="42"/>
      <c r="Q45" s="42"/>
    </row>
    <row r="46" spans="2:23">
      <c r="B46" s="32"/>
      <c r="C46" s="9" t="s">
        <v>20</v>
      </c>
      <c r="D46" s="10">
        <f>SUBTOTAL(109,Table1391039[Budget])</f>
        <v>0</v>
      </c>
      <c r="E46" s="10">
        <f>SUBTOTAL(109,Table1391039[Actual])</f>
        <v>0</v>
      </c>
      <c r="F46" s="10">
        <f>SUBTOTAL(109,Table1391039[Variance])</f>
        <v>0</v>
      </c>
      <c r="G46" s="32"/>
      <c r="H46" s="42"/>
      <c r="Q46" s="42"/>
    </row>
    <row r="47" spans="2:23">
      <c r="B47" s="32"/>
      <c r="C47" s="20"/>
      <c r="D47" s="21"/>
      <c r="E47" s="21"/>
      <c r="F47" s="22"/>
      <c r="G47" s="32"/>
      <c r="H47" s="42"/>
      <c r="Q47" s="42"/>
    </row>
    <row r="48" spans="2:23">
      <c r="B48" s="32"/>
      <c r="C48" s="37" t="str">
        <f>CONCATENATE(Table13736[[#Headers],[Living]],"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SUMIFS(Table434[Amount],Table434[Category],Table13736[[#Headers],[Living]],Table434[Sub-Category],Table13736[[#This Row],[Living]])+SUMIFS(Table4440[Amount],Table4440[Category],Table13736[[#Headers],[Living]],Table4440[Sub-Category],Table13736[[#This Row],[Living]])</f>
        <v>0</v>
      </c>
      <c r="F50" s="3">
        <f>Table13736[[#This Row],[Budget]]-Table13736[[#This Row],[Actual]]</f>
        <v>0</v>
      </c>
      <c r="G50" s="32"/>
      <c r="H50" s="42"/>
      <c r="Q50" s="42"/>
    </row>
    <row r="51" spans="2:17">
      <c r="B51" s="32"/>
      <c r="D51" s="2"/>
      <c r="E51" s="2">
        <f>SUMIFS(Table434[Amount],Table434[Category],Table13736[[#Headers],[Living]],Table434[Sub-Category],Table13736[[#This Row],[Living]])+SUMIFS(Table4440[Amount],Table4440[Category],Table13736[[#Headers],[Living]],Table4440[Sub-Category],Table13736[[#This Row],[Living]])</f>
        <v>0</v>
      </c>
      <c r="F51" s="3">
        <f>Table13736[[#This Row],[Budget]]-Table13736[[#This Row],[Actual]]</f>
        <v>0</v>
      </c>
      <c r="G51" s="32"/>
      <c r="H51" s="42"/>
      <c r="Q51" s="42"/>
    </row>
    <row r="52" spans="2:17">
      <c r="B52" s="32"/>
      <c r="C52" s="11"/>
      <c r="D52" s="12"/>
      <c r="E52" s="13">
        <f>SUMIFS(Table434[Amount],Table434[Category],Table13736[[#Headers],[Living]],Table434[Sub-Category],Table13736[[#This Row],[Living]])+SUMIFS(Table4440[Amount],Table4440[Category],Table13736[[#Headers],[Living]],Table4440[Sub-Category],Table13736[[#This Row],[Living]])</f>
        <v>0</v>
      </c>
      <c r="F52" s="13">
        <f>Table13736[[#This Row],[Budget]]-Table13736[[#This Row],[Actual]]</f>
        <v>0</v>
      </c>
      <c r="G52" s="32"/>
      <c r="H52" s="42"/>
      <c r="Q52" s="42"/>
    </row>
    <row r="53" spans="2:17">
      <c r="B53" s="32"/>
      <c r="C53" s="11"/>
      <c r="D53" s="12"/>
      <c r="E53" s="13">
        <f>SUMIFS(Table434[Amount],Table434[Category],Table13736[[#Headers],[Living]],Table434[Sub-Category],Table13736[[#This Row],[Living]])+SUMIFS(Table4440[Amount],Table4440[Category],Table13736[[#Headers],[Living]],Table4440[Sub-Category],Table13736[[#This Row],[Living]])</f>
        <v>0</v>
      </c>
      <c r="F53" s="13">
        <f>Table13736[[#This Row],[Budget]]-Table13736[[#This Row],[Actual]]</f>
        <v>0</v>
      </c>
      <c r="G53" s="32"/>
      <c r="H53" s="42"/>
      <c r="Q53" s="42"/>
    </row>
    <row r="54" spans="2:17">
      <c r="B54" s="32"/>
      <c r="C54" s="9" t="s">
        <v>20</v>
      </c>
      <c r="D54" s="10">
        <f>SUBTOTAL(109,Table13736[Budget])</f>
        <v>0</v>
      </c>
      <c r="E54" s="10">
        <f>SUBTOTAL(109,Table13736[Actual])</f>
        <v>0</v>
      </c>
      <c r="F54" s="10">
        <f>SUBTOTAL(109,Table13736[Variance])</f>
        <v>0</v>
      </c>
      <c r="G54" s="32"/>
      <c r="H54" s="42"/>
      <c r="Q54" s="42"/>
    </row>
    <row r="55" spans="2:17">
      <c r="B55" s="32"/>
      <c r="C55" s="20"/>
      <c r="D55" s="21"/>
      <c r="E55" s="21"/>
      <c r="F55" s="22"/>
      <c r="G55" s="32"/>
      <c r="H55" s="42"/>
      <c r="Q55" s="42"/>
    </row>
    <row r="56" spans="2:17">
      <c r="B56" s="32"/>
      <c r="C56" s="37" t="str">
        <f>CONCATENATE(Table13837[[#Headers],[Entertainment]],"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SUMIFS(Table434[Amount],Table434[Category],Table13837[[#Headers],[Entertainment]],Table434[Sub-Category],Table13837[[#This Row],[Entertainment]])+SUMIFS(Table4440[Amount],Table4440[Category],Table13837[[#Headers],[Entertainment]],Table4440[Sub-Category],Table13837[[#This Row],[Entertainment]])</f>
        <v>0</v>
      </c>
      <c r="F58" s="3">
        <f>Table13837[[#This Row],[Budget]]-Table13837[[#This Row],[Actual]]</f>
        <v>0</v>
      </c>
      <c r="G58" s="32"/>
      <c r="H58" s="42"/>
      <c r="Q58" s="42"/>
    </row>
    <row r="59" spans="2:17">
      <c r="B59" s="33"/>
      <c r="D59" s="2"/>
      <c r="E59" s="2">
        <f>SUMIFS(Table434[Amount],Table434[Category],Table13837[[#Headers],[Entertainment]],Table434[Sub-Category],Table13837[[#This Row],[Entertainment]])+SUMIFS(Table4440[Amount],Table4440[Category],Table13837[[#Headers],[Entertainment]],Table4440[Sub-Category],Table13837[[#This Row],[Entertainment]])</f>
        <v>0</v>
      </c>
      <c r="F59" s="3">
        <f>Table13837[[#This Row],[Budget]]-Table13837[[#This Row],[Actual]]</f>
        <v>0</v>
      </c>
      <c r="G59" s="33"/>
      <c r="H59" s="42"/>
      <c r="Q59" s="42"/>
    </row>
    <row r="60" spans="2:17">
      <c r="C60" s="9" t="s">
        <v>20</v>
      </c>
      <c r="D60" s="10">
        <f>SUBTOTAL(109,Table13837[Budget])</f>
        <v>0</v>
      </c>
      <c r="E60" s="10">
        <f>SUBTOTAL(109,Table13837[Actual])</f>
        <v>0</v>
      </c>
      <c r="F60" s="10">
        <f>SUBTOTAL(109,Table13837[Variance])</f>
        <v>0</v>
      </c>
      <c r="H60" s="42"/>
      <c r="Q60" s="42"/>
    </row>
    <row r="61" spans="2:17">
      <c r="C61" s="26"/>
      <c r="D61" s="23"/>
      <c r="E61" s="23"/>
      <c r="F61" s="23"/>
      <c r="H61" s="42"/>
      <c r="Q61" s="42"/>
    </row>
    <row r="62" spans="2:17">
      <c r="C62" s="37" t="str">
        <f>CONCATENATE(Table13938[[#Headers],[Misc.]],"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SUMIFS(Table434[Amount],Table434[Category],Table13938[[#Headers],[Misc.]],Table434[Sub-Category],Table13938[[#This Row],[Misc.]])+SUMIFS(Table4440[Amount],Table4440[Category],Table13938[[#Headers],[Misc.]],Table4440[Sub-Category],Table13938[[#This Row],[Misc.]])</f>
        <v>0</v>
      </c>
      <c r="F64" s="13">
        <f>Table13938[[#This Row],[Budget]]-Table13938[[#This Row],[Actual]]</f>
        <v>0</v>
      </c>
      <c r="H64" s="42"/>
      <c r="Q64" s="42"/>
    </row>
    <row r="65" spans="3:17">
      <c r="C65" s="11"/>
      <c r="D65" s="12"/>
      <c r="E65" s="13">
        <f>SUMIFS(Table434[Amount],Table434[Category],Table13938[[#Headers],[Misc.]],Table434[Sub-Category],Table13938[[#This Row],[Misc.]])+SUMIFS(Table4440[Amount],Table4440[Category],Table13938[[#Headers],[Misc.]],Table4440[Sub-Category],Table13938[[#This Row],[Misc.]])</f>
        <v>0</v>
      </c>
      <c r="F65" s="13">
        <f>Table13938[[#This Row],[Budget]]-Table13938[[#This Row],[Actual]]</f>
        <v>0</v>
      </c>
      <c r="H65" s="42"/>
      <c r="Q65" s="42"/>
    </row>
    <row r="66" spans="3:17">
      <c r="C66" s="9" t="s">
        <v>20</v>
      </c>
      <c r="D66" s="10">
        <f>SUBTOTAL(109,Table13938[Budget])</f>
        <v>0</v>
      </c>
      <c r="E66" s="10">
        <f>SUBTOTAL(109,Table13938[Actual])</f>
        <v>0</v>
      </c>
      <c r="F66" s="10">
        <f>SUBTOTAL(109,Table13938[Variance])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59" priority="16" operator="equal">
      <formula>TODAY()</formula>
    </cfRule>
  </conditionalFormatting>
  <conditionalFormatting sqref="T12 T20:U42">
    <cfRule type="expression" dxfId="158" priority="15">
      <formula>IF($S12=TODAY(),TRUE)</formula>
    </cfRule>
  </conditionalFormatting>
  <conditionalFormatting sqref="U12">
    <cfRule type="expression" dxfId="157" priority="14">
      <formula>IF($S12=TODAY(),TRUE)</formula>
    </cfRule>
  </conditionalFormatting>
  <conditionalFormatting sqref="V12 V20:V42">
    <cfRule type="expression" dxfId="156" priority="13">
      <formula>IF($S12=TODAY(),TRUE)</formula>
    </cfRule>
  </conditionalFormatting>
  <conditionalFormatting sqref="S13:S15">
    <cfRule type="cellIs" dxfId="155" priority="12" operator="equal">
      <formula>TODAY()</formula>
    </cfRule>
  </conditionalFormatting>
  <conditionalFormatting sqref="T13:T15">
    <cfRule type="expression" dxfId="154" priority="11">
      <formula>IF($S13=TODAY(),TRUE)</formula>
    </cfRule>
  </conditionalFormatting>
  <conditionalFormatting sqref="U13:U15">
    <cfRule type="expression" dxfId="153" priority="10">
      <formula>IF($S13=TODAY(),TRUE)</formula>
    </cfRule>
  </conditionalFormatting>
  <conditionalFormatting sqref="V13:V15">
    <cfRule type="expression" dxfId="152" priority="9">
      <formula>IF($S13=TODAY(),TRUE)</formula>
    </cfRule>
  </conditionalFormatting>
  <conditionalFormatting sqref="S16 S20 S24 S28 S32 S36 S40">
    <cfRule type="cellIs" dxfId="151" priority="8" operator="equal">
      <formula>TODAY()</formula>
    </cfRule>
  </conditionalFormatting>
  <conditionalFormatting sqref="T16">
    <cfRule type="expression" dxfId="150" priority="7">
      <formula>IF($S16=TODAY(),TRUE)</formula>
    </cfRule>
  </conditionalFormatting>
  <conditionalFormatting sqref="U16">
    <cfRule type="expression" dxfId="149" priority="6">
      <formula>IF($S16=TODAY(),TRUE)</formula>
    </cfRule>
  </conditionalFormatting>
  <conditionalFormatting sqref="V16">
    <cfRule type="expression" dxfId="148" priority="5">
      <formula>IF($S16=TODAY(),TRUE)</formula>
    </cfRule>
  </conditionalFormatting>
  <conditionalFormatting sqref="S17:S19 S21:S23 S25:S27 S29:S31 S33:S35 S37:S39 S41:S42">
    <cfRule type="cellIs" dxfId="147" priority="4" operator="equal">
      <formula>TODAY()</formula>
    </cfRule>
  </conditionalFormatting>
  <conditionalFormatting sqref="T17:T19">
    <cfRule type="expression" dxfId="146" priority="3">
      <formula>IF($S17=TODAY(),TRUE)</formula>
    </cfRule>
  </conditionalFormatting>
  <conditionalFormatting sqref="U17:U19">
    <cfRule type="expression" dxfId="145" priority="2">
      <formula>IF($S17=TODAY(),TRUE)</formula>
    </cfRule>
  </conditionalFormatting>
  <conditionalFormatting sqref="V17:V19">
    <cfRule type="expression" dxfId="144"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200-000000000000}">
      <formula1>$U$2:$U$4</formula1>
    </dataValidation>
    <dataValidation type="list" allowBlank="1" showInputMessage="1" showErrorMessage="1" sqref="K35:K40 K19:K32 K12:K16" xr:uid="{00000000-0002-0000-0200-000001000000}">
      <formula1>$R$2:$R$8</formula1>
    </dataValidation>
    <dataValidation type="list" allowBlank="1" showInputMessage="1" showErrorMessage="1" sqref="L35:L40 L12:L16 L19:L32" xr:uid="{00000000-0002-0000-02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15F78F7F-F27B-4375-9162-95E28026C12E}">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E171106C-3CA2-4CB5-9FB3-1902A992BB3B}">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DATE(YEAR(Mo.3!C1),MONTH(Mo.3!C1)+1,DAY(Mo.3!C1))</f>
        <v>45108</v>
      </c>
      <c r="D1" s="61"/>
      <c r="E1" s="61"/>
      <c r="F1" s="61"/>
      <c r="R1" s="45" t="s">
        <v>0</v>
      </c>
      <c r="S1" s="45" t="s">
        <v>1</v>
      </c>
      <c r="T1" s="45" t="s">
        <v>2</v>
      </c>
      <c r="U1" s="45" t="s">
        <v>16</v>
      </c>
      <c r="V1" s="45" t="s">
        <v>45</v>
      </c>
    </row>
    <row r="2" spans="2:23">
      <c r="D2" s="18" t="s">
        <v>1</v>
      </c>
      <c r="E2" s="19" t="s">
        <v>2</v>
      </c>
      <c r="F2" s="19" t="s">
        <v>14</v>
      </c>
      <c r="R2" s="45" t="str">
        <f>Table13645[[#Headers],[Income]]</f>
        <v>Income</v>
      </c>
      <c r="S2" s="45">
        <f>SUM(Table13645[Budget])</f>
        <v>0</v>
      </c>
      <c r="T2" s="45">
        <f>SUM(Table13645[Actual])</f>
        <v>0</v>
      </c>
      <c r="U2" s="45" t="s">
        <v>19</v>
      </c>
      <c r="V2" s="45">
        <f>AVERAGE(V12:V42)</f>
        <v>1156.7400000000005</v>
      </c>
    </row>
    <row r="3" spans="2:23">
      <c r="C3" s="17" t="s">
        <v>35</v>
      </c>
      <c r="D3" s="5">
        <f>E3</f>
        <v>1156.74</v>
      </c>
      <c r="E3" s="14">
        <v>1156.74</v>
      </c>
      <c r="F3" s="14">
        <f>E3-D3</f>
        <v>0</v>
      </c>
      <c r="R3" s="45" t="str">
        <f>Table142[[#Headers],[Housing]]</f>
        <v>Housing</v>
      </c>
      <c r="S3" s="45">
        <f>SUM(Table142[Budget])</f>
        <v>0</v>
      </c>
      <c r="T3" s="45">
        <f>SUM(Table142[Actual])</f>
        <v>0</v>
      </c>
      <c r="U3" s="45" t="s">
        <v>17</v>
      </c>
      <c r="V3" s="45"/>
    </row>
    <row r="4" spans="2:23">
      <c r="C4" s="17" t="s">
        <v>32</v>
      </c>
      <c r="D4" s="5">
        <f>Table13645[[#Totals],[Budget]]</f>
        <v>0</v>
      </c>
      <c r="E4" s="5">
        <f>Table13645[[#Totals],[Actual]]</f>
        <v>0</v>
      </c>
      <c r="F4" s="5">
        <f>E4-D4</f>
        <v>0</v>
      </c>
      <c r="R4" s="45" t="str">
        <f>Table1343[[#Headers],[Transportation]]</f>
        <v>Transportation</v>
      </c>
      <c r="S4" s="45">
        <f>SUM(Table1343[Budget])</f>
        <v>0</v>
      </c>
      <c r="T4" s="45">
        <f>SUM(Table1343[Actual])</f>
        <v>0</v>
      </c>
      <c r="U4" s="45" t="s">
        <v>18</v>
      </c>
      <c r="V4" s="45"/>
    </row>
    <row r="5" spans="2:23">
      <c r="C5" s="17" t="s">
        <v>33</v>
      </c>
      <c r="D5" s="5">
        <f>Table142[[#Totals],[Budget]]+Table1343[[#Totals],[Budget]]+Table1391049[[#Totals],[Budget]]+Table13746[[#Totals],[Budget]]+Table13847[[#Totals],[Budget]]+Table13948[[#Totals],[Budget]]</f>
        <v>0</v>
      </c>
      <c r="E5" s="5">
        <f>Table142[[#Totals],[Actual]]+Table1343[[#Totals],[Actual]]+Table1391049[[#Totals],[Actual]]+Table13746[[#Totals],[Actual]]+Table13847[[#Totals],[Actual]]+Table13948[[#Totals],[Actual]]</f>
        <v>0</v>
      </c>
      <c r="F5" s="5">
        <f>E5-D5</f>
        <v>0</v>
      </c>
      <c r="R5" s="45" t="str">
        <f>Table1391049[[#Headers],[Bills]]</f>
        <v>Bills</v>
      </c>
      <c r="S5" s="45">
        <f>SUM(Table1391049[Budget])</f>
        <v>0</v>
      </c>
      <c r="T5" s="45">
        <f>SUM(Table1391049[Actual])</f>
        <v>0</v>
      </c>
      <c r="U5" s="45"/>
      <c r="V5" s="45"/>
    </row>
    <row r="6" spans="2:23">
      <c r="C6" s="15" t="s">
        <v>34</v>
      </c>
      <c r="D6" s="16">
        <f>D3+D4-D5</f>
        <v>1156.74</v>
      </c>
      <c r="E6" s="16">
        <f>E3+E4-E5</f>
        <v>1156.74</v>
      </c>
      <c r="F6" s="16">
        <f>F3+F4-F5</f>
        <v>0</v>
      </c>
      <c r="R6" s="45" t="str">
        <f>Table13746[[#Headers],[Living]]</f>
        <v>Living</v>
      </c>
      <c r="S6" s="45">
        <f>SUM(Table13746[Budget])</f>
        <v>0</v>
      </c>
      <c r="T6" s="45">
        <f>SUM(Table13746[Actual])</f>
        <v>0</v>
      </c>
      <c r="U6" s="45"/>
      <c r="V6" s="45"/>
    </row>
    <row r="7" spans="2:23" ht="3.75" customHeight="1">
      <c r="D7" s="2"/>
      <c r="R7" s="45" t="str">
        <f>Table13847[[#Headers],[Entertainment]]</f>
        <v>Entertainment</v>
      </c>
      <c r="S7" s="45">
        <f>SUM(Table13847[Budget])</f>
        <v>0</v>
      </c>
      <c r="T7" s="45">
        <f>SUM(Table13847[Actual])</f>
        <v>0</v>
      </c>
      <c r="U7" s="45"/>
      <c r="V7" s="45"/>
    </row>
    <row r="8" spans="2:23" ht="1.5" customHeight="1">
      <c r="C8" s="42"/>
      <c r="D8" s="43"/>
      <c r="E8" s="42"/>
      <c r="F8" s="42"/>
      <c r="G8" s="42"/>
      <c r="H8" s="42"/>
      <c r="I8" s="42"/>
      <c r="J8" s="42"/>
      <c r="K8" s="42"/>
      <c r="L8" s="42"/>
      <c r="M8" s="42"/>
      <c r="N8" s="42"/>
      <c r="O8" s="42"/>
      <c r="P8" s="42"/>
      <c r="Q8" s="42"/>
      <c r="R8" s="44" t="str">
        <f>Table13948[[#Headers],[Misc.]]</f>
        <v>Misc.</v>
      </c>
      <c r="S8" s="44">
        <f>SUM(Table13948[Budget])</f>
        <v>0</v>
      </c>
      <c r="T8" s="44">
        <f>SUM(Table13948[Actual])</f>
        <v>0</v>
      </c>
      <c r="U8" s="44"/>
      <c r="V8" s="44"/>
    </row>
    <row r="9" spans="2:23" ht="3.75" customHeight="1">
      <c r="D9" s="2"/>
      <c r="H9" s="42"/>
      <c r="Q9" s="42"/>
    </row>
    <row r="10" spans="2:23" s="25" customFormat="1">
      <c r="B10" s="35"/>
      <c r="C10" s="37" t="str">
        <f>CONCATENATE(Table13645[[#Headers],[Income]],"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SUMIFS(Table442051[Amount],Table442051[Category],Table13645[[#Headers],[Income]],Table442051[Sub-Category],Table13645[[#This Row],[Income]])+SUMIFS(Table4450[Amount],Table4450[Category],Table13645[[#Headers],[Income]],Table4450[Sub-Category],Table13645[[#This Row],[Income]])</f>
        <v>0</v>
      </c>
      <c r="F12" s="3">
        <f>Table13645[[#This Row],[Actual]]-Table13645[[#This Row],[Budget]]</f>
        <v>0</v>
      </c>
      <c r="G12" s="32"/>
      <c r="H12" s="42"/>
      <c r="M12" s="4"/>
      <c r="N12" s="2"/>
      <c r="Q12" s="42"/>
      <c r="S12" s="27">
        <f>C1</f>
        <v>45108</v>
      </c>
      <c r="T12" s="29">
        <f>SUMIFS(Table442051[Amount],Table442051[Date],S12,Table442051[Category],Table13645[[#Headers],[Income]])+SUMIFS(Table4450[Amount],Table4450[Date],S12,Table4450[Category],Table13645[[#Headers],[Income]])</f>
        <v>0</v>
      </c>
      <c r="U12" s="29">
        <f>SUMIFS(Table444[Amount],Table444[Date],S12,Table444[Category],"&lt;&gt;"&amp;Table13645[[#Headers],[Income]])+SUMIFS(Table4450[Amount],Table4450[Date],S12,Table4450[Category],"&lt;&gt;"&amp;Table13645[[#Headers],[Income]])</f>
        <v>0</v>
      </c>
      <c r="V12" s="29">
        <f>E3+T12-U12</f>
        <v>1156.74</v>
      </c>
      <c r="W12" s="1">
        <f>V2</f>
        <v>1156.7400000000005</v>
      </c>
    </row>
    <row r="13" spans="2:23">
      <c r="B13" s="32"/>
      <c r="D13" s="2"/>
      <c r="E13" s="2">
        <f>SUMIFS(Table442051[Amount],Table442051[Category],Table13645[[#Headers],[Income]],Table442051[Sub-Category],Table13645[[#This Row],[Income]])+SUMIFS(Table4450[Amount],Table4450[Category],Table13645[[#Headers],[Income]],Table4450[Sub-Category],Table13645[[#This Row],[Income]])</f>
        <v>0</v>
      </c>
      <c r="F13" s="3">
        <f>Table13645[[#This Row],[Actual]]-Table13645[[#This Row],[Budget]]</f>
        <v>0</v>
      </c>
      <c r="G13" s="32"/>
      <c r="H13" s="42"/>
      <c r="M13" s="4"/>
      <c r="N13" s="2"/>
      <c r="Q13" s="42"/>
      <c r="S13" s="30">
        <f t="shared" ref="S13:S42" si="0">S12+1</f>
        <v>45109</v>
      </c>
      <c r="T13" s="28">
        <f>SUMIFS(Table442051[Amount],Table442051[Date],S13,Table442051[Category],Table13645[[#Headers],[Income]])+SUMIFS(Table4450[Amount],Table4450[Date],S13,Table4450[Category],Table13645[[#Headers],[Income]])</f>
        <v>0</v>
      </c>
      <c r="U13" s="28">
        <f>SUMIFS(Table444[Amount],Table444[Date],S13,Table444[Category],"&lt;&gt;"&amp;Table13645[[#Headers],[Income]])+SUMIFS(Table4450[Amount],Table4450[Date],S13,Table4450[Category],"&lt;&gt;"&amp;Table13645[[#Headers],[Income]])</f>
        <v>0</v>
      </c>
      <c r="V13" s="28">
        <f>V12+T13-U13</f>
        <v>1156.74</v>
      </c>
      <c r="W13" s="1">
        <f>W12</f>
        <v>1156.7400000000005</v>
      </c>
    </row>
    <row r="14" spans="2:23">
      <c r="B14" s="32"/>
      <c r="D14" s="12"/>
      <c r="E14" s="12">
        <f>SUMIFS(Table442051[Amount],Table442051[Category],Table13645[[#Headers],[Income]],Table442051[Sub-Category],Table13645[[#This Row],[Income]])+SUMIFS(Table4450[Amount],Table4450[Category],Table13645[[#Headers],[Income]],Table4450[Sub-Category],Table13645[[#This Row],[Income]])</f>
        <v>0</v>
      </c>
      <c r="F14" s="2">
        <f>Table13645[[#This Row],[Actual]]-Table13645[[#This Row],[Budget]]</f>
        <v>0</v>
      </c>
      <c r="G14" s="32"/>
      <c r="H14" s="42"/>
      <c r="M14" s="4"/>
      <c r="N14" s="2"/>
      <c r="Q14" s="42"/>
      <c r="S14" s="27">
        <f t="shared" si="0"/>
        <v>45110</v>
      </c>
      <c r="T14" s="29">
        <f>SUMIFS(Table442051[Amount],Table442051[Date],S14,Table442051[Category],Table13645[[#Headers],[Income]])+SUMIFS(Table4450[Amount],Table4450[Date],S14,Table4450[Category],Table13645[[#Headers],[Income]])</f>
        <v>0</v>
      </c>
      <c r="U14" s="29">
        <f>SUMIFS(Table444[Amount],Table444[Date],S14,Table444[Category],"&lt;&gt;"&amp;Table13645[[#Headers],[Income]])+SUMIFS(Table4450[Amount],Table4450[Date],S14,Table4450[Category],"&lt;&gt;"&amp;Table13645[[#Headers],[Income]])</f>
        <v>0</v>
      </c>
      <c r="V14" s="29">
        <f t="shared" ref="V14:V42" si="1">V13+T14-U14</f>
        <v>1156.74</v>
      </c>
      <c r="W14" s="1">
        <f t="shared" ref="W14:W42" si="2">W13</f>
        <v>1156.7400000000005</v>
      </c>
    </row>
    <row r="15" spans="2:23">
      <c r="B15" s="32"/>
      <c r="D15" s="2"/>
      <c r="E15" s="3">
        <f>SUMIFS(Table442051[Amount],Table442051[Category],Table13645[[#Headers],[Income]],Table442051[Sub-Category],Table13645[[#This Row],[Income]])+SUMIFS(Table4450[Amount],Table4450[Category],Table13645[[#Headers],[Income]],Table4450[Sub-Category],Table13645[[#This Row],[Income]])</f>
        <v>0</v>
      </c>
      <c r="F15" s="3">
        <f>Table13645[[#This Row],[Actual]]-Table13645[[#This Row],[Budget]]</f>
        <v>0</v>
      </c>
      <c r="G15" s="32"/>
      <c r="H15" s="42"/>
      <c r="J15" s="11"/>
      <c r="K15" s="11"/>
      <c r="L15" s="11"/>
      <c r="M15" s="24"/>
      <c r="N15" s="12"/>
      <c r="O15" s="11"/>
      <c r="Q15" s="42"/>
      <c r="S15" s="30">
        <f t="shared" si="0"/>
        <v>45111</v>
      </c>
      <c r="T15" s="28">
        <f>SUMIFS(Table442051[Amount],Table442051[Date],S15,Table442051[Category],Table13645[[#Headers],[Income]])+SUMIFS(Table4450[Amount],Table4450[Date],S15,Table4450[Category],Table13645[[#Headers],[Income]])</f>
        <v>0</v>
      </c>
      <c r="U15" s="28">
        <f>SUMIFS(Table444[Amount],Table444[Date],S15,Table444[Category],"&lt;&gt;"&amp;Table13645[[#Headers],[Income]])+SUMIFS(Table4450[Amount],Table4450[Date],S15,Table4450[Category],"&lt;&gt;"&amp;Table13645[[#Headers],[Income]])</f>
        <v>0</v>
      </c>
      <c r="V15" s="28">
        <f t="shared" si="1"/>
        <v>1156.74</v>
      </c>
      <c r="W15" s="1">
        <f t="shared" si="2"/>
        <v>1156.7400000000005</v>
      </c>
    </row>
    <row r="16" spans="2:23">
      <c r="B16" s="32"/>
      <c r="C16" s="6" t="s">
        <v>20</v>
      </c>
      <c r="D16" s="7">
        <f>SUBTOTAL(109,Table13645[Budget])</f>
        <v>0</v>
      </c>
      <c r="E16" s="7">
        <f>SUBTOTAL(109,Table13645[Actual])</f>
        <v>0</v>
      </c>
      <c r="F16" s="7">
        <f>SUBTOTAL(109,Table13645[Variance])</f>
        <v>0</v>
      </c>
      <c r="G16" s="36"/>
      <c r="H16" s="43"/>
      <c r="I16" s="2"/>
      <c r="M16" s="4"/>
      <c r="N16" s="2"/>
      <c r="Q16" s="43"/>
      <c r="S16" s="27">
        <f t="shared" si="0"/>
        <v>45112</v>
      </c>
      <c r="T16" s="29">
        <f>SUMIFS(Table442051[Amount],Table442051[Date],S16,Table442051[Category],Table13645[[#Headers],[Income]])+SUMIFS(Table4450[Amount],Table4450[Date],S16,Table4450[Category],Table13645[[#Headers],[Income]])</f>
        <v>0</v>
      </c>
      <c r="U16" s="29">
        <f>SUMIFS(Table444[Amount],Table444[Date],S16,Table444[Category],"&lt;&gt;"&amp;Table13645[[#Headers],[Income]])+SUMIFS(Table4450[Amount],Table4450[Date],S16,Table4450[Category],"&lt;&gt;"&amp;Table13645[[#Headers],[Income]])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45113</v>
      </c>
      <c r="T17" s="28">
        <f>SUMIFS(Table442051[Amount],Table442051[Date],S17,Table442051[Category],Table13645[[#Headers],[Income]])+SUMIFS(Table4450[Amount],Table4450[Date],S17,Table4450[Category],Table13645[[#Headers],[Income]])</f>
        <v>0</v>
      </c>
      <c r="U17" s="28">
        <f>SUMIFS(Table444[Amount],Table444[Date],S17,Table444[Category],"&lt;&gt;"&amp;Table13645[[#Headers],[Income]])+SUMIFS(Table4450[Amount],Table4450[Date],S17,Table4450[Category],"&lt;&gt;"&amp;Table13645[[#Headers],[Income]])</f>
        <v>0</v>
      </c>
      <c r="V17" s="28">
        <f t="shared" si="1"/>
        <v>1156.74</v>
      </c>
      <c r="W17" s="1">
        <f t="shared" si="2"/>
        <v>1156.7400000000005</v>
      </c>
    </row>
    <row r="18" spans="2:23">
      <c r="B18" s="32"/>
      <c r="C18" s="37" t="str">
        <f>CONCATENATE(Table142[[#Headers],[Housing]],"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45114</v>
      </c>
      <c r="T18" s="29">
        <f>SUMIFS(Table442051[Amount],Table442051[Date],S18,Table442051[Category],Table13645[[#Headers],[Income]])+SUMIFS(Table4450[Amount],Table4450[Date],S18,Table4450[Category],Table13645[[#Headers],[Income]])</f>
        <v>0</v>
      </c>
      <c r="U18" s="29">
        <f>SUMIFS(Table444[Amount],Table444[Date],S18,Table444[Category],"&lt;&gt;"&amp;Table13645[[#Headers],[Income]])+SUMIFS(Table4450[Amount],Table4450[Date],S18,Table4450[Category],"&lt;&gt;"&amp;Table13645[[#Headers],[Income]])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45115</v>
      </c>
      <c r="T19" s="28">
        <f>SUMIFS(Table442051[Amount],Table442051[Date],S19,Table442051[Category],Table13645[[#Headers],[Income]])+SUMIFS(Table4450[Amount],Table4450[Date],S19,Table4450[Category],Table13645[[#Headers],[Income]])</f>
        <v>0</v>
      </c>
      <c r="U19" s="28">
        <f>SUMIFS(Table444[Amount],Table444[Date],S19,Table444[Category],"&lt;&gt;"&amp;Table13645[[#Headers],[Income]])+SUMIFS(Table4450[Amount],Table4450[Date],S19,Table4450[Category],"&lt;&gt;"&amp;Table13645[[#Headers],[Income]])</f>
        <v>0</v>
      </c>
      <c r="V19" s="28">
        <f t="shared" si="1"/>
        <v>1156.74</v>
      </c>
      <c r="W19" s="1">
        <f t="shared" si="2"/>
        <v>1156.7400000000005</v>
      </c>
    </row>
    <row r="20" spans="2:23">
      <c r="B20" s="32"/>
      <c r="D20" s="2"/>
      <c r="E20" s="2">
        <f>SUMIFS(Table444[Amount],Table444[Category],Table142[[#Headers],[Housing]],Table444[Sub-Category],Table142[[#This Row],[Housing]])+SUMIFS(Table4450[Amount],Table4450[Category],Table142[[#Headers],[Housing]],Table4450[Sub-Category],Table142[[#This Row],[Housing]])</f>
        <v>0</v>
      </c>
      <c r="F20" s="3">
        <f>Table142[[#This Row],[Budget]]-Table142[[#This Row],[Actual]]</f>
        <v>0</v>
      </c>
      <c r="G20" s="36"/>
      <c r="H20" s="43"/>
      <c r="I20" s="2"/>
      <c r="J20" s="11"/>
      <c r="K20" s="11"/>
      <c r="L20" s="11"/>
      <c r="M20" s="24"/>
      <c r="N20" s="12"/>
      <c r="O20" s="11"/>
      <c r="Q20" s="43"/>
      <c r="S20" s="27">
        <f t="shared" si="0"/>
        <v>45116</v>
      </c>
      <c r="T20" s="29">
        <f>SUMIFS(Table442051[Amount],Table442051[Date],S20,Table442051[Category],Table13645[[#Headers],[Income]])+SUMIFS(Table4450[Amount],Table4450[Date],S20,Table4450[Category],Table13645[[#Headers],[Income]])</f>
        <v>0</v>
      </c>
      <c r="U20" s="29">
        <f>SUMIFS(Table444[Amount],Table444[Date],S20,Table444[Category],"&lt;&gt;"&amp;Table13645[[#Headers],[Income]])+SUMIFS(Table4450[Amount],Table4450[Date],S20,Table4450[Category],"&lt;&gt;"&amp;Table13645[[#Headers],[Income]])</f>
        <v>0</v>
      </c>
      <c r="V20" s="29">
        <f t="shared" si="1"/>
        <v>1156.74</v>
      </c>
      <c r="W20" s="1">
        <f t="shared" si="2"/>
        <v>1156.7400000000005</v>
      </c>
    </row>
    <row r="21" spans="2:23">
      <c r="B21" s="32"/>
      <c r="D21" s="2"/>
      <c r="E21" s="2">
        <f>SUMIFS(Table444[Amount],Table444[Category],Table142[[#Headers],[Housing]],Table444[Sub-Category],Table142[[#This Row],[Housing]])+SUMIFS(Table4450[Amount],Table4450[Category],Table142[[#Headers],[Housing]],Table4450[Sub-Category],Table142[[#This Row],[Housing]])</f>
        <v>0</v>
      </c>
      <c r="F21" s="3">
        <f>Table142[[#This Row],[Budget]]-Table142[[#This Row],[Actual]]</f>
        <v>0</v>
      </c>
      <c r="G21" s="36"/>
      <c r="H21" s="43"/>
      <c r="I21" s="2"/>
      <c r="J21" s="11"/>
      <c r="K21" s="11"/>
      <c r="L21" s="11"/>
      <c r="M21" s="24"/>
      <c r="N21" s="12"/>
      <c r="O21" s="11"/>
      <c r="Q21" s="43"/>
      <c r="S21" s="30">
        <f t="shared" si="0"/>
        <v>45117</v>
      </c>
      <c r="T21" s="28">
        <f>SUMIFS(Table442051[Amount],Table442051[Date],S21,Table442051[Category],Table13645[[#Headers],[Income]])+SUMIFS(Table4450[Amount],Table4450[Date],S21,Table4450[Category],Table13645[[#Headers],[Income]])</f>
        <v>0</v>
      </c>
      <c r="U21" s="28">
        <f>SUMIFS(Table444[Amount],Table444[Date],S21,Table444[Category],"&lt;&gt;"&amp;Table13645[[#Headers],[Income]])+SUMIFS(Table4450[Amount],Table4450[Date],S21,Table4450[Category],"&lt;&gt;"&amp;Table13645[[#Headers],[Income]])</f>
        <v>0</v>
      </c>
      <c r="V21" s="28">
        <f t="shared" si="1"/>
        <v>1156.74</v>
      </c>
      <c r="W21" s="1">
        <f t="shared" si="2"/>
        <v>1156.7400000000005</v>
      </c>
    </row>
    <row r="22" spans="2:23">
      <c r="B22" s="32"/>
      <c r="D22" s="2"/>
      <c r="E22" s="2">
        <f>SUMIFS(Table444[Amount],Table444[Category],Table142[[#Headers],[Housing]],Table444[Sub-Category],Table142[[#This Row],[Housing]])+SUMIFS(Table4450[Amount],Table4450[Category],Table142[[#Headers],[Housing]],Table4450[Sub-Category],Table142[[#This Row],[Housing]])</f>
        <v>0</v>
      </c>
      <c r="F22" s="3">
        <f>Table142[[#This Row],[Budget]]-Table142[[#This Row],[Actual]]</f>
        <v>0</v>
      </c>
      <c r="G22" s="36"/>
      <c r="H22" s="43"/>
      <c r="I22" s="2"/>
      <c r="J22" s="11"/>
      <c r="K22" s="11"/>
      <c r="L22" s="11"/>
      <c r="M22" s="24"/>
      <c r="N22" s="12"/>
      <c r="O22" s="11"/>
      <c r="Q22" s="43"/>
      <c r="S22" s="27">
        <f t="shared" si="0"/>
        <v>45118</v>
      </c>
      <c r="T22" s="29">
        <f>SUMIFS(Table442051[Amount],Table442051[Date],S22,Table442051[Category],Table13645[[#Headers],[Income]])+SUMIFS(Table4450[Amount],Table4450[Date],S22,Table4450[Category],Table13645[[#Headers],[Income]])</f>
        <v>0</v>
      </c>
      <c r="U22" s="29">
        <f>SUMIFS(Table444[Amount],Table444[Date],S22,Table444[Category],"&lt;&gt;"&amp;Table13645[[#Headers],[Income]])+SUMIFS(Table4450[Amount],Table4450[Date],S22,Table4450[Category],"&lt;&gt;"&amp;Table13645[[#Headers],[Income]])</f>
        <v>0</v>
      </c>
      <c r="V22" s="29">
        <f t="shared" si="1"/>
        <v>1156.74</v>
      </c>
      <c r="W22" s="1">
        <f t="shared" si="2"/>
        <v>1156.7400000000005</v>
      </c>
    </row>
    <row r="23" spans="2:23">
      <c r="B23" s="32"/>
      <c r="D23" s="2"/>
      <c r="E23" s="2">
        <f>SUMIFS(Table444[Amount],Table444[Category],Table142[[#Headers],[Housing]],Table444[Sub-Category],Table142[[#This Row],[Housing]])+SUMIFS(Table4450[Amount],Table4450[Category],Table142[[#Headers],[Housing]],Table4450[Sub-Category],Table142[[#This Row],[Housing]])</f>
        <v>0</v>
      </c>
      <c r="F23" s="3">
        <f>Table142[[#This Row],[Budget]]-Table142[[#This Row],[Actual]]</f>
        <v>0</v>
      </c>
      <c r="G23" s="36"/>
      <c r="H23" s="43"/>
      <c r="I23" s="2"/>
      <c r="J23" s="11"/>
      <c r="K23" s="11"/>
      <c r="L23" s="11"/>
      <c r="M23" s="24"/>
      <c r="N23" s="12"/>
      <c r="O23" s="11"/>
      <c r="Q23" s="43"/>
      <c r="S23" s="30">
        <f t="shared" si="0"/>
        <v>45119</v>
      </c>
      <c r="T23" s="28">
        <f>SUMIFS(Table442051[Amount],Table442051[Date],S23,Table442051[Category],Table13645[[#Headers],[Income]])+SUMIFS(Table4450[Amount],Table4450[Date],S23,Table4450[Category],Table13645[[#Headers],[Income]])</f>
        <v>0</v>
      </c>
      <c r="U23" s="28">
        <f>SUMIFS(Table444[Amount],Table444[Date],S23,Table444[Category],"&lt;&gt;"&amp;Table13645[[#Headers],[Income]])+SUMIFS(Table4450[Amount],Table4450[Date],S23,Table4450[Category],"&lt;&gt;"&amp;Table13645[[#Headers],[Income]])</f>
        <v>0</v>
      </c>
      <c r="V23" s="28">
        <f t="shared" si="1"/>
        <v>1156.74</v>
      </c>
      <c r="W23" s="1">
        <f t="shared" si="2"/>
        <v>1156.7400000000005</v>
      </c>
    </row>
    <row r="24" spans="2:23">
      <c r="B24" s="32"/>
      <c r="D24" s="2"/>
      <c r="E24" s="2">
        <f>SUMIFS(Table444[Amount],Table444[Category],Table142[[#Headers],[Housing]],Table444[Sub-Category],Table142[[#This Row],[Housing]])+SUMIFS(Table4450[Amount],Table4450[Category],Table142[[#Headers],[Housing]],Table4450[Sub-Category],Table142[[#This Row],[Housing]])</f>
        <v>0</v>
      </c>
      <c r="F24" s="3">
        <f>Table142[[#This Row],[Budget]]-Table142[[#This Row],[Actual]]</f>
        <v>0</v>
      </c>
      <c r="G24" s="36"/>
      <c r="H24" s="43"/>
      <c r="I24" s="2"/>
      <c r="J24" s="11"/>
      <c r="K24" s="11"/>
      <c r="L24" s="11"/>
      <c r="M24" s="24"/>
      <c r="N24" s="12"/>
      <c r="O24" s="11"/>
      <c r="Q24" s="43"/>
      <c r="S24" s="27">
        <f t="shared" si="0"/>
        <v>45120</v>
      </c>
      <c r="T24" s="29">
        <f>SUMIFS(Table442051[Amount],Table442051[Date],S24,Table442051[Category],Table13645[[#Headers],[Income]])+SUMIFS(Table4450[Amount],Table4450[Date],S24,Table4450[Category],Table13645[[#Headers],[Income]])</f>
        <v>0</v>
      </c>
      <c r="U24" s="29">
        <f>SUMIFS(Table444[Amount],Table444[Date],S24,Table444[Category],"&lt;&gt;"&amp;Table13645[[#Headers],[Income]])+SUMIFS(Table4450[Amount],Table4450[Date],S24,Table4450[Category],"&lt;&gt;"&amp;Table13645[[#Headers],[Income]])</f>
        <v>0</v>
      </c>
      <c r="V24" s="29">
        <f t="shared" si="1"/>
        <v>1156.74</v>
      </c>
      <c r="W24" s="1">
        <f t="shared" si="2"/>
        <v>1156.7400000000005</v>
      </c>
    </row>
    <row r="25" spans="2:23">
      <c r="B25" s="32"/>
      <c r="D25" s="2"/>
      <c r="E25" s="2">
        <f>SUMIFS(Table444[Amount],Table444[Category],Table142[[#Headers],[Housing]],Table444[Sub-Category],Table142[[#This Row],[Housing]])+SUMIFS(Table4450[Amount],Table4450[Category],Table142[[#Headers],[Housing]],Table4450[Sub-Category],Table142[[#This Row],[Housing]])</f>
        <v>0</v>
      </c>
      <c r="F25" s="3">
        <f>Table142[[#This Row],[Budget]]-Table142[[#This Row],[Actual]]</f>
        <v>0</v>
      </c>
      <c r="G25" s="32"/>
      <c r="H25" s="42"/>
      <c r="J25" s="11"/>
      <c r="K25" s="11"/>
      <c r="L25" s="11"/>
      <c r="M25" s="24"/>
      <c r="N25" s="12"/>
      <c r="O25" s="11"/>
      <c r="Q25" s="42"/>
      <c r="S25" s="30">
        <f t="shared" si="0"/>
        <v>45121</v>
      </c>
      <c r="T25" s="28">
        <f>SUMIFS(Table442051[Amount],Table442051[Date],S25,Table442051[Category],Table13645[[#Headers],[Income]])+SUMIFS(Table4450[Amount],Table4450[Date],S25,Table4450[Category],Table13645[[#Headers],[Income]])</f>
        <v>0</v>
      </c>
      <c r="U25" s="28">
        <f>SUMIFS(Table444[Amount],Table444[Date],S25,Table444[Category],"&lt;&gt;"&amp;Table13645[[#Headers],[Income]])+SUMIFS(Table4450[Amount],Table4450[Date],S25,Table4450[Category],"&lt;&gt;"&amp;Table13645[[#Headers],[Income]])</f>
        <v>0</v>
      </c>
      <c r="V25" s="28">
        <f t="shared" si="1"/>
        <v>1156.74</v>
      </c>
      <c r="W25" s="1">
        <f t="shared" si="2"/>
        <v>1156.7400000000005</v>
      </c>
    </row>
    <row r="26" spans="2:23">
      <c r="B26" s="32"/>
      <c r="D26" s="2"/>
      <c r="E26" s="2">
        <f>SUMIFS(Table444[Amount],Table444[Category],Table142[[#Headers],[Housing]],Table444[Sub-Category],Table142[[#This Row],[Housing]])+SUMIFS(Table4450[Amount],Table4450[Category],Table142[[#Headers],[Housing]],Table4450[Sub-Category],Table142[[#This Row],[Housing]])</f>
        <v>0</v>
      </c>
      <c r="F26" s="3">
        <f>Table142[[#This Row],[Budget]]-Table142[[#This Row],[Actual]]</f>
        <v>0</v>
      </c>
      <c r="G26" s="32"/>
      <c r="H26" s="42"/>
      <c r="J26" s="11"/>
      <c r="K26" s="11"/>
      <c r="L26" s="11"/>
      <c r="M26" s="24"/>
      <c r="N26" s="12"/>
      <c r="O26" s="11"/>
      <c r="Q26" s="42"/>
      <c r="S26" s="27">
        <f t="shared" si="0"/>
        <v>45122</v>
      </c>
      <c r="T26" s="29">
        <f>SUMIFS(Table442051[Amount],Table442051[Date],S26,Table442051[Category],Table13645[[#Headers],[Income]])+SUMIFS(Table4450[Amount],Table4450[Date],S26,Table4450[Category],Table13645[[#Headers],[Income]])</f>
        <v>0</v>
      </c>
      <c r="U26" s="29">
        <f>SUMIFS(Table444[Amount],Table444[Date],S26,Table444[Category],"&lt;&gt;"&amp;Table13645[[#Headers],[Income]])+SUMIFS(Table4450[Amount],Table4450[Date],S26,Table4450[Category],"&lt;&gt;"&amp;Table13645[[#Headers],[Income]])</f>
        <v>0</v>
      </c>
      <c r="V26" s="29">
        <f t="shared" si="1"/>
        <v>1156.74</v>
      </c>
      <c r="W26" s="1">
        <f t="shared" si="2"/>
        <v>1156.7400000000005</v>
      </c>
    </row>
    <row r="27" spans="2:23">
      <c r="B27" s="32"/>
      <c r="D27" s="2"/>
      <c r="E27" s="2">
        <f>SUMIFS(Table444[Amount],Table444[Category],Table142[[#Headers],[Housing]],Table444[Sub-Category],Table142[[#This Row],[Housing]])+SUMIFS(Table4450[Amount],Table4450[Category],Table142[[#Headers],[Housing]],Table4450[Sub-Category],Table142[[#This Row],[Housing]])</f>
        <v>0</v>
      </c>
      <c r="F27" s="3">
        <f>Table142[[#This Row],[Budget]]-Table142[[#This Row],[Actual]]</f>
        <v>0</v>
      </c>
      <c r="G27" s="36"/>
      <c r="H27" s="43"/>
      <c r="I27" s="2"/>
      <c r="J27" s="11"/>
      <c r="K27" s="11"/>
      <c r="L27" s="11"/>
      <c r="M27" s="24"/>
      <c r="N27" s="12"/>
      <c r="O27" s="11"/>
      <c r="Q27" s="43"/>
      <c r="S27" s="30">
        <f t="shared" si="0"/>
        <v>45123</v>
      </c>
      <c r="T27" s="28">
        <f>SUMIFS(Table442051[Amount],Table442051[Date],S27,Table442051[Category],Table13645[[#Headers],[Income]])+SUMIFS(Table4450[Amount],Table4450[Date],S27,Table4450[Category],Table13645[[#Headers],[Income]])</f>
        <v>0</v>
      </c>
      <c r="U27" s="28">
        <f>SUMIFS(Table444[Amount],Table444[Date],S27,Table444[Category],"&lt;&gt;"&amp;Table13645[[#Headers],[Income]])+SUMIFS(Table4450[Amount],Table4450[Date],S27,Table4450[Category],"&lt;&gt;"&amp;Table13645[[#Headers],[Income]])</f>
        <v>0</v>
      </c>
      <c r="V27" s="28">
        <f t="shared" si="1"/>
        <v>1156.74</v>
      </c>
      <c r="W27" s="1">
        <f t="shared" si="2"/>
        <v>1156.7400000000005</v>
      </c>
    </row>
    <row r="28" spans="2:23">
      <c r="B28" s="32"/>
      <c r="C28" s="11"/>
      <c r="D28" s="12"/>
      <c r="E28" s="13">
        <f>SUMIFS(Table444[Amount],Table444[Category],Table142[[#Headers],[Housing]],Table444[Sub-Category],Table142[[#This Row],[Housing]])+SUMIFS(Table4450[Amount],Table4450[Category],Table142[[#Headers],[Housing]],Table4450[Sub-Category],Table142[[#This Row],[Housing]])</f>
        <v>0</v>
      </c>
      <c r="F28" s="13">
        <f>Table142[[#This Row],[Budget]]-Table142[[#This Row],[Actual]]</f>
        <v>0</v>
      </c>
      <c r="G28" s="36"/>
      <c r="H28" s="43"/>
      <c r="I28" s="2"/>
      <c r="J28" s="11"/>
      <c r="K28" s="11"/>
      <c r="L28" s="11"/>
      <c r="M28" s="24"/>
      <c r="N28" s="12"/>
      <c r="O28" s="11"/>
      <c r="Q28" s="43"/>
      <c r="S28" s="27">
        <f t="shared" si="0"/>
        <v>45124</v>
      </c>
      <c r="T28" s="29">
        <f>SUMIFS(Table442051[Amount],Table442051[Date],S28,Table442051[Category],Table13645[[#Headers],[Income]])+SUMIFS(Table4450[Amount],Table4450[Date],S28,Table4450[Category],Table13645[[#Headers],[Income]])</f>
        <v>0</v>
      </c>
      <c r="U28" s="29">
        <f>SUMIFS(Table444[Amount],Table444[Date],S28,Table444[Category],"&lt;&gt;"&amp;Table13645[[#Headers],[Income]])+SUMIFS(Table4450[Amount],Table4450[Date],S28,Table4450[Category],"&lt;&gt;"&amp;Table13645[[#Headers],[Income]])</f>
        <v>0</v>
      </c>
      <c r="V28" s="29">
        <f t="shared" si="1"/>
        <v>1156.74</v>
      </c>
      <c r="W28" s="1">
        <f t="shared" si="2"/>
        <v>1156.7400000000005</v>
      </c>
    </row>
    <row r="29" spans="2:23">
      <c r="B29" s="32"/>
      <c r="C29" s="9" t="s">
        <v>20</v>
      </c>
      <c r="D29" s="10">
        <f>SUBTOTAL(109,Table142[Budget])</f>
        <v>0</v>
      </c>
      <c r="E29" s="10">
        <f>SUBTOTAL(109,Table142[Actual])</f>
        <v>0</v>
      </c>
      <c r="F29" s="10">
        <f>SUBTOTAL(109,Table142[Variance])</f>
        <v>0</v>
      </c>
      <c r="G29" s="32"/>
      <c r="H29" s="42"/>
      <c r="J29" s="11"/>
      <c r="K29" s="11"/>
      <c r="L29" s="11"/>
      <c r="M29" s="24"/>
      <c r="N29" s="12"/>
      <c r="O29" s="11"/>
      <c r="Q29" s="42"/>
      <c r="S29" s="30">
        <f t="shared" si="0"/>
        <v>45125</v>
      </c>
      <c r="T29" s="28">
        <f>SUMIFS(Table442051[Amount],Table442051[Date],S29,Table442051[Category],Table13645[[#Headers],[Income]])+SUMIFS(Table4450[Amount],Table4450[Date],S29,Table4450[Category],Table13645[[#Headers],[Income]])</f>
        <v>0</v>
      </c>
      <c r="U29" s="28">
        <f>SUMIFS(Table444[Amount],Table444[Date],S29,Table444[Category],"&lt;&gt;"&amp;Table13645[[#Headers],[Income]])+SUMIFS(Table4450[Amount],Table4450[Date],S29,Table4450[Category],"&lt;&gt;"&amp;Table13645[[#Headers],[Income]])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45126</v>
      </c>
      <c r="T30" s="29">
        <f>SUMIFS(Table442051[Amount],Table442051[Date],S30,Table442051[Category],Table13645[[#Headers],[Income]])+SUMIFS(Table4450[Amount],Table4450[Date],S30,Table4450[Category],Table13645[[#Headers],[Income]])</f>
        <v>0</v>
      </c>
      <c r="U30" s="29">
        <f>SUMIFS(Table444[Amount],Table444[Date],S30,Table444[Category],"&lt;&gt;"&amp;Table13645[[#Headers],[Income]])+SUMIFS(Table4450[Amount],Table4450[Date],S30,Table4450[Category],"&lt;&gt;"&amp;Table13645[[#Headers],[Income]])</f>
        <v>0</v>
      </c>
      <c r="V30" s="29">
        <f t="shared" si="1"/>
        <v>1156.74</v>
      </c>
      <c r="W30" s="1">
        <f t="shared" si="2"/>
        <v>1156.7400000000005</v>
      </c>
    </row>
    <row r="31" spans="2:23">
      <c r="B31" s="32"/>
      <c r="C31" s="37" t="str">
        <f>CONCATENATE(Table1343[[#Headers],[Transportation]]," - Budget &amp; Tracking")</f>
        <v>Transportation - Budget &amp; Tracking</v>
      </c>
      <c r="D31" s="38"/>
      <c r="E31" s="38"/>
      <c r="F31" s="39"/>
      <c r="G31" s="32"/>
      <c r="H31" s="42"/>
      <c r="J31" s="11"/>
      <c r="K31" s="11"/>
      <c r="L31" s="11"/>
      <c r="M31" s="24"/>
      <c r="N31" s="12"/>
      <c r="O31" s="11"/>
      <c r="Q31" s="42"/>
      <c r="S31" s="30">
        <f t="shared" si="0"/>
        <v>45127</v>
      </c>
      <c r="T31" s="28">
        <f>SUMIFS(Table442051[Amount],Table442051[Date],S31,Table442051[Category],Table13645[[#Headers],[Income]])+SUMIFS(Table4450[Amount],Table4450[Date],S31,Table4450[Category],Table13645[[#Headers],[Income]])</f>
        <v>0</v>
      </c>
      <c r="U31" s="28">
        <f>SUMIFS(Table444[Amount],Table444[Date],S31,Table444[Category],"&lt;&gt;"&amp;Table13645[[#Headers],[Income]])+SUMIFS(Table4450[Amount],Table4450[Date],S31,Table4450[Category],"&lt;&gt;"&amp;Table13645[[#Headers],[Income]])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45128</v>
      </c>
      <c r="T32" s="29">
        <f>SUMIFS(Table442051[Amount],Table442051[Date],S32,Table442051[Category],Table13645[[#Headers],[Income]])+SUMIFS(Table4450[Amount],Table4450[Date],S32,Table4450[Category],Table13645[[#Headers],[Income]])</f>
        <v>0</v>
      </c>
      <c r="U32" s="29">
        <f>SUMIFS(Table444[Amount],Table444[Date],S32,Table444[Category],"&lt;&gt;"&amp;Table13645[[#Headers],[Income]])+SUMIFS(Table4450[Amount],Table4450[Date],S32,Table4450[Category],"&lt;&gt;"&amp;Table13645[[#Headers],[Income]])</f>
        <v>0</v>
      </c>
      <c r="V32" s="29">
        <f t="shared" si="1"/>
        <v>1156.74</v>
      </c>
      <c r="W32" s="1">
        <f t="shared" si="2"/>
        <v>1156.7400000000005</v>
      </c>
    </row>
    <row r="33" spans="2:23">
      <c r="B33" s="32"/>
      <c r="D33" s="2"/>
      <c r="E33" s="2">
        <f>SUMIFS(Table444[Amount],Table444[Category],Table1343[[#Headers],[Transportation]],Table444[Sub-Category],Table1343[[#This Row],[Transportation]])+SUMIFS(Table4450[Amount],Table4450[Category],Table1343[[#Headers],[Transportation]],Table4450[Sub-Category],Table1343[[#This Row],[Transportation]])</f>
        <v>0</v>
      </c>
      <c r="F33" s="3">
        <f>Table1343[[#This Row],[Budget]]-Table1343[[#This Row],[Actual]]</f>
        <v>0</v>
      </c>
      <c r="G33" s="32"/>
      <c r="H33" s="42"/>
      <c r="J33" s="37" t="s">
        <v>44</v>
      </c>
      <c r="K33" s="38"/>
      <c r="L33" s="38"/>
      <c r="M33" s="38"/>
      <c r="N33" s="38"/>
      <c r="O33" s="39"/>
      <c r="Q33" s="42"/>
      <c r="S33" s="30">
        <f t="shared" si="0"/>
        <v>45129</v>
      </c>
      <c r="T33" s="28">
        <f>SUMIFS(Table442051[Amount],Table442051[Date],S33,Table442051[Category],Table13645[[#Headers],[Income]])+SUMIFS(Table4450[Amount],Table4450[Date],S33,Table4450[Category],Table13645[[#Headers],[Income]])</f>
        <v>0</v>
      </c>
      <c r="U33" s="28">
        <f>SUMIFS(Table444[Amount],Table444[Date],S33,Table444[Category],"&lt;&gt;"&amp;Table13645[[#Headers],[Income]])+SUMIFS(Table4450[Amount],Table4450[Date],S33,Table4450[Category],"&lt;&gt;"&amp;Table13645[[#Headers],[Income]])</f>
        <v>0</v>
      </c>
      <c r="V33" s="28">
        <f t="shared" si="1"/>
        <v>1156.74</v>
      </c>
      <c r="W33" s="1">
        <f t="shared" si="2"/>
        <v>1156.7400000000005</v>
      </c>
    </row>
    <row r="34" spans="2:23">
      <c r="B34" s="32"/>
      <c r="D34" s="2"/>
      <c r="E34" s="2">
        <f>SUMIFS(Table444[Amount],Table444[Category],Table1343[[#Headers],[Transportation]],Table444[Sub-Category],Table1343[[#This Row],[Transportation]])+SUMIFS(Table4450[Amount],Table4450[Category],Table1343[[#Headers],[Transportation]],Table4450[Sub-Category],Table1343[[#This Row],[Transportation]])</f>
        <v>0</v>
      </c>
      <c r="F34" s="3">
        <f>Table1343[[#This Row],[Budget]]-Table1343[[#This Row],[Actual]]</f>
        <v>0</v>
      </c>
      <c r="G34" s="32"/>
      <c r="H34" s="42"/>
      <c r="J34" s="31" t="s">
        <v>9</v>
      </c>
      <c r="K34" s="31" t="s">
        <v>0</v>
      </c>
      <c r="L34" s="31" t="s">
        <v>13</v>
      </c>
      <c r="M34" s="31" t="s">
        <v>10</v>
      </c>
      <c r="N34" s="31" t="s">
        <v>11</v>
      </c>
      <c r="O34" s="31" t="s">
        <v>16</v>
      </c>
      <c r="Q34" s="42"/>
      <c r="S34" s="27">
        <f t="shared" si="0"/>
        <v>45130</v>
      </c>
      <c r="T34" s="29">
        <f>SUMIFS(Table442051[Amount],Table442051[Date],S34,Table442051[Category],Table13645[[#Headers],[Income]])+SUMIFS(Table4450[Amount],Table4450[Date],S34,Table4450[Category],Table13645[[#Headers],[Income]])</f>
        <v>0</v>
      </c>
      <c r="U34" s="29">
        <f>SUMIFS(Table444[Amount],Table444[Date],S34,Table444[Category],"&lt;&gt;"&amp;Table13645[[#Headers],[Income]])+SUMIFS(Table4450[Amount],Table4450[Date],S34,Table4450[Category],"&lt;&gt;"&amp;Table13645[[#Headers],[Income]])</f>
        <v>0</v>
      </c>
      <c r="V34" s="29">
        <f t="shared" si="1"/>
        <v>1156.74</v>
      </c>
      <c r="W34" s="1">
        <f t="shared" si="2"/>
        <v>1156.7400000000005</v>
      </c>
    </row>
    <row r="35" spans="2:23">
      <c r="B35" s="32"/>
      <c r="C35" s="11"/>
      <c r="D35" s="12"/>
      <c r="E35" s="13">
        <f>SUMIFS(Table444[Amount],Table444[Category],Table1343[[#Headers],[Transportation]],Table444[Sub-Category],Table1343[[#This Row],[Transportation]])+SUMIFS(Table4450[Amount],Table4450[Category],Table1343[[#Headers],[Transportation]],Table4450[Sub-Category],Table1343[[#This Row],[Transportation]])</f>
        <v>0</v>
      </c>
      <c r="F35" s="13">
        <f>Table1343[[#This Row],[Budget]]-Table1343[[#This Row],[Actual]]</f>
        <v>0</v>
      </c>
      <c r="G35" s="32"/>
      <c r="H35" s="42"/>
      <c r="M35" s="4"/>
      <c r="N35" s="2"/>
      <c r="Q35" s="42"/>
      <c r="S35" s="30">
        <f t="shared" si="0"/>
        <v>45131</v>
      </c>
      <c r="T35" s="28">
        <f>SUMIFS(Table442051[Amount],Table442051[Date],S35,Table442051[Category],Table13645[[#Headers],[Income]])+SUMIFS(Table4450[Amount],Table4450[Date],S35,Table4450[Category],Table13645[[#Headers],[Income]])</f>
        <v>0</v>
      </c>
      <c r="U35" s="28">
        <f>SUMIFS(Table444[Amount],Table444[Date],S35,Table444[Category],"&lt;&gt;"&amp;Table13645[[#Headers],[Income]])+SUMIFS(Table4450[Amount],Table4450[Date],S35,Table4450[Category],"&lt;&gt;"&amp;Table13645[[#Headers],[Income]])</f>
        <v>0</v>
      </c>
      <c r="V35" s="28">
        <f t="shared" si="1"/>
        <v>1156.74</v>
      </c>
      <c r="W35" s="1">
        <f t="shared" si="2"/>
        <v>1156.7400000000005</v>
      </c>
    </row>
    <row r="36" spans="2:23">
      <c r="B36" s="32"/>
      <c r="C36" s="11"/>
      <c r="D36" s="12"/>
      <c r="E36" s="13">
        <f>SUMIFS(Table444[Amount],Table444[Category],Table1343[[#Headers],[Transportation]],Table444[Sub-Category],Table1343[[#This Row],[Transportation]])+SUMIFS(Table4450[Amount],Table4450[Category],Table1343[[#Headers],[Transportation]],Table4450[Sub-Category],Table1343[[#This Row],[Transportation]])</f>
        <v>0</v>
      </c>
      <c r="F36" s="13">
        <f>Table1343[[#This Row],[Budget]]-Table1343[[#This Row],[Actual]]</f>
        <v>0</v>
      </c>
      <c r="G36" s="32"/>
      <c r="H36" s="42"/>
      <c r="M36" s="4"/>
      <c r="N36" s="2"/>
      <c r="Q36" s="42"/>
      <c r="S36" s="27">
        <f t="shared" si="0"/>
        <v>45132</v>
      </c>
      <c r="T36" s="29">
        <f>SUMIFS(Table442051[Amount],Table442051[Date],S36,Table442051[Category],Table13645[[#Headers],[Income]])+SUMIFS(Table4450[Amount],Table4450[Date],S36,Table4450[Category],Table13645[[#Headers],[Income]])</f>
        <v>0</v>
      </c>
      <c r="U36" s="29">
        <f>SUMIFS(Table444[Amount],Table444[Date],S36,Table444[Category],"&lt;&gt;"&amp;Table13645[[#Headers],[Income]])+SUMIFS(Table4450[Amount],Table4450[Date],S36,Table4450[Category],"&lt;&gt;"&amp;Table13645[[#Headers],[Income]])</f>
        <v>0</v>
      </c>
      <c r="V36" s="29">
        <f t="shared" si="1"/>
        <v>1156.74</v>
      </c>
      <c r="W36" s="1">
        <f t="shared" si="2"/>
        <v>1156.7400000000005</v>
      </c>
    </row>
    <row r="37" spans="2:23">
      <c r="B37" s="32"/>
      <c r="C37" s="9" t="s">
        <v>20</v>
      </c>
      <c r="D37" s="10">
        <f>SUBTOTAL(109,Table1343[Budget])</f>
        <v>0</v>
      </c>
      <c r="E37" s="10">
        <f>SUBTOTAL(109,Table1343[Actual])</f>
        <v>0</v>
      </c>
      <c r="F37" s="10">
        <f>SUBTOTAL(109,Table1343[Variance])</f>
        <v>0</v>
      </c>
      <c r="G37" s="32"/>
      <c r="H37" s="42"/>
      <c r="M37" s="4"/>
      <c r="N37" s="2"/>
      <c r="Q37" s="42"/>
      <c r="S37" s="30">
        <f t="shared" si="0"/>
        <v>45133</v>
      </c>
      <c r="T37" s="28">
        <f>SUMIFS(Table442051[Amount],Table442051[Date],S37,Table442051[Category],Table13645[[#Headers],[Income]])+SUMIFS(Table4450[Amount],Table4450[Date],S37,Table4450[Category],Table13645[[#Headers],[Income]])</f>
        <v>0</v>
      </c>
      <c r="U37" s="28">
        <f>SUMIFS(Table444[Amount],Table444[Date],S37,Table444[Category],"&lt;&gt;"&amp;Table13645[[#Headers],[Income]])+SUMIFS(Table4450[Amount],Table4450[Date],S37,Table4450[Category],"&lt;&gt;"&amp;Table13645[[#Headers],[Income]])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45134</v>
      </c>
      <c r="T38" s="29">
        <f>SUMIFS(Table442051[Amount],Table442051[Date],S38,Table442051[Category],Table13645[[#Headers],[Income]])+SUMIFS(Table4450[Amount],Table4450[Date],S38,Table4450[Category],Table13645[[#Headers],[Income]])</f>
        <v>0</v>
      </c>
      <c r="U38" s="29">
        <f>SUMIFS(Table444[Amount],Table444[Date],S38,Table444[Category],"&lt;&gt;"&amp;Table13645[[#Headers],[Income]])+SUMIFS(Table4450[Amount],Table4450[Date],S38,Table4450[Category],"&lt;&gt;"&amp;Table13645[[#Headers],[Income]])</f>
        <v>0</v>
      </c>
      <c r="V38" s="29">
        <f t="shared" si="1"/>
        <v>1156.74</v>
      </c>
      <c r="W38" s="1">
        <f t="shared" si="2"/>
        <v>1156.7400000000005</v>
      </c>
    </row>
    <row r="39" spans="2:23">
      <c r="B39" s="32"/>
      <c r="C39" s="37" t="str">
        <f>CONCATENATE(Table1391049[[#Headers],[Bills]]," - Budget &amp; Tracking")</f>
        <v>Bills - Budget &amp; Tracking</v>
      </c>
      <c r="D39" s="38"/>
      <c r="E39" s="38"/>
      <c r="F39" s="39"/>
      <c r="G39" s="32"/>
      <c r="H39" s="42"/>
      <c r="J39" s="11"/>
      <c r="K39" s="11"/>
      <c r="L39" s="11"/>
      <c r="M39" s="24"/>
      <c r="N39" s="12"/>
      <c r="O39" s="11"/>
      <c r="Q39" s="42"/>
      <c r="S39" s="30">
        <f t="shared" si="0"/>
        <v>45135</v>
      </c>
      <c r="T39" s="28">
        <f>SUMIFS(Table442051[Amount],Table442051[Date],S39,Table442051[Category],Table13645[[#Headers],[Income]])+SUMIFS(Table4450[Amount],Table4450[Date],S39,Table4450[Category],Table13645[[#Headers],[Income]])</f>
        <v>0</v>
      </c>
      <c r="U39" s="28">
        <f>SUMIFS(Table444[Amount],Table444[Date],S39,Table444[Category],"&lt;&gt;"&amp;Table13645[[#Headers],[Income]])+SUMIFS(Table4450[Amount],Table4450[Date],S39,Table4450[Category],"&lt;&gt;"&amp;Table13645[[#Headers],[Income]])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45136</v>
      </c>
      <c r="T40" s="29">
        <f>SUMIFS(Table442051[Amount],Table442051[Date],S40,Table442051[Category],Table13645[[#Headers],[Income]])+SUMIFS(Table4450[Amount],Table4450[Date],S40,Table4450[Category],Table13645[[#Headers],[Income]])</f>
        <v>0</v>
      </c>
      <c r="U40" s="29">
        <f>SUMIFS(Table444[Amount],Table444[Date],S40,Table444[Category],"&lt;&gt;"&amp;Table13645[[#Headers],[Income]])+SUMIFS(Table4450[Amount],Table4450[Date],S40,Table4450[Category],"&lt;&gt;"&amp;Table13645[[#Headers],[Income]])</f>
        <v>0</v>
      </c>
      <c r="V40" s="29">
        <f t="shared" si="1"/>
        <v>1156.74</v>
      </c>
      <c r="W40" s="1">
        <f t="shared" si="2"/>
        <v>1156.7400000000005</v>
      </c>
    </row>
    <row r="41" spans="2:23">
      <c r="B41" s="32"/>
      <c r="D41" s="2"/>
      <c r="E41" s="2">
        <f>SUMIFS(Table444[Amount],Table444[Category],Table1391049[[#Headers],[Bills]],Table444[Sub-Category],Table1391049[[#This Row],[Bills]])+SUMIFS(Table4450[Amount],Table4450[Category],Table1391049[[#Headers],[Bills]],Table4450[Sub-Category],Table1391049[[#This Row],[Bills]])</f>
        <v>0</v>
      </c>
      <c r="F41" s="3">
        <f>Table1391049[[#This Row],[Budget]]-Table1391049[[#This Row],[Actual]]</f>
        <v>0</v>
      </c>
      <c r="G41" s="32"/>
      <c r="H41" s="42"/>
      <c r="Q41" s="42"/>
      <c r="S41" s="30">
        <f t="shared" si="0"/>
        <v>45137</v>
      </c>
      <c r="T41" s="28">
        <f>SUMIFS(Table442051[Amount],Table442051[Date],S41,Table442051[Category],Table13645[[#Headers],[Income]])+SUMIFS(Table4450[Amount],Table4450[Date],S41,Table4450[Category],Table13645[[#Headers],[Income]])</f>
        <v>0</v>
      </c>
      <c r="U41" s="28">
        <f>SUMIFS(Table444[Amount],Table444[Date],S41,Table444[Category],"&lt;&gt;"&amp;Table13645[[#Headers],[Income]])+SUMIFS(Table4450[Amount],Table4450[Date],S41,Table4450[Category],"&lt;&gt;"&amp;Table13645[[#Headers],[Income]])</f>
        <v>0</v>
      </c>
      <c r="V41" s="28">
        <f t="shared" si="1"/>
        <v>1156.74</v>
      </c>
      <c r="W41" s="1">
        <f t="shared" si="2"/>
        <v>1156.7400000000005</v>
      </c>
    </row>
    <row r="42" spans="2:23">
      <c r="B42" s="32"/>
      <c r="D42" s="2"/>
      <c r="E42" s="2">
        <f>SUMIFS(Table444[Amount],Table444[Category],Table1391049[[#Headers],[Bills]],Table444[Sub-Category],Table1391049[[#This Row],[Bills]])+SUMIFS(Table4450[Amount],Table4450[Category],Table1391049[[#Headers],[Bills]],Table4450[Sub-Category],Table1391049[[#This Row],[Bills]])</f>
        <v>0</v>
      </c>
      <c r="F42" s="3">
        <f>Table1391049[[#This Row],[Budget]]-Table1391049[[#This Row],[Actual]]</f>
        <v>0</v>
      </c>
      <c r="G42" s="32"/>
      <c r="H42" s="42"/>
      <c r="Q42" s="42"/>
      <c r="S42" s="27">
        <f t="shared" si="0"/>
        <v>45138</v>
      </c>
      <c r="T42" s="29">
        <f>SUMIFS(Table442051[Amount],Table442051[Date],S42,Table442051[Category],Table13645[[#Headers],[Income]])+SUMIFS(Table4450[Amount],Table4450[Date],S42,Table4450[Category],Table13645[[#Headers],[Income]])</f>
        <v>0</v>
      </c>
      <c r="U42" s="29">
        <f>SUMIFS(Table444[Amount],Table444[Date],S42,Table444[Category],"&lt;&gt;"&amp;Table13645[[#Headers],[Income]])+SUMIFS(Table4450[Amount],Table4450[Date],S42,Table4450[Category],"&lt;&gt;"&amp;Table13645[[#Headers],[Income]])</f>
        <v>0</v>
      </c>
      <c r="V42" s="29">
        <f t="shared" si="1"/>
        <v>1156.74</v>
      </c>
      <c r="W42" s="1">
        <f t="shared" si="2"/>
        <v>1156.7400000000005</v>
      </c>
    </row>
    <row r="43" spans="2:23">
      <c r="B43" s="32"/>
      <c r="C43" s="11"/>
      <c r="D43" s="12"/>
      <c r="E43" s="13">
        <f>SUMIFS(Table444[Amount],Table444[Category],Table1391049[[#Headers],[Bills]],Table444[Sub-Category],Table1391049[[#This Row],[Bills]])+SUMIFS(Table4450[Amount],Table4450[Category],Table1391049[[#Headers],[Bills]],Table4450[Sub-Category],Table1391049[[#This Row],[Bills]])</f>
        <v>0</v>
      </c>
      <c r="F43" s="13">
        <f>Table1391049[[#This Row],[Budget]]-Table1391049[[#This Row],[Actual]]</f>
        <v>0</v>
      </c>
      <c r="G43" s="32"/>
      <c r="H43" s="42"/>
      <c r="Q43" s="42"/>
      <c r="S43" s="8"/>
    </row>
    <row r="44" spans="2:23">
      <c r="B44" s="32"/>
      <c r="C44" s="11"/>
      <c r="D44" s="12"/>
      <c r="E44" s="13">
        <f>SUMIFS(Table444[Amount],Table444[Category],Table1391049[[#Headers],[Bills]],Table444[Sub-Category],Table1391049[[#This Row],[Bills]])+SUMIFS(Table4450[Amount],Table4450[Category],Table1391049[[#Headers],[Bills]],Table4450[Sub-Category],Table1391049[[#This Row],[Bills]])</f>
        <v>0</v>
      </c>
      <c r="F44" s="13">
        <f>Table1391049[[#This Row],[Budget]]-Table1391049[[#This Row],[Actual]]</f>
        <v>0</v>
      </c>
      <c r="G44" s="32"/>
      <c r="H44" s="42"/>
      <c r="Q44" s="42"/>
      <c r="S44" s="8"/>
    </row>
    <row r="45" spans="2:23">
      <c r="B45" s="32"/>
      <c r="C45" s="11"/>
      <c r="D45" s="12"/>
      <c r="E45" s="13">
        <f>SUMIFS(Table444[Amount],Table444[Category],Table1391049[[#Headers],[Bills]],Table444[Sub-Category],Table1391049[[#This Row],[Bills]])+SUMIFS(Table4450[Amount],Table4450[Category],Table1391049[[#Headers],[Bills]],Table4450[Sub-Category],Table1391049[[#This Row],[Bills]])</f>
        <v>0</v>
      </c>
      <c r="F45" s="13">
        <f>Table1391049[[#This Row],[Budget]]-Table1391049[[#This Row],[Actual]]</f>
        <v>0</v>
      </c>
      <c r="G45" s="32"/>
      <c r="H45" s="42"/>
      <c r="Q45" s="42"/>
    </row>
    <row r="46" spans="2:23">
      <c r="B46" s="32"/>
      <c r="C46" s="9" t="s">
        <v>20</v>
      </c>
      <c r="D46" s="10">
        <f>SUBTOTAL(109,Table1391049[Budget])</f>
        <v>0</v>
      </c>
      <c r="E46" s="10">
        <f>SUBTOTAL(109,Table1391049[Actual])</f>
        <v>0</v>
      </c>
      <c r="F46" s="10">
        <f>SUBTOTAL(109,Table1391049[Variance])</f>
        <v>0</v>
      </c>
      <c r="G46" s="32"/>
      <c r="H46" s="42"/>
      <c r="Q46" s="42"/>
    </row>
    <row r="47" spans="2:23">
      <c r="B47" s="32"/>
      <c r="C47" s="20"/>
      <c r="D47" s="21"/>
      <c r="E47" s="21"/>
      <c r="F47" s="22"/>
      <c r="G47" s="32"/>
      <c r="H47" s="42"/>
      <c r="Q47" s="42"/>
    </row>
    <row r="48" spans="2:23">
      <c r="B48" s="32"/>
      <c r="C48" s="37" t="str">
        <f>CONCATENATE(Table13746[[#Headers],[Living]],"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SUMIFS(Table444[Amount],Table444[Category],Table13746[[#Headers],[Living]],Table444[Sub-Category],Table13746[[#This Row],[Living]])+SUMIFS(Table4450[Amount],Table4450[Category],Table13746[[#Headers],[Living]],Table4450[Sub-Category],Table13746[[#This Row],[Living]])</f>
        <v>0</v>
      </c>
      <c r="F50" s="3">
        <f>Table13746[[#This Row],[Budget]]-Table13746[[#This Row],[Actual]]</f>
        <v>0</v>
      </c>
      <c r="G50" s="32"/>
      <c r="H50" s="42"/>
      <c r="Q50" s="42"/>
    </row>
    <row r="51" spans="2:17">
      <c r="B51" s="32"/>
      <c r="D51" s="2"/>
      <c r="E51" s="2">
        <f>SUMIFS(Table444[Amount],Table444[Category],Table13746[[#Headers],[Living]],Table444[Sub-Category],Table13746[[#This Row],[Living]])+SUMIFS(Table4450[Amount],Table4450[Category],Table13746[[#Headers],[Living]],Table4450[Sub-Category],Table13746[[#This Row],[Living]])</f>
        <v>0</v>
      </c>
      <c r="F51" s="3">
        <f>Table13746[[#This Row],[Budget]]-Table13746[[#This Row],[Actual]]</f>
        <v>0</v>
      </c>
      <c r="G51" s="32"/>
      <c r="H51" s="42"/>
      <c r="Q51" s="42"/>
    </row>
    <row r="52" spans="2:17">
      <c r="B52" s="32"/>
      <c r="C52" s="11"/>
      <c r="D52" s="12"/>
      <c r="E52" s="13">
        <f>SUMIFS(Table444[Amount],Table444[Category],Table13746[[#Headers],[Living]],Table444[Sub-Category],Table13746[[#This Row],[Living]])+SUMIFS(Table4450[Amount],Table4450[Category],Table13746[[#Headers],[Living]],Table4450[Sub-Category],Table13746[[#This Row],[Living]])</f>
        <v>0</v>
      </c>
      <c r="F52" s="13">
        <f>Table13746[[#This Row],[Budget]]-Table13746[[#This Row],[Actual]]</f>
        <v>0</v>
      </c>
      <c r="G52" s="32"/>
      <c r="H52" s="42"/>
      <c r="Q52" s="42"/>
    </row>
    <row r="53" spans="2:17">
      <c r="B53" s="32"/>
      <c r="C53" s="11"/>
      <c r="D53" s="12"/>
      <c r="E53" s="13">
        <f>SUMIFS(Table444[Amount],Table444[Category],Table13746[[#Headers],[Living]],Table444[Sub-Category],Table13746[[#This Row],[Living]])+SUMIFS(Table4450[Amount],Table4450[Category],Table13746[[#Headers],[Living]],Table4450[Sub-Category],Table13746[[#This Row],[Living]])</f>
        <v>0</v>
      </c>
      <c r="F53" s="13">
        <f>Table13746[[#This Row],[Budget]]-Table13746[[#This Row],[Actual]]</f>
        <v>0</v>
      </c>
      <c r="G53" s="32"/>
      <c r="H53" s="42"/>
      <c r="Q53" s="42"/>
    </row>
    <row r="54" spans="2:17">
      <c r="B54" s="32"/>
      <c r="C54" s="9" t="s">
        <v>20</v>
      </c>
      <c r="D54" s="10">
        <f>SUBTOTAL(109,Table13746[Budget])</f>
        <v>0</v>
      </c>
      <c r="E54" s="10">
        <f>SUBTOTAL(109,Table13746[Actual])</f>
        <v>0</v>
      </c>
      <c r="F54" s="10">
        <f>SUBTOTAL(109,Table13746[Variance])</f>
        <v>0</v>
      </c>
      <c r="G54" s="32"/>
      <c r="H54" s="42"/>
      <c r="Q54" s="42"/>
    </row>
    <row r="55" spans="2:17">
      <c r="B55" s="32"/>
      <c r="C55" s="20"/>
      <c r="D55" s="21"/>
      <c r="E55" s="21"/>
      <c r="F55" s="22"/>
      <c r="G55" s="32"/>
      <c r="H55" s="42"/>
      <c r="Q55" s="42"/>
    </row>
    <row r="56" spans="2:17">
      <c r="B56" s="32"/>
      <c r="C56" s="37" t="str">
        <f>CONCATENATE(Table13847[[#Headers],[Entertainment]],"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SUMIFS(Table444[Amount],Table444[Category],Table13847[[#Headers],[Entertainment]],Table444[Sub-Category],Table13847[[#This Row],[Entertainment]])+SUMIFS(Table4450[Amount],Table4450[Category],Table13847[[#Headers],[Entertainment]],Table4450[Sub-Category],Table13847[[#This Row],[Entertainment]])</f>
        <v>0</v>
      </c>
      <c r="F58" s="3">
        <f>Table13847[[#This Row],[Budget]]-Table13847[[#This Row],[Actual]]</f>
        <v>0</v>
      </c>
      <c r="G58" s="32"/>
      <c r="H58" s="42"/>
      <c r="Q58" s="42"/>
    </row>
    <row r="59" spans="2:17">
      <c r="B59" s="33"/>
      <c r="D59" s="2"/>
      <c r="E59" s="2">
        <f>SUMIFS(Table444[Amount],Table444[Category],Table13847[[#Headers],[Entertainment]],Table444[Sub-Category],Table13847[[#This Row],[Entertainment]])+SUMIFS(Table4450[Amount],Table4450[Category],Table13847[[#Headers],[Entertainment]],Table4450[Sub-Category],Table13847[[#This Row],[Entertainment]])</f>
        <v>0</v>
      </c>
      <c r="F59" s="3">
        <f>Table13847[[#This Row],[Budget]]-Table13847[[#This Row],[Actual]]</f>
        <v>0</v>
      </c>
      <c r="G59" s="33"/>
      <c r="H59" s="42"/>
      <c r="Q59" s="42"/>
    </row>
    <row r="60" spans="2:17">
      <c r="C60" s="9" t="s">
        <v>20</v>
      </c>
      <c r="D60" s="10">
        <f>SUBTOTAL(109,Table13847[Budget])</f>
        <v>0</v>
      </c>
      <c r="E60" s="10">
        <f>SUBTOTAL(109,Table13847[Actual])</f>
        <v>0</v>
      </c>
      <c r="F60" s="10">
        <f>SUBTOTAL(109,Table13847[Variance])</f>
        <v>0</v>
      </c>
      <c r="H60" s="42"/>
      <c r="Q60" s="42"/>
    </row>
    <row r="61" spans="2:17">
      <c r="C61" s="26"/>
      <c r="D61" s="23"/>
      <c r="E61" s="23"/>
      <c r="F61" s="23"/>
      <c r="H61" s="42"/>
      <c r="Q61" s="42"/>
    </row>
    <row r="62" spans="2:17">
      <c r="C62" s="37" t="str">
        <f>CONCATENATE(Table13948[[#Headers],[Misc.]],"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SUMIFS(Table444[Amount],Table444[Category],Table13948[[#Headers],[Misc.]],Table444[Sub-Category],Table13948[[#This Row],[Misc.]])+SUMIFS(Table4450[Amount],Table4450[Category],Table13948[[#Headers],[Misc.]],Table4450[Sub-Category],Table13948[[#This Row],[Misc.]])</f>
        <v>0</v>
      </c>
      <c r="F64" s="13">
        <f>Table13948[[#This Row],[Budget]]-Table13948[[#This Row],[Actual]]</f>
        <v>0</v>
      </c>
      <c r="H64" s="42"/>
      <c r="Q64" s="42"/>
    </row>
    <row r="65" spans="3:17">
      <c r="C65" s="11"/>
      <c r="D65" s="12"/>
      <c r="E65" s="13">
        <f>SUMIFS(Table444[Amount],Table444[Category],Table13948[[#Headers],[Misc.]],Table444[Sub-Category],Table13948[[#This Row],[Misc.]])+SUMIFS(Table4450[Amount],Table4450[Category],Table13948[[#Headers],[Misc.]],Table4450[Sub-Category],Table13948[[#This Row],[Misc.]])</f>
        <v>0</v>
      </c>
      <c r="F65" s="13">
        <f>Table13948[[#This Row],[Budget]]-Table13948[[#This Row],[Actual]]</f>
        <v>0</v>
      </c>
      <c r="H65" s="42"/>
      <c r="Q65" s="42"/>
    </row>
    <row r="66" spans="3:17">
      <c r="C66" s="9" t="s">
        <v>20</v>
      </c>
      <c r="D66" s="10">
        <f>SUBTOTAL(109,Table13948[Budget])</f>
        <v>0</v>
      </c>
      <c r="E66" s="10">
        <f>SUBTOTAL(109,Table13948[Actual])</f>
        <v>0</v>
      </c>
      <c r="F66" s="10">
        <f>SUBTOTAL(109,Table13948[Variance])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43" priority="16" operator="equal">
      <formula>TODAY()</formula>
    </cfRule>
  </conditionalFormatting>
  <conditionalFormatting sqref="T12 T20:U42">
    <cfRule type="expression" dxfId="142" priority="15">
      <formula>IF($S12=TODAY(),TRUE)</formula>
    </cfRule>
  </conditionalFormatting>
  <conditionalFormatting sqref="U12">
    <cfRule type="expression" dxfId="141" priority="14">
      <formula>IF($S12=TODAY(),TRUE)</formula>
    </cfRule>
  </conditionalFormatting>
  <conditionalFormatting sqref="V12 V20:V42">
    <cfRule type="expression" dxfId="140" priority="13">
      <formula>IF($S12=TODAY(),TRUE)</formula>
    </cfRule>
  </conditionalFormatting>
  <conditionalFormatting sqref="S13:S15">
    <cfRule type="cellIs" dxfId="139" priority="12" operator="equal">
      <formula>TODAY()</formula>
    </cfRule>
  </conditionalFormatting>
  <conditionalFormatting sqref="T13:T15">
    <cfRule type="expression" dxfId="138" priority="11">
      <formula>IF($S13=TODAY(),TRUE)</formula>
    </cfRule>
  </conditionalFormatting>
  <conditionalFormatting sqref="U13:U15">
    <cfRule type="expression" dxfId="137" priority="10">
      <formula>IF($S13=TODAY(),TRUE)</formula>
    </cfRule>
  </conditionalFormatting>
  <conditionalFormatting sqref="V13:V15">
    <cfRule type="expression" dxfId="136" priority="9">
      <formula>IF($S13=TODAY(),TRUE)</formula>
    </cfRule>
  </conditionalFormatting>
  <conditionalFormatting sqref="S16 S20 S24 S28 S32 S36 S40">
    <cfRule type="cellIs" dxfId="135" priority="8" operator="equal">
      <formula>TODAY()</formula>
    </cfRule>
  </conditionalFormatting>
  <conditionalFormatting sqref="T16">
    <cfRule type="expression" dxfId="134" priority="7">
      <formula>IF($S16=TODAY(),TRUE)</formula>
    </cfRule>
  </conditionalFormatting>
  <conditionalFormatting sqref="U16">
    <cfRule type="expression" dxfId="133" priority="6">
      <formula>IF($S16=TODAY(),TRUE)</formula>
    </cfRule>
  </conditionalFormatting>
  <conditionalFormatting sqref="V16">
    <cfRule type="expression" dxfId="132" priority="5">
      <formula>IF($S16=TODAY(),TRUE)</formula>
    </cfRule>
  </conditionalFormatting>
  <conditionalFormatting sqref="S17:S19 S21:S23 S25:S27 S29:S31 S33:S35 S37:S39 S41:S42">
    <cfRule type="cellIs" dxfId="131" priority="4" operator="equal">
      <formula>TODAY()</formula>
    </cfRule>
  </conditionalFormatting>
  <conditionalFormatting sqref="T17:T19">
    <cfRule type="expression" dxfId="130" priority="3">
      <formula>IF($S17=TODAY(),TRUE)</formula>
    </cfRule>
  </conditionalFormatting>
  <conditionalFormatting sqref="U17:U19">
    <cfRule type="expression" dxfId="129" priority="2">
      <formula>IF($S17=TODAY(),TRUE)</formula>
    </cfRule>
  </conditionalFormatting>
  <conditionalFormatting sqref="V17:V19">
    <cfRule type="expression" dxfId="128"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300-000000000000}">
      <formula1>$U$2:$U$4</formula1>
    </dataValidation>
    <dataValidation type="list" allowBlank="1" showInputMessage="1" showErrorMessage="1" sqref="K35:K40 K19:K32 K12:K16" xr:uid="{00000000-0002-0000-0300-000001000000}">
      <formula1>$R$2:$R$8</formula1>
    </dataValidation>
    <dataValidation type="list" allowBlank="1" showInputMessage="1" showErrorMessage="1" sqref="L35:L40 L12:L16 L19:L32" xr:uid="{00000000-0002-0000-03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CB8ABB51-D348-4A75-AEF2-16C6390F048E}">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156AA23D-C480-4236-BBEB-397CA0A92AA0}">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DATE(YEAR(Mo.4!C1),MONTH(Mo.4!C1)+1,DAY(Mo.4!C1))</f>
        <v>45139</v>
      </c>
      <c r="D1" s="61"/>
      <c r="E1" s="61"/>
      <c r="F1" s="61"/>
      <c r="R1" s="45" t="s">
        <v>0</v>
      </c>
      <c r="S1" s="45" t="s">
        <v>1</v>
      </c>
      <c r="T1" s="45" t="s">
        <v>2</v>
      </c>
      <c r="U1" s="45" t="s">
        <v>16</v>
      </c>
      <c r="V1" s="45" t="s">
        <v>45</v>
      </c>
    </row>
    <row r="2" spans="2:23">
      <c r="D2" s="18" t="s">
        <v>1</v>
      </c>
      <c r="E2" s="19" t="s">
        <v>2</v>
      </c>
      <c r="F2" s="19" t="s">
        <v>14</v>
      </c>
      <c r="R2" s="45" t="str">
        <f>Table13655[[#Headers],[Income]]</f>
        <v>Income</v>
      </c>
      <c r="S2" s="45">
        <f>SUM(Table13655[Budget])</f>
        <v>0</v>
      </c>
      <c r="T2" s="45">
        <f>SUM(Table13655[Actual])</f>
        <v>0</v>
      </c>
      <c r="U2" s="45" t="s">
        <v>19</v>
      </c>
      <c r="V2" s="45">
        <f>AVERAGE(V12:V42)</f>
        <v>1156.7400000000005</v>
      </c>
    </row>
    <row r="3" spans="2:23">
      <c r="C3" s="17" t="s">
        <v>35</v>
      </c>
      <c r="D3" s="5">
        <f>Mo.4!D6</f>
        <v>1156.74</v>
      </c>
      <c r="E3" s="14">
        <f>Mo.4!E6</f>
        <v>1156.74</v>
      </c>
      <c r="F3" s="14">
        <f>E3-D3</f>
        <v>0</v>
      </c>
      <c r="R3" s="45" t="str">
        <f>Table152[[#Headers],[Housing]]</f>
        <v>Housing</v>
      </c>
      <c r="S3" s="45">
        <f>SUM(Table152[Budget])</f>
        <v>0</v>
      </c>
      <c r="T3" s="45">
        <f>SUM(Table152[Actual])</f>
        <v>0</v>
      </c>
      <c r="U3" s="45" t="s">
        <v>17</v>
      </c>
      <c r="V3" s="45"/>
    </row>
    <row r="4" spans="2:23">
      <c r="C4" s="17" t="s">
        <v>32</v>
      </c>
      <c r="D4" s="5">
        <f>Table13655[[#Totals],[Budget]]</f>
        <v>0</v>
      </c>
      <c r="E4" s="5">
        <f>Table13655[[#Totals],[Actual]]</f>
        <v>0</v>
      </c>
      <c r="F4" s="5">
        <f>E4-D4</f>
        <v>0</v>
      </c>
      <c r="R4" s="45" t="str">
        <f>Table1353[[#Headers],[Transportation]]</f>
        <v>Transportation</v>
      </c>
      <c r="S4" s="45">
        <f>SUM(Table1353[Budget])</f>
        <v>0</v>
      </c>
      <c r="T4" s="45">
        <f>SUM(Table1353[Actual])</f>
        <v>0</v>
      </c>
      <c r="U4" s="45" t="s">
        <v>18</v>
      </c>
      <c r="V4" s="45"/>
    </row>
    <row r="5" spans="2:23">
      <c r="C5" s="17" t="s">
        <v>33</v>
      </c>
      <c r="D5" s="5">
        <f>Table152[[#Totals],[Budget]]+Table1353[[#Totals],[Budget]]+Table1391059[[#Totals],[Budget]]+Table13756[[#Totals],[Budget]]+Table13857[[#Totals],[Budget]]+Table13958[[#Totals],[Budget]]</f>
        <v>0</v>
      </c>
      <c r="E5" s="5">
        <f>Table152[[#Totals],[Actual]]+Table1353[[#Totals],[Actual]]+Table1391059[[#Totals],[Actual]]+Table13756[[#Totals],[Actual]]+Table13857[[#Totals],[Actual]]+Table13958[[#Totals],[Actual]]</f>
        <v>0</v>
      </c>
      <c r="F5" s="5">
        <f>E5-D5</f>
        <v>0</v>
      </c>
      <c r="R5" s="45" t="str">
        <f>Table1391059[[#Headers],[Bills]]</f>
        <v>Bills</v>
      </c>
      <c r="S5" s="45">
        <f>SUM(Table1391059[Budget])</f>
        <v>0</v>
      </c>
      <c r="T5" s="45">
        <f>SUM(Table1391059[Actual])</f>
        <v>0</v>
      </c>
      <c r="U5" s="45"/>
      <c r="V5" s="45"/>
    </row>
    <row r="6" spans="2:23">
      <c r="C6" s="15" t="s">
        <v>34</v>
      </c>
      <c r="D6" s="16">
        <f>D3+D4-D5</f>
        <v>1156.74</v>
      </c>
      <c r="E6" s="16">
        <f>E3+E4-E5</f>
        <v>1156.74</v>
      </c>
      <c r="F6" s="16">
        <f>F3+F4-F5</f>
        <v>0</v>
      </c>
      <c r="R6" s="45" t="str">
        <f>Table13756[[#Headers],[Living]]</f>
        <v>Living</v>
      </c>
      <c r="S6" s="45">
        <f>SUM(Table13756[Budget])</f>
        <v>0</v>
      </c>
      <c r="T6" s="45">
        <f>SUM(Table13756[Actual])</f>
        <v>0</v>
      </c>
      <c r="U6" s="45"/>
      <c r="V6" s="45"/>
    </row>
    <row r="7" spans="2:23" ht="3.75" customHeight="1">
      <c r="D7" s="2"/>
      <c r="R7" s="45" t="str">
        <f>Table13857[[#Headers],[Entertainment]]</f>
        <v>Entertainment</v>
      </c>
      <c r="S7" s="45">
        <f>SUM(Table13857[Budget])</f>
        <v>0</v>
      </c>
      <c r="T7" s="45">
        <f>SUM(Table13857[Actual])</f>
        <v>0</v>
      </c>
      <c r="U7" s="45"/>
      <c r="V7" s="45"/>
    </row>
    <row r="8" spans="2:23" ht="1.5" customHeight="1">
      <c r="C8" s="42"/>
      <c r="D8" s="43"/>
      <c r="E8" s="42"/>
      <c r="F8" s="42"/>
      <c r="G8" s="42"/>
      <c r="H8" s="42"/>
      <c r="I8" s="42"/>
      <c r="J8" s="42"/>
      <c r="K8" s="42"/>
      <c r="L8" s="42"/>
      <c r="M8" s="42"/>
      <c r="N8" s="42"/>
      <c r="O8" s="42"/>
      <c r="P8" s="42"/>
      <c r="Q8" s="42"/>
      <c r="R8" s="44" t="str">
        <f>Table13958[[#Headers],[Misc.]]</f>
        <v>Misc.</v>
      </c>
      <c r="S8" s="44">
        <f>SUM(Table13958[Budget])</f>
        <v>0</v>
      </c>
      <c r="T8" s="44">
        <f>SUM(Table13958[Actual])</f>
        <v>0</v>
      </c>
      <c r="U8" s="44"/>
      <c r="V8" s="44"/>
    </row>
    <row r="9" spans="2:23" ht="3.75" customHeight="1">
      <c r="D9" s="2"/>
      <c r="H9" s="42"/>
      <c r="Q9" s="42"/>
    </row>
    <row r="10" spans="2:23" s="25" customFormat="1">
      <c r="B10" s="35"/>
      <c r="C10" s="37" t="str">
        <f>CONCATENATE(Table13655[[#Headers],[Income]],"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SUMIFS(Table442061[Amount],Table442061[Category],Table13655[[#Headers],[Income]],Table442061[Sub-Category],Table13655[[#This Row],[Income]])+SUMIFS(Table4460[Amount],Table4460[Category],Table13655[[#Headers],[Income]],Table4460[Sub-Category],Table13655[[#This Row],[Income]])</f>
        <v>0</v>
      </c>
      <c r="F12" s="3">
        <f>Table13655[[#This Row],[Actual]]-Table13655[[#This Row],[Budget]]</f>
        <v>0</v>
      </c>
      <c r="G12" s="32"/>
      <c r="H12" s="42"/>
      <c r="M12" s="4"/>
      <c r="N12" s="2"/>
      <c r="Q12" s="42"/>
      <c r="S12" s="27">
        <f>C1</f>
        <v>45139</v>
      </c>
      <c r="T12" s="29">
        <f>SUMIFS(Table442061[Amount],Table442061[Date],S12,Table442061[Category],Table13655[[#Headers],[Income]])+SUMIFS(Table4460[Amount],Table4460[Date],S12,Table4460[Category],Table13655[[#Headers],[Income]])</f>
        <v>0</v>
      </c>
      <c r="U12" s="29">
        <f>SUMIFS(Table454[Amount],Table454[Date],S12,Table454[Category],"&lt;&gt;"&amp;Table13655[[#Headers],[Income]])+SUMIFS(Table4460[Amount],Table4460[Date],S12,Table4460[Category],"&lt;&gt;"&amp;Table13655[[#Headers],[Income]])</f>
        <v>0</v>
      </c>
      <c r="V12" s="29">
        <f>E3+T12-U12</f>
        <v>1156.74</v>
      </c>
      <c r="W12" s="1">
        <f>V2</f>
        <v>1156.7400000000005</v>
      </c>
    </row>
    <row r="13" spans="2:23">
      <c r="B13" s="32"/>
      <c r="D13" s="2"/>
      <c r="E13" s="2">
        <f>SUMIFS(Table442061[Amount],Table442061[Category],Table13655[[#Headers],[Income]],Table442061[Sub-Category],Table13655[[#This Row],[Income]])+SUMIFS(Table4460[Amount],Table4460[Category],Table13655[[#Headers],[Income]],Table4460[Sub-Category],Table13655[[#This Row],[Income]])</f>
        <v>0</v>
      </c>
      <c r="F13" s="3">
        <f>Table13655[[#This Row],[Actual]]-Table13655[[#This Row],[Budget]]</f>
        <v>0</v>
      </c>
      <c r="G13" s="32"/>
      <c r="H13" s="42"/>
      <c r="M13" s="4"/>
      <c r="N13" s="2"/>
      <c r="Q13" s="42"/>
      <c r="S13" s="30">
        <f t="shared" ref="S13:S42" si="0">S12+1</f>
        <v>45140</v>
      </c>
      <c r="T13" s="28">
        <f>SUMIFS(Table442061[Amount],Table442061[Date],S13,Table442061[Category],Table13655[[#Headers],[Income]])+SUMIFS(Table4460[Amount],Table4460[Date],S13,Table4460[Category],Table13655[[#Headers],[Income]])</f>
        <v>0</v>
      </c>
      <c r="U13" s="28">
        <f>SUMIFS(Table454[Amount],Table454[Date],S13,Table454[Category],"&lt;&gt;"&amp;Table13655[[#Headers],[Income]])+SUMIFS(Table4460[Amount],Table4460[Date],S13,Table4460[Category],"&lt;&gt;"&amp;Table13655[[#Headers],[Income]])</f>
        <v>0</v>
      </c>
      <c r="V13" s="28">
        <f>V12+T13-U13</f>
        <v>1156.74</v>
      </c>
      <c r="W13" s="1">
        <f>W12</f>
        <v>1156.7400000000005</v>
      </c>
    </row>
    <row r="14" spans="2:23">
      <c r="B14" s="32"/>
      <c r="D14" s="12"/>
      <c r="E14" s="12">
        <f>SUMIFS(Table442061[Amount],Table442061[Category],Table13655[[#Headers],[Income]],Table442061[Sub-Category],Table13655[[#This Row],[Income]])+SUMIFS(Table4460[Amount],Table4460[Category],Table13655[[#Headers],[Income]],Table4460[Sub-Category],Table13655[[#This Row],[Income]])</f>
        <v>0</v>
      </c>
      <c r="F14" s="2">
        <f>Table13655[[#This Row],[Actual]]-Table13655[[#This Row],[Budget]]</f>
        <v>0</v>
      </c>
      <c r="G14" s="32"/>
      <c r="H14" s="42"/>
      <c r="M14" s="4"/>
      <c r="N14" s="2"/>
      <c r="Q14" s="42"/>
      <c r="S14" s="27">
        <f t="shared" si="0"/>
        <v>45141</v>
      </c>
      <c r="T14" s="29">
        <f>SUMIFS(Table442061[Amount],Table442061[Date],S14,Table442061[Category],Table13655[[#Headers],[Income]])+SUMIFS(Table4460[Amount],Table4460[Date],S14,Table4460[Category],Table13655[[#Headers],[Income]])</f>
        <v>0</v>
      </c>
      <c r="U14" s="29">
        <f>SUMIFS(Table454[Amount],Table454[Date],S14,Table454[Category],"&lt;&gt;"&amp;Table13655[[#Headers],[Income]])+SUMIFS(Table4460[Amount],Table4460[Date],S14,Table4460[Category],"&lt;&gt;"&amp;Table13655[[#Headers],[Income]])</f>
        <v>0</v>
      </c>
      <c r="V14" s="29">
        <f t="shared" ref="V14:V42" si="1">V13+T14-U14</f>
        <v>1156.74</v>
      </c>
      <c r="W14" s="1">
        <f t="shared" ref="W14:W42" si="2">W13</f>
        <v>1156.7400000000005</v>
      </c>
    </row>
    <row r="15" spans="2:23">
      <c r="B15" s="32"/>
      <c r="D15" s="2"/>
      <c r="E15" s="3">
        <f>SUMIFS(Table442061[Amount],Table442061[Category],Table13655[[#Headers],[Income]],Table442061[Sub-Category],Table13655[[#This Row],[Income]])+SUMIFS(Table4460[Amount],Table4460[Category],Table13655[[#Headers],[Income]],Table4460[Sub-Category],Table13655[[#This Row],[Income]])</f>
        <v>0</v>
      </c>
      <c r="F15" s="3">
        <f>Table13655[[#This Row],[Actual]]-Table13655[[#This Row],[Budget]]</f>
        <v>0</v>
      </c>
      <c r="G15" s="32"/>
      <c r="H15" s="42"/>
      <c r="J15" s="11"/>
      <c r="K15" s="11"/>
      <c r="L15" s="11"/>
      <c r="M15" s="24"/>
      <c r="N15" s="12"/>
      <c r="O15" s="11"/>
      <c r="Q15" s="42"/>
      <c r="S15" s="30">
        <f t="shared" si="0"/>
        <v>45142</v>
      </c>
      <c r="T15" s="28">
        <f>SUMIFS(Table442061[Amount],Table442061[Date],S15,Table442061[Category],Table13655[[#Headers],[Income]])+SUMIFS(Table4460[Amount],Table4460[Date],S15,Table4460[Category],Table13655[[#Headers],[Income]])</f>
        <v>0</v>
      </c>
      <c r="U15" s="28">
        <f>SUMIFS(Table454[Amount],Table454[Date],S15,Table454[Category],"&lt;&gt;"&amp;Table13655[[#Headers],[Income]])+SUMIFS(Table4460[Amount],Table4460[Date],S15,Table4460[Category],"&lt;&gt;"&amp;Table13655[[#Headers],[Income]])</f>
        <v>0</v>
      </c>
      <c r="V15" s="28">
        <f t="shared" si="1"/>
        <v>1156.74</v>
      </c>
      <c r="W15" s="1">
        <f t="shared" si="2"/>
        <v>1156.7400000000005</v>
      </c>
    </row>
    <row r="16" spans="2:23">
      <c r="B16" s="32"/>
      <c r="C16" s="6" t="s">
        <v>20</v>
      </c>
      <c r="D16" s="7">
        <f>SUBTOTAL(109,Table13655[Budget])</f>
        <v>0</v>
      </c>
      <c r="E16" s="7">
        <f>SUBTOTAL(109,Table13655[Actual])</f>
        <v>0</v>
      </c>
      <c r="F16" s="7">
        <f>SUBTOTAL(109,Table13655[Variance])</f>
        <v>0</v>
      </c>
      <c r="G16" s="36"/>
      <c r="H16" s="43"/>
      <c r="I16" s="2"/>
      <c r="M16" s="4"/>
      <c r="N16" s="2"/>
      <c r="Q16" s="43"/>
      <c r="S16" s="27">
        <f t="shared" si="0"/>
        <v>45143</v>
      </c>
      <c r="T16" s="29">
        <f>SUMIFS(Table442061[Amount],Table442061[Date],S16,Table442061[Category],Table13655[[#Headers],[Income]])+SUMIFS(Table4460[Amount],Table4460[Date],S16,Table4460[Category],Table13655[[#Headers],[Income]])</f>
        <v>0</v>
      </c>
      <c r="U16" s="29">
        <f>SUMIFS(Table454[Amount],Table454[Date],S16,Table454[Category],"&lt;&gt;"&amp;Table13655[[#Headers],[Income]])+SUMIFS(Table4460[Amount],Table4460[Date],S16,Table4460[Category],"&lt;&gt;"&amp;Table13655[[#Headers],[Income]])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45144</v>
      </c>
      <c r="T17" s="28">
        <f>SUMIFS(Table442061[Amount],Table442061[Date],S17,Table442061[Category],Table13655[[#Headers],[Income]])+SUMIFS(Table4460[Amount],Table4460[Date],S17,Table4460[Category],Table13655[[#Headers],[Income]])</f>
        <v>0</v>
      </c>
      <c r="U17" s="28">
        <f>SUMIFS(Table454[Amount],Table454[Date],S17,Table454[Category],"&lt;&gt;"&amp;Table13655[[#Headers],[Income]])+SUMIFS(Table4460[Amount],Table4460[Date],S17,Table4460[Category],"&lt;&gt;"&amp;Table13655[[#Headers],[Income]])</f>
        <v>0</v>
      </c>
      <c r="V17" s="28">
        <f t="shared" si="1"/>
        <v>1156.74</v>
      </c>
      <c r="W17" s="1">
        <f t="shared" si="2"/>
        <v>1156.7400000000005</v>
      </c>
    </row>
    <row r="18" spans="2:23">
      <c r="B18" s="32"/>
      <c r="C18" s="37" t="str">
        <f>CONCATENATE(Table152[[#Headers],[Housing]],"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45145</v>
      </c>
      <c r="T18" s="29">
        <f>SUMIFS(Table442061[Amount],Table442061[Date],S18,Table442061[Category],Table13655[[#Headers],[Income]])+SUMIFS(Table4460[Amount],Table4460[Date],S18,Table4460[Category],Table13655[[#Headers],[Income]])</f>
        <v>0</v>
      </c>
      <c r="U18" s="29">
        <f>SUMIFS(Table454[Amount],Table454[Date],S18,Table454[Category],"&lt;&gt;"&amp;Table13655[[#Headers],[Income]])+SUMIFS(Table4460[Amount],Table4460[Date],S18,Table4460[Category],"&lt;&gt;"&amp;Table13655[[#Headers],[Income]])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45146</v>
      </c>
      <c r="T19" s="28">
        <f>SUMIFS(Table442061[Amount],Table442061[Date],S19,Table442061[Category],Table13655[[#Headers],[Income]])+SUMIFS(Table4460[Amount],Table4460[Date],S19,Table4460[Category],Table13655[[#Headers],[Income]])</f>
        <v>0</v>
      </c>
      <c r="U19" s="28">
        <f>SUMIFS(Table454[Amount],Table454[Date],S19,Table454[Category],"&lt;&gt;"&amp;Table13655[[#Headers],[Income]])+SUMIFS(Table4460[Amount],Table4460[Date],S19,Table4460[Category],"&lt;&gt;"&amp;Table13655[[#Headers],[Income]])</f>
        <v>0</v>
      </c>
      <c r="V19" s="28">
        <f t="shared" si="1"/>
        <v>1156.74</v>
      </c>
      <c r="W19" s="1">
        <f t="shared" si="2"/>
        <v>1156.7400000000005</v>
      </c>
    </row>
    <row r="20" spans="2:23">
      <c r="B20" s="32"/>
      <c r="D20" s="2"/>
      <c r="E20" s="2">
        <f>SUMIFS(Table454[Amount],Table454[Category],Table152[[#Headers],[Housing]],Table454[Sub-Category],Table152[[#This Row],[Housing]])+SUMIFS(Table4460[Amount],Table4460[Category],Table152[[#Headers],[Housing]],Table4460[Sub-Category],Table152[[#This Row],[Housing]])</f>
        <v>0</v>
      </c>
      <c r="F20" s="3">
        <f>Table152[[#This Row],[Budget]]-Table152[[#This Row],[Actual]]</f>
        <v>0</v>
      </c>
      <c r="G20" s="36"/>
      <c r="H20" s="43"/>
      <c r="I20" s="2"/>
      <c r="J20" s="11"/>
      <c r="K20" s="11"/>
      <c r="L20" s="11"/>
      <c r="M20" s="24"/>
      <c r="N20" s="12"/>
      <c r="O20" s="11"/>
      <c r="Q20" s="43"/>
      <c r="S20" s="27">
        <f t="shared" si="0"/>
        <v>45147</v>
      </c>
      <c r="T20" s="29">
        <f>SUMIFS(Table442061[Amount],Table442061[Date],S20,Table442061[Category],Table13655[[#Headers],[Income]])+SUMIFS(Table4460[Amount],Table4460[Date],S20,Table4460[Category],Table13655[[#Headers],[Income]])</f>
        <v>0</v>
      </c>
      <c r="U20" s="29">
        <f>SUMIFS(Table454[Amount],Table454[Date],S20,Table454[Category],"&lt;&gt;"&amp;Table13655[[#Headers],[Income]])+SUMIFS(Table4460[Amount],Table4460[Date],S20,Table4460[Category],"&lt;&gt;"&amp;Table13655[[#Headers],[Income]])</f>
        <v>0</v>
      </c>
      <c r="V20" s="29">
        <f t="shared" si="1"/>
        <v>1156.74</v>
      </c>
      <c r="W20" s="1">
        <f t="shared" si="2"/>
        <v>1156.7400000000005</v>
      </c>
    </row>
    <row r="21" spans="2:23">
      <c r="B21" s="32"/>
      <c r="D21" s="2"/>
      <c r="E21" s="2">
        <f>SUMIFS(Table454[Amount],Table454[Category],Table152[[#Headers],[Housing]],Table454[Sub-Category],Table152[[#This Row],[Housing]])+SUMIFS(Table4460[Amount],Table4460[Category],Table152[[#Headers],[Housing]],Table4460[Sub-Category],Table152[[#This Row],[Housing]])</f>
        <v>0</v>
      </c>
      <c r="F21" s="3">
        <f>Table152[[#This Row],[Budget]]-Table152[[#This Row],[Actual]]</f>
        <v>0</v>
      </c>
      <c r="G21" s="36"/>
      <c r="H21" s="43"/>
      <c r="I21" s="2"/>
      <c r="J21" s="11"/>
      <c r="K21" s="11"/>
      <c r="L21" s="11"/>
      <c r="M21" s="24"/>
      <c r="N21" s="12"/>
      <c r="O21" s="11"/>
      <c r="Q21" s="43"/>
      <c r="S21" s="30">
        <f t="shared" si="0"/>
        <v>45148</v>
      </c>
      <c r="T21" s="28">
        <f>SUMIFS(Table442061[Amount],Table442061[Date],S21,Table442061[Category],Table13655[[#Headers],[Income]])+SUMIFS(Table4460[Amount],Table4460[Date],S21,Table4460[Category],Table13655[[#Headers],[Income]])</f>
        <v>0</v>
      </c>
      <c r="U21" s="28">
        <f>SUMIFS(Table454[Amount],Table454[Date],S21,Table454[Category],"&lt;&gt;"&amp;Table13655[[#Headers],[Income]])+SUMIFS(Table4460[Amount],Table4460[Date],S21,Table4460[Category],"&lt;&gt;"&amp;Table13655[[#Headers],[Income]])</f>
        <v>0</v>
      </c>
      <c r="V21" s="28">
        <f t="shared" si="1"/>
        <v>1156.74</v>
      </c>
      <c r="W21" s="1">
        <f t="shared" si="2"/>
        <v>1156.7400000000005</v>
      </c>
    </row>
    <row r="22" spans="2:23">
      <c r="B22" s="32"/>
      <c r="D22" s="2"/>
      <c r="E22" s="2">
        <f>SUMIFS(Table454[Amount],Table454[Category],Table152[[#Headers],[Housing]],Table454[Sub-Category],Table152[[#This Row],[Housing]])+SUMIFS(Table4460[Amount],Table4460[Category],Table152[[#Headers],[Housing]],Table4460[Sub-Category],Table152[[#This Row],[Housing]])</f>
        <v>0</v>
      </c>
      <c r="F22" s="3">
        <f>Table152[[#This Row],[Budget]]-Table152[[#This Row],[Actual]]</f>
        <v>0</v>
      </c>
      <c r="G22" s="36"/>
      <c r="H22" s="43"/>
      <c r="I22" s="2"/>
      <c r="J22" s="11"/>
      <c r="K22" s="11"/>
      <c r="L22" s="11"/>
      <c r="M22" s="24"/>
      <c r="N22" s="12"/>
      <c r="O22" s="11"/>
      <c r="Q22" s="43"/>
      <c r="S22" s="27">
        <f t="shared" si="0"/>
        <v>45149</v>
      </c>
      <c r="T22" s="29">
        <f>SUMIFS(Table442061[Amount],Table442061[Date],S22,Table442061[Category],Table13655[[#Headers],[Income]])+SUMIFS(Table4460[Amount],Table4460[Date],S22,Table4460[Category],Table13655[[#Headers],[Income]])</f>
        <v>0</v>
      </c>
      <c r="U22" s="29">
        <f>SUMIFS(Table454[Amount],Table454[Date],S22,Table454[Category],"&lt;&gt;"&amp;Table13655[[#Headers],[Income]])+SUMIFS(Table4460[Amount],Table4460[Date],S22,Table4460[Category],"&lt;&gt;"&amp;Table13655[[#Headers],[Income]])</f>
        <v>0</v>
      </c>
      <c r="V22" s="29">
        <f t="shared" si="1"/>
        <v>1156.74</v>
      </c>
      <c r="W22" s="1">
        <f t="shared" si="2"/>
        <v>1156.7400000000005</v>
      </c>
    </row>
    <row r="23" spans="2:23">
      <c r="B23" s="32"/>
      <c r="D23" s="2"/>
      <c r="E23" s="2">
        <f>SUMIFS(Table454[Amount],Table454[Category],Table152[[#Headers],[Housing]],Table454[Sub-Category],Table152[[#This Row],[Housing]])+SUMIFS(Table4460[Amount],Table4460[Category],Table152[[#Headers],[Housing]],Table4460[Sub-Category],Table152[[#This Row],[Housing]])</f>
        <v>0</v>
      </c>
      <c r="F23" s="3">
        <f>Table152[[#This Row],[Budget]]-Table152[[#This Row],[Actual]]</f>
        <v>0</v>
      </c>
      <c r="G23" s="36"/>
      <c r="H23" s="43"/>
      <c r="I23" s="2"/>
      <c r="J23" s="11"/>
      <c r="K23" s="11"/>
      <c r="L23" s="11"/>
      <c r="M23" s="24"/>
      <c r="N23" s="12"/>
      <c r="O23" s="11"/>
      <c r="Q23" s="43"/>
      <c r="S23" s="30">
        <f t="shared" si="0"/>
        <v>45150</v>
      </c>
      <c r="T23" s="28">
        <f>SUMIFS(Table442061[Amount],Table442061[Date],S23,Table442061[Category],Table13655[[#Headers],[Income]])+SUMIFS(Table4460[Amount],Table4460[Date],S23,Table4460[Category],Table13655[[#Headers],[Income]])</f>
        <v>0</v>
      </c>
      <c r="U23" s="28">
        <f>SUMIFS(Table454[Amount],Table454[Date],S23,Table454[Category],"&lt;&gt;"&amp;Table13655[[#Headers],[Income]])+SUMIFS(Table4460[Amount],Table4460[Date],S23,Table4460[Category],"&lt;&gt;"&amp;Table13655[[#Headers],[Income]])</f>
        <v>0</v>
      </c>
      <c r="V23" s="28">
        <f t="shared" si="1"/>
        <v>1156.74</v>
      </c>
      <c r="W23" s="1">
        <f t="shared" si="2"/>
        <v>1156.7400000000005</v>
      </c>
    </row>
    <row r="24" spans="2:23">
      <c r="B24" s="32"/>
      <c r="D24" s="2"/>
      <c r="E24" s="2">
        <f>SUMIFS(Table454[Amount],Table454[Category],Table152[[#Headers],[Housing]],Table454[Sub-Category],Table152[[#This Row],[Housing]])+SUMIFS(Table4460[Amount],Table4460[Category],Table152[[#Headers],[Housing]],Table4460[Sub-Category],Table152[[#This Row],[Housing]])</f>
        <v>0</v>
      </c>
      <c r="F24" s="3">
        <f>Table152[[#This Row],[Budget]]-Table152[[#This Row],[Actual]]</f>
        <v>0</v>
      </c>
      <c r="G24" s="36"/>
      <c r="H24" s="43"/>
      <c r="I24" s="2"/>
      <c r="J24" s="11"/>
      <c r="K24" s="11"/>
      <c r="L24" s="11"/>
      <c r="M24" s="24"/>
      <c r="N24" s="12"/>
      <c r="O24" s="11"/>
      <c r="Q24" s="43"/>
      <c r="S24" s="27">
        <f t="shared" si="0"/>
        <v>45151</v>
      </c>
      <c r="T24" s="29">
        <f>SUMIFS(Table442061[Amount],Table442061[Date],S24,Table442061[Category],Table13655[[#Headers],[Income]])+SUMIFS(Table4460[Amount],Table4460[Date],S24,Table4460[Category],Table13655[[#Headers],[Income]])</f>
        <v>0</v>
      </c>
      <c r="U24" s="29">
        <f>SUMIFS(Table454[Amount],Table454[Date],S24,Table454[Category],"&lt;&gt;"&amp;Table13655[[#Headers],[Income]])+SUMIFS(Table4460[Amount],Table4460[Date],S24,Table4460[Category],"&lt;&gt;"&amp;Table13655[[#Headers],[Income]])</f>
        <v>0</v>
      </c>
      <c r="V24" s="29">
        <f t="shared" si="1"/>
        <v>1156.74</v>
      </c>
      <c r="W24" s="1">
        <f t="shared" si="2"/>
        <v>1156.7400000000005</v>
      </c>
    </row>
    <row r="25" spans="2:23">
      <c r="B25" s="32"/>
      <c r="D25" s="2"/>
      <c r="E25" s="2">
        <f>SUMIFS(Table454[Amount],Table454[Category],Table152[[#Headers],[Housing]],Table454[Sub-Category],Table152[[#This Row],[Housing]])+SUMIFS(Table4460[Amount],Table4460[Category],Table152[[#Headers],[Housing]],Table4460[Sub-Category],Table152[[#This Row],[Housing]])</f>
        <v>0</v>
      </c>
      <c r="F25" s="3">
        <f>Table152[[#This Row],[Budget]]-Table152[[#This Row],[Actual]]</f>
        <v>0</v>
      </c>
      <c r="G25" s="32"/>
      <c r="H25" s="42"/>
      <c r="J25" s="11"/>
      <c r="K25" s="11"/>
      <c r="L25" s="11"/>
      <c r="M25" s="24"/>
      <c r="N25" s="12"/>
      <c r="O25" s="11"/>
      <c r="Q25" s="42"/>
      <c r="S25" s="30">
        <f t="shared" si="0"/>
        <v>45152</v>
      </c>
      <c r="T25" s="28">
        <f>SUMIFS(Table442061[Amount],Table442061[Date],S25,Table442061[Category],Table13655[[#Headers],[Income]])+SUMIFS(Table4460[Amount],Table4460[Date],S25,Table4460[Category],Table13655[[#Headers],[Income]])</f>
        <v>0</v>
      </c>
      <c r="U25" s="28">
        <f>SUMIFS(Table454[Amount],Table454[Date],S25,Table454[Category],"&lt;&gt;"&amp;Table13655[[#Headers],[Income]])+SUMIFS(Table4460[Amount],Table4460[Date],S25,Table4460[Category],"&lt;&gt;"&amp;Table13655[[#Headers],[Income]])</f>
        <v>0</v>
      </c>
      <c r="V25" s="28">
        <f t="shared" si="1"/>
        <v>1156.74</v>
      </c>
      <c r="W25" s="1">
        <f t="shared" si="2"/>
        <v>1156.7400000000005</v>
      </c>
    </row>
    <row r="26" spans="2:23">
      <c r="B26" s="32"/>
      <c r="D26" s="2"/>
      <c r="E26" s="2">
        <f>SUMIFS(Table454[Amount],Table454[Category],Table152[[#Headers],[Housing]],Table454[Sub-Category],Table152[[#This Row],[Housing]])+SUMIFS(Table4460[Amount],Table4460[Category],Table152[[#Headers],[Housing]],Table4460[Sub-Category],Table152[[#This Row],[Housing]])</f>
        <v>0</v>
      </c>
      <c r="F26" s="3">
        <f>Table152[[#This Row],[Budget]]-Table152[[#This Row],[Actual]]</f>
        <v>0</v>
      </c>
      <c r="G26" s="32"/>
      <c r="H26" s="42"/>
      <c r="J26" s="11"/>
      <c r="K26" s="11"/>
      <c r="L26" s="11"/>
      <c r="M26" s="24"/>
      <c r="N26" s="12"/>
      <c r="O26" s="11"/>
      <c r="Q26" s="42"/>
      <c r="S26" s="27">
        <f t="shared" si="0"/>
        <v>45153</v>
      </c>
      <c r="T26" s="29">
        <f>SUMIFS(Table442061[Amount],Table442061[Date],S26,Table442061[Category],Table13655[[#Headers],[Income]])+SUMIFS(Table4460[Amount],Table4460[Date],S26,Table4460[Category],Table13655[[#Headers],[Income]])</f>
        <v>0</v>
      </c>
      <c r="U26" s="29">
        <f>SUMIFS(Table454[Amount],Table454[Date],S26,Table454[Category],"&lt;&gt;"&amp;Table13655[[#Headers],[Income]])+SUMIFS(Table4460[Amount],Table4460[Date],S26,Table4460[Category],"&lt;&gt;"&amp;Table13655[[#Headers],[Income]])</f>
        <v>0</v>
      </c>
      <c r="V26" s="29">
        <f t="shared" si="1"/>
        <v>1156.74</v>
      </c>
      <c r="W26" s="1">
        <f t="shared" si="2"/>
        <v>1156.7400000000005</v>
      </c>
    </row>
    <row r="27" spans="2:23">
      <c r="B27" s="32"/>
      <c r="D27" s="2"/>
      <c r="E27" s="2">
        <f>SUMIFS(Table454[Amount],Table454[Category],Table152[[#Headers],[Housing]],Table454[Sub-Category],Table152[[#This Row],[Housing]])+SUMIFS(Table4460[Amount],Table4460[Category],Table152[[#Headers],[Housing]],Table4460[Sub-Category],Table152[[#This Row],[Housing]])</f>
        <v>0</v>
      </c>
      <c r="F27" s="3">
        <f>Table152[[#This Row],[Budget]]-Table152[[#This Row],[Actual]]</f>
        <v>0</v>
      </c>
      <c r="G27" s="36"/>
      <c r="H27" s="43"/>
      <c r="I27" s="2"/>
      <c r="J27" s="11"/>
      <c r="K27" s="11"/>
      <c r="L27" s="11"/>
      <c r="M27" s="24"/>
      <c r="N27" s="12"/>
      <c r="O27" s="11"/>
      <c r="Q27" s="43"/>
      <c r="S27" s="30">
        <f t="shared" si="0"/>
        <v>45154</v>
      </c>
      <c r="T27" s="28">
        <f>SUMIFS(Table442061[Amount],Table442061[Date],S27,Table442061[Category],Table13655[[#Headers],[Income]])+SUMIFS(Table4460[Amount],Table4460[Date],S27,Table4460[Category],Table13655[[#Headers],[Income]])</f>
        <v>0</v>
      </c>
      <c r="U27" s="28">
        <f>SUMIFS(Table454[Amount],Table454[Date],S27,Table454[Category],"&lt;&gt;"&amp;Table13655[[#Headers],[Income]])+SUMIFS(Table4460[Amount],Table4460[Date],S27,Table4460[Category],"&lt;&gt;"&amp;Table13655[[#Headers],[Income]])</f>
        <v>0</v>
      </c>
      <c r="V27" s="28">
        <f t="shared" si="1"/>
        <v>1156.74</v>
      </c>
      <c r="W27" s="1">
        <f t="shared" si="2"/>
        <v>1156.7400000000005</v>
      </c>
    </row>
    <row r="28" spans="2:23">
      <c r="B28" s="32"/>
      <c r="C28" s="11"/>
      <c r="D28" s="12"/>
      <c r="E28" s="13">
        <f>SUMIFS(Table454[Amount],Table454[Category],Table152[[#Headers],[Housing]],Table454[Sub-Category],Table152[[#This Row],[Housing]])+SUMIFS(Table4460[Amount],Table4460[Category],Table152[[#Headers],[Housing]],Table4460[Sub-Category],Table152[[#This Row],[Housing]])</f>
        <v>0</v>
      </c>
      <c r="F28" s="13">
        <f>Table152[[#This Row],[Budget]]-Table152[[#This Row],[Actual]]</f>
        <v>0</v>
      </c>
      <c r="G28" s="36"/>
      <c r="H28" s="43"/>
      <c r="I28" s="2"/>
      <c r="J28" s="11"/>
      <c r="K28" s="11"/>
      <c r="L28" s="11"/>
      <c r="M28" s="24"/>
      <c r="N28" s="12"/>
      <c r="O28" s="11"/>
      <c r="Q28" s="43"/>
      <c r="S28" s="27">
        <f t="shared" si="0"/>
        <v>45155</v>
      </c>
      <c r="T28" s="29">
        <f>SUMIFS(Table442061[Amount],Table442061[Date],S28,Table442061[Category],Table13655[[#Headers],[Income]])+SUMIFS(Table4460[Amount],Table4460[Date],S28,Table4460[Category],Table13655[[#Headers],[Income]])</f>
        <v>0</v>
      </c>
      <c r="U28" s="29">
        <f>SUMIFS(Table454[Amount],Table454[Date],S28,Table454[Category],"&lt;&gt;"&amp;Table13655[[#Headers],[Income]])+SUMIFS(Table4460[Amount],Table4460[Date],S28,Table4460[Category],"&lt;&gt;"&amp;Table13655[[#Headers],[Income]])</f>
        <v>0</v>
      </c>
      <c r="V28" s="29">
        <f t="shared" si="1"/>
        <v>1156.74</v>
      </c>
      <c r="W28" s="1">
        <f t="shared" si="2"/>
        <v>1156.7400000000005</v>
      </c>
    </row>
    <row r="29" spans="2:23">
      <c r="B29" s="32"/>
      <c r="C29" s="9" t="s">
        <v>20</v>
      </c>
      <c r="D29" s="10">
        <f>SUBTOTAL(109,Table152[Budget])</f>
        <v>0</v>
      </c>
      <c r="E29" s="10">
        <f>SUBTOTAL(109,Table152[Actual])</f>
        <v>0</v>
      </c>
      <c r="F29" s="10">
        <f>SUBTOTAL(109,Table152[Variance])</f>
        <v>0</v>
      </c>
      <c r="G29" s="32"/>
      <c r="H29" s="42"/>
      <c r="J29" s="11"/>
      <c r="K29" s="11"/>
      <c r="L29" s="11"/>
      <c r="M29" s="24"/>
      <c r="N29" s="12"/>
      <c r="O29" s="11"/>
      <c r="Q29" s="42"/>
      <c r="S29" s="30">
        <f t="shared" si="0"/>
        <v>45156</v>
      </c>
      <c r="T29" s="28">
        <f>SUMIFS(Table442061[Amount],Table442061[Date],S29,Table442061[Category],Table13655[[#Headers],[Income]])+SUMIFS(Table4460[Amount],Table4460[Date],S29,Table4460[Category],Table13655[[#Headers],[Income]])</f>
        <v>0</v>
      </c>
      <c r="U29" s="28">
        <f>SUMIFS(Table454[Amount],Table454[Date],S29,Table454[Category],"&lt;&gt;"&amp;Table13655[[#Headers],[Income]])+SUMIFS(Table4460[Amount],Table4460[Date],S29,Table4460[Category],"&lt;&gt;"&amp;Table13655[[#Headers],[Income]])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45157</v>
      </c>
      <c r="T30" s="29">
        <f>SUMIFS(Table442061[Amount],Table442061[Date],S30,Table442061[Category],Table13655[[#Headers],[Income]])+SUMIFS(Table4460[Amount],Table4460[Date],S30,Table4460[Category],Table13655[[#Headers],[Income]])</f>
        <v>0</v>
      </c>
      <c r="U30" s="29">
        <f>SUMIFS(Table454[Amount],Table454[Date],S30,Table454[Category],"&lt;&gt;"&amp;Table13655[[#Headers],[Income]])+SUMIFS(Table4460[Amount],Table4460[Date],S30,Table4460[Category],"&lt;&gt;"&amp;Table13655[[#Headers],[Income]])</f>
        <v>0</v>
      </c>
      <c r="V30" s="29">
        <f t="shared" si="1"/>
        <v>1156.74</v>
      </c>
      <c r="W30" s="1">
        <f t="shared" si="2"/>
        <v>1156.7400000000005</v>
      </c>
    </row>
    <row r="31" spans="2:23">
      <c r="B31" s="32"/>
      <c r="C31" s="37" t="str">
        <f>CONCATENATE(Table1353[[#Headers],[Transportation]]," - Budget &amp; Tracking")</f>
        <v>Transportation - Budget &amp; Tracking</v>
      </c>
      <c r="D31" s="38"/>
      <c r="E31" s="38"/>
      <c r="F31" s="39"/>
      <c r="G31" s="32"/>
      <c r="H31" s="42"/>
      <c r="J31" s="11"/>
      <c r="K31" s="11"/>
      <c r="L31" s="11"/>
      <c r="M31" s="24"/>
      <c r="N31" s="12"/>
      <c r="O31" s="11"/>
      <c r="Q31" s="42"/>
      <c r="S31" s="30">
        <f t="shared" si="0"/>
        <v>45158</v>
      </c>
      <c r="T31" s="28">
        <f>SUMIFS(Table442061[Amount],Table442061[Date],S31,Table442061[Category],Table13655[[#Headers],[Income]])+SUMIFS(Table4460[Amount],Table4460[Date],S31,Table4460[Category],Table13655[[#Headers],[Income]])</f>
        <v>0</v>
      </c>
      <c r="U31" s="28">
        <f>SUMIFS(Table454[Amount],Table454[Date],S31,Table454[Category],"&lt;&gt;"&amp;Table13655[[#Headers],[Income]])+SUMIFS(Table4460[Amount],Table4460[Date],S31,Table4460[Category],"&lt;&gt;"&amp;Table13655[[#Headers],[Income]])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45159</v>
      </c>
      <c r="T32" s="29">
        <f>SUMIFS(Table442061[Amount],Table442061[Date],S32,Table442061[Category],Table13655[[#Headers],[Income]])+SUMIFS(Table4460[Amount],Table4460[Date],S32,Table4460[Category],Table13655[[#Headers],[Income]])</f>
        <v>0</v>
      </c>
      <c r="U32" s="29">
        <f>SUMIFS(Table454[Amount],Table454[Date],S32,Table454[Category],"&lt;&gt;"&amp;Table13655[[#Headers],[Income]])+SUMIFS(Table4460[Amount],Table4460[Date],S32,Table4460[Category],"&lt;&gt;"&amp;Table13655[[#Headers],[Income]])</f>
        <v>0</v>
      </c>
      <c r="V32" s="29">
        <f t="shared" si="1"/>
        <v>1156.74</v>
      </c>
      <c r="W32" s="1">
        <f t="shared" si="2"/>
        <v>1156.7400000000005</v>
      </c>
    </row>
    <row r="33" spans="2:23">
      <c r="B33" s="32"/>
      <c r="D33" s="2"/>
      <c r="E33" s="2">
        <f>SUMIFS(Table454[Amount],Table454[Category],Table1353[[#Headers],[Transportation]],Table454[Sub-Category],Table1353[[#This Row],[Transportation]])+SUMIFS(Table4460[Amount],Table4460[Category],Table1353[[#Headers],[Transportation]],Table4460[Sub-Category],Table1353[[#This Row],[Transportation]])</f>
        <v>0</v>
      </c>
      <c r="F33" s="3">
        <f>Table1353[[#This Row],[Budget]]-Table1353[[#This Row],[Actual]]</f>
        <v>0</v>
      </c>
      <c r="G33" s="32"/>
      <c r="H33" s="42"/>
      <c r="J33" s="37" t="s">
        <v>44</v>
      </c>
      <c r="K33" s="38"/>
      <c r="L33" s="38"/>
      <c r="M33" s="38"/>
      <c r="N33" s="38"/>
      <c r="O33" s="39"/>
      <c r="Q33" s="42"/>
      <c r="S33" s="30">
        <f t="shared" si="0"/>
        <v>45160</v>
      </c>
      <c r="T33" s="28">
        <f>SUMIFS(Table442061[Amount],Table442061[Date],S33,Table442061[Category],Table13655[[#Headers],[Income]])+SUMIFS(Table4460[Amount],Table4460[Date],S33,Table4460[Category],Table13655[[#Headers],[Income]])</f>
        <v>0</v>
      </c>
      <c r="U33" s="28">
        <f>SUMIFS(Table454[Amount],Table454[Date],S33,Table454[Category],"&lt;&gt;"&amp;Table13655[[#Headers],[Income]])+SUMIFS(Table4460[Amount],Table4460[Date],S33,Table4460[Category],"&lt;&gt;"&amp;Table13655[[#Headers],[Income]])</f>
        <v>0</v>
      </c>
      <c r="V33" s="28">
        <f t="shared" si="1"/>
        <v>1156.74</v>
      </c>
      <c r="W33" s="1">
        <f t="shared" si="2"/>
        <v>1156.7400000000005</v>
      </c>
    </row>
    <row r="34" spans="2:23">
      <c r="B34" s="32"/>
      <c r="D34" s="2"/>
      <c r="E34" s="2">
        <f>SUMIFS(Table454[Amount],Table454[Category],Table1353[[#Headers],[Transportation]],Table454[Sub-Category],Table1353[[#This Row],[Transportation]])+SUMIFS(Table4460[Amount],Table4460[Category],Table1353[[#Headers],[Transportation]],Table4460[Sub-Category],Table1353[[#This Row],[Transportation]])</f>
        <v>0</v>
      </c>
      <c r="F34" s="3">
        <f>Table1353[[#This Row],[Budget]]-Table1353[[#This Row],[Actual]]</f>
        <v>0</v>
      </c>
      <c r="G34" s="32"/>
      <c r="H34" s="42"/>
      <c r="J34" s="31" t="s">
        <v>9</v>
      </c>
      <c r="K34" s="31" t="s">
        <v>0</v>
      </c>
      <c r="L34" s="31" t="s">
        <v>13</v>
      </c>
      <c r="M34" s="31" t="s">
        <v>10</v>
      </c>
      <c r="N34" s="31" t="s">
        <v>11</v>
      </c>
      <c r="O34" s="31" t="s">
        <v>16</v>
      </c>
      <c r="Q34" s="42"/>
      <c r="S34" s="27">
        <f t="shared" si="0"/>
        <v>45161</v>
      </c>
      <c r="T34" s="29">
        <f>SUMIFS(Table442061[Amount],Table442061[Date],S34,Table442061[Category],Table13655[[#Headers],[Income]])+SUMIFS(Table4460[Amount],Table4460[Date],S34,Table4460[Category],Table13655[[#Headers],[Income]])</f>
        <v>0</v>
      </c>
      <c r="U34" s="29">
        <f>SUMIFS(Table454[Amount],Table454[Date],S34,Table454[Category],"&lt;&gt;"&amp;Table13655[[#Headers],[Income]])+SUMIFS(Table4460[Amount],Table4460[Date],S34,Table4460[Category],"&lt;&gt;"&amp;Table13655[[#Headers],[Income]])</f>
        <v>0</v>
      </c>
      <c r="V34" s="29">
        <f t="shared" si="1"/>
        <v>1156.74</v>
      </c>
      <c r="W34" s="1">
        <f t="shared" si="2"/>
        <v>1156.7400000000005</v>
      </c>
    </row>
    <row r="35" spans="2:23">
      <c r="B35" s="32"/>
      <c r="C35" s="11"/>
      <c r="D35" s="12"/>
      <c r="E35" s="13">
        <f>SUMIFS(Table454[Amount],Table454[Category],Table1353[[#Headers],[Transportation]],Table454[Sub-Category],Table1353[[#This Row],[Transportation]])+SUMIFS(Table4460[Amount],Table4460[Category],Table1353[[#Headers],[Transportation]],Table4460[Sub-Category],Table1353[[#This Row],[Transportation]])</f>
        <v>0</v>
      </c>
      <c r="F35" s="13">
        <f>Table1353[[#This Row],[Budget]]-Table1353[[#This Row],[Actual]]</f>
        <v>0</v>
      </c>
      <c r="G35" s="32"/>
      <c r="H35" s="42"/>
      <c r="M35" s="4"/>
      <c r="N35" s="2"/>
      <c r="Q35" s="42"/>
      <c r="S35" s="30">
        <f t="shared" si="0"/>
        <v>45162</v>
      </c>
      <c r="T35" s="28">
        <f>SUMIFS(Table442061[Amount],Table442061[Date],S35,Table442061[Category],Table13655[[#Headers],[Income]])+SUMIFS(Table4460[Amount],Table4460[Date],S35,Table4460[Category],Table13655[[#Headers],[Income]])</f>
        <v>0</v>
      </c>
      <c r="U35" s="28">
        <f>SUMIFS(Table454[Amount],Table454[Date],S35,Table454[Category],"&lt;&gt;"&amp;Table13655[[#Headers],[Income]])+SUMIFS(Table4460[Amount],Table4460[Date],S35,Table4460[Category],"&lt;&gt;"&amp;Table13655[[#Headers],[Income]])</f>
        <v>0</v>
      </c>
      <c r="V35" s="28">
        <f t="shared" si="1"/>
        <v>1156.74</v>
      </c>
      <c r="W35" s="1">
        <f t="shared" si="2"/>
        <v>1156.7400000000005</v>
      </c>
    </row>
    <row r="36" spans="2:23">
      <c r="B36" s="32"/>
      <c r="C36" s="11"/>
      <c r="D36" s="12"/>
      <c r="E36" s="13">
        <f>SUMIFS(Table454[Amount],Table454[Category],Table1353[[#Headers],[Transportation]],Table454[Sub-Category],Table1353[[#This Row],[Transportation]])+SUMIFS(Table4460[Amount],Table4460[Category],Table1353[[#Headers],[Transportation]],Table4460[Sub-Category],Table1353[[#This Row],[Transportation]])</f>
        <v>0</v>
      </c>
      <c r="F36" s="13">
        <f>Table1353[[#This Row],[Budget]]-Table1353[[#This Row],[Actual]]</f>
        <v>0</v>
      </c>
      <c r="G36" s="32"/>
      <c r="H36" s="42"/>
      <c r="M36" s="4"/>
      <c r="N36" s="2"/>
      <c r="Q36" s="42"/>
      <c r="S36" s="27">
        <f t="shared" si="0"/>
        <v>45163</v>
      </c>
      <c r="T36" s="29">
        <f>SUMIFS(Table442061[Amount],Table442061[Date],S36,Table442061[Category],Table13655[[#Headers],[Income]])+SUMIFS(Table4460[Amount],Table4460[Date],S36,Table4460[Category],Table13655[[#Headers],[Income]])</f>
        <v>0</v>
      </c>
      <c r="U36" s="29">
        <f>SUMIFS(Table454[Amount],Table454[Date],S36,Table454[Category],"&lt;&gt;"&amp;Table13655[[#Headers],[Income]])+SUMIFS(Table4460[Amount],Table4460[Date],S36,Table4460[Category],"&lt;&gt;"&amp;Table13655[[#Headers],[Income]])</f>
        <v>0</v>
      </c>
      <c r="V36" s="29">
        <f t="shared" si="1"/>
        <v>1156.74</v>
      </c>
      <c r="W36" s="1">
        <f t="shared" si="2"/>
        <v>1156.7400000000005</v>
      </c>
    </row>
    <row r="37" spans="2:23">
      <c r="B37" s="32"/>
      <c r="C37" s="9" t="s">
        <v>20</v>
      </c>
      <c r="D37" s="10">
        <f>SUBTOTAL(109,Table1353[Budget])</f>
        <v>0</v>
      </c>
      <c r="E37" s="10">
        <f>SUBTOTAL(109,Table1353[Actual])</f>
        <v>0</v>
      </c>
      <c r="F37" s="10">
        <f>SUBTOTAL(109,Table1353[Variance])</f>
        <v>0</v>
      </c>
      <c r="G37" s="32"/>
      <c r="H37" s="42"/>
      <c r="M37" s="4"/>
      <c r="N37" s="2"/>
      <c r="Q37" s="42"/>
      <c r="S37" s="30">
        <f t="shared" si="0"/>
        <v>45164</v>
      </c>
      <c r="T37" s="28">
        <f>SUMIFS(Table442061[Amount],Table442061[Date],S37,Table442061[Category],Table13655[[#Headers],[Income]])+SUMIFS(Table4460[Amount],Table4460[Date],S37,Table4460[Category],Table13655[[#Headers],[Income]])</f>
        <v>0</v>
      </c>
      <c r="U37" s="28">
        <f>SUMIFS(Table454[Amount],Table454[Date],S37,Table454[Category],"&lt;&gt;"&amp;Table13655[[#Headers],[Income]])+SUMIFS(Table4460[Amount],Table4460[Date],S37,Table4460[Category],"&lt;&gt;"&amp;Table13655[[#Headers],[Income]])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45165</v>
      </c>
      <c r="T38" s="29">
        <f>SUMIFS(Table442061[Amount],Table442061[Date],S38,Table442061[Category],Table13655[[#Headers],[Income]])+SUMIFS(Table4460[Amount],Table4460[Date],S38,Table4460[Category],Table13655[[#Headers],[Income]])</f>
        <v>0</v>
      </c>
      <c r="U38" s="29">
        <f>SUMIFS(Table454[Amount],Table454[Date],S38,Table454[Category],"&lt;&gt;"&amp;Table13655[[#Headers],[Income]])+SUMIFS(Table4460[Amount],Table4460[Date],S38,Table4460[Category],"&lt;&gt;"&amp;Table13655[[#Headers],[Income]])</f>
        <v>0</v>
      </c>
      <c r="V38" s="29">
        <f t="shared" si="1"/>
        <v>1156.74</v>
      </c>
      <c r="W38" s="1">
        <f t="shared" si="2"/>
        <v>1156.7400000000005</v>
      </c>
    </row>
    <row r="39" spans="2:23">
      <c r="B39" s="32"/>
      <c r="C39" s="37" t="str">
        <f>CONCATENATE(Table1391059[[#Headers],[Bills]]," - Budget &amp; Tracking")</f>
        <v>Bills - Budget &amp; Tracking</v>
      </c>
      <c r="D39" s="38"/>
      <c r="E39" s="38"/>
      <c r="F39" s="39"/>
      <c r="G39" s="32"/>
      <c r="H39" s="42"/>
      <c r="J39" s="11"/>
      <c r="K39" s="11"/>
      <c r="L39" s="11"/>
      <c r="M39" s="24"/>
      <c r="N39" s="12"/>
      <c r="O39" s="11"/>
      <c r="Q39" s="42"/>
      <c r="S39" s="30">
        <f t="shared" si="0"/>
        <v>45166</v>
      </c>
      <c r="T39" s="28">
        <f>SUMIFS(Table442061[Amount],Table442061[Date],S39,Table442061[Category],Table13655[[#Headers],[Income]])+SUMIFS(Table4460[Amount],Table4460[Date],S39,Table4460[Category],Table13655[[#Headers],[Income]])</f>
        <v>0</v>
      </c>
      <c r="U39" s="28">
        <f>SUMIFS(Table454[Amount],Table454[Date],S39,Table454[Category],"&lt;&gt;"&amp;Table13655[[#Headers],[Income]])+SUMIFS(Table4460[Amount],Table4460[Date],S39,Table4460[Category],"&lt;&gt;"&amp;Table13655[[#Headers],[Income]])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45167</v>
      </c>
      <c r="T40" s="29">
        <f>SUMIFS(Table442061[Amount],Table442061[Date],S40,Table442061[Category],Table13655[[#Headers],[Income]])+SUMIFS(Table4460[Amount],Table4460[Date],S40,Table4460[Category],Table13655[[#Headers],[Income]])</f>
        <v>0</v>
      </c>
      <c r="U40" s="29">
        <f>SUMIFS(Table454[Amount],Table454[Date],S40,Table454[Category],"&lt;&gt;"&amp;Table13655[[#Headers],[Income]])+SUMIFS(Table4460[Amount],Table4460[Date],S40,Table4460[Category],"&lt;&gt;"&amp;Table13655[[#Headers],[Income]])</f>
        <v>0</v>
      </c>
      <c r="V40" s="29">
        <f t="shared" si="1"/>
        <v>1156.74</v>
      </c>
      <c r="W40" s="1">
        <f t="shared" si="2"/>
        <v>1156.7400000000005</v>
      </c>
    </row>
    <row r="41" spans="2:23">
      <c r="B41" s="32"/>
      <c r="D41" s="2"/>
      <c r="E41" s="2">
        <f>SUMIFS(Table454[Amount],Table454[Category],Table1391059[[#Headers],[Bills]],Table454[Sub-Category],Table1391059[[#This Row],[Bills]])+SUMIFS(Table4460[Amount],Table4460[Category],Table1391059[[#Headers],[Bills]],Table4460[Sub-Category],Table1391059[[#This Row],[Bills]])</f>
        <v>0</v>
      </c>
      <c r="F41" s="3">
        <f>Table1391059[[#This Row],[Budget]]-Table1391059[[#This Row],[Actual]]</f>
        <v>0</v>
      </c>
      <c r="G41" s="32"/>
      <c r="H41" s="42"/>
      <c r="Q41" s="42"/>
      <c r="S41" s="30">
        <f t="shared" si="0"/>
        <v>45168</v>
      </c>
      <c r="T41" s="28">
        <f>SUMIFS(Table442061[Amount],Table442061[Date],S41,Table442061[Category],Table13655[[#Headers],[Income]])+SUMIFS(Table4460[Amount],Table4460[Date],S41,Table4460[Category],Table13655[[#Headers],[Income]])</f>
        <v>0</v>
      </c>
      <c r="U41" s="28">
        <f>SUMIFS(Table454[Amount],Table454[Date],S41,Table454[Category],"&lt;&gt;"&amp;Table13655[[#Headers],[Income]])+SUMIFS(Table4460[Amount],Table4460[Date],S41,Table4460[Category],"&lt;&gt;"&amp;Table13655[[#Headers],[Income]])</f>
        <v>0</v>
      </c>
      <c r="V41" s="28">
        <f t="shared" si="1"/>
        <v>1156.74</v>
      </c>
      <c r="W41" s="1">
        <f t="shared" si="2"/>
        <v>1156.7400000000005</v>
      </c>
    </row>
    <row r="42" spans="2:23">
      <c r="B42" s="32"/>
      <c r="D42" s="2"/>
      <c r="E42" s="2">
        <f>SUMIFS(Table454[Amount],Table454[Category],Table1391059[[#Headers],[Bills]],Table454[Sub-Category],Table1391059[[#This Row],[Bills]])+SUMIFS(Table4460[Amount],Table4460[Category],Table1391059[[#Headers],[Bills]],Table4460[Sub-Category],Table1391059[[#This Row],[Bills]])</f>
        <v>0</v>
      </c>
      <c r="F42" s="3">
        <f>Table1391059[[#This Row],[Budget]]-Table1391059[[#This Row],[Actual]]</f>
        <v>0</v>
      </c>
      <c r="G42" s="32"/>
      <c r="H42" s="42"/>
      <c r="Q42" s="42"/>
      <c r="S42" s="27">
        <f t="shared" si="0"/>
        <v>45169</v>
      </c>
      <c r="T42" s="29">
        <f>SUMIFS(Table442061[Amount],Table442061[Date],S42,Table442061[Category],Table13655[[#Headers],[Income]])+SUMIFS(Table4460[Amount],Table4460[Date],S42,Table4460[Category],Table13655[[#Headers],[Income]])</f>
        <v>0</v>
      </c>
      <c r="U42" s="29">
        <f>SUMIFS(Table454[Amount],Table454[Date],S42,Table454[Category],"&lt;&gt;"&amp;Table13655[[#Headers],[Income]])+SUMIFS(Table4460[Amount],Table4460[Date],S42,Table4460[Category],"&lt;&gt;"&amp;Table13655[[#Headers],[Income]])</f>
        <v>0</v>
      </c>
      <c r="V42" s="29">
        <f t="shared" si="1"/>
        <v>1156.74</v>
      </c>
      <c r="W42" s="1">
        <f t="shared" si="2"/>
        <v>1156.7400000000005</v>
      </c>
    </row>
    <row r="43" spans="2:23">
      <c r="B43" s="32"/>
      <c r="C43" s="11"/>
      <c r="D43" s="12"/>
      <c r="E43" s="13">
        <f>SUMIFS(Table454[Amount],Table454[Category],Table1391059[[#Headers],[Bills]],Table454[Sub-Category],Table1391059[[#This Row],[Bills]])+SUMIFS(Table4460[Amount],Table4460[Category],Table1391059[[#Headers],[Bills]],Table4460[Sub-Category],Table1391059[[#This Row],[Bills]])</f>
        <v>0</v>
      </c>
      <c r="F43" s="13">
        <f>Table1391059[[#This Row],[Budget]]-Table1391059[[#This Row],[Actual]]</f>
        <v>0</v>
      </c>
      <c r="G43" s="32"/>
      <c r="H43" s="42"/>
      <c r="Q43" s="42"/>
      <c r="S43" s="8"/>
    </row>
    <row r="44" spans="2:23">
      <c r="B44" s="32"/>
      <c r="C44" s="11"/>
      <c r="D44" s="12"/>
      <c r="E44" s="13">
        <f>SUMIFS(Table454[Amount],Table454[Category],Table1391059[[#Headers],[Bills]],Table454[Sub-Category],Table1391059[[#This Row],[Bills]])+SUMIFS(Table4460[Amount],Table4460[Category],Table1391059[[#Headers],[Bills]],Table4460[Sub-Category],Table1391059[[#This Row],[Bills]])</f>
        <v>0</v>
      </c>
      <c r="F44" s="13">
        <f>Table1391059[[#This Row],[Budget]]-Table1391059[[#This Row],[Actual]]</f>
        <v>0</v>
      </c>
      <c r="G44" s="32"/>
      <c r="H44" s="42"/>
      <c r="Q44" s="42"/>
      <c r="S44" s="8"/>
    </row>
    <row r="45" spans="2:23">
      <c r="B45" s="32"/>
      <c r="C45" s="11"/>
      <c r="D45" s="12"/>
      <c r="E45" s="13">
        <f>SUMIFS(Table454[Amount],Table454[Category],Table1391059[[#Headers],[Bills]],Table454[Sub-Category],Table1391059[[#This Row],[Bills]])+SUMIFS(Table4460[Amount],Table4460[Category],Table1391059[[#Headers],[Bills]],Table4460[Sub-Category],Table1391059[[#This Row],[Bills]])</f>
        <v>0</v>
      </c>
      <c r="F45" s="13">
        <f>Table1391059[[#This Row],[Budget]]-Table1391059[[#This Row],[Actual]]</f>
        <v>0</v>
      </c>
      <c r="G45" s="32"/>
      <c r="H45" s="42"/>
      <c r="Q45" s="42"/>
    </row>
    <row r="46" spans="2:23">
      <c r="B46" s="32"/>
      <c r="C46" s="9" t="s">
        <v>20</v>
      </c>
      <c r="D46" s="10">
        <f>SUBTOTAL(109,Table1391059[Budget])</f>
        <v>0</v>
      </c>
      <c r="E46" s="10">
        <f>SUBTOTAL(109,Table1391059[Actual])</f>
        <v>0</v>
      </c>
      <c r="F46" s="10">
        <f>SUBTOTAL(109,Table1391059[Variance])</f>
        <v>0</v>
      </c>
      <c r="G46" s="32"/>
      <c r="H46" s="42"/>
      <c r="Q46" s="42"/>
    </row>
    <row r="47" spans="2:23">
      <c r="B47" s="32"/>
      <c r="C47" s="20"/>
      <c r="D47" s="21"/>
      <c r="E47" s="21"/>
      <c r="F47" s="22"/>
      <c r="G47" s="32"/>
      <c r="H47" s="42"/>
      <c r="Q47" s="42"/>
    </row>
    <row r="48" spans="2:23">
      <c r="B48" s="32"/>
      <c r="C48" s="37" t="str">
        <f>CONCATENATE(Table13756[[#Headers],[Living]],"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SUMIFS(Table454[Amount],Table454[Category],Table13756[[#Headers],[Living]],Table454[Sub-Category],Table13756[[#This Row],[Living]])+SUMIFS(Table4460[Amount],Table4460[Category],Table13756[[#Headers],[Living]],Table4460[Sub-Category],Table13756[[#This Row],[Living]])</f>
        <v>0</v>
      </c>
      <c r="F50" s="3">
        <f>Table13756[[#This Row],[Budget]]-Table13756[[#This Row],[Actual]]</f>
        <v>0</v>
      </c>
      <c r="G50" s="32"/>
      <c r="H50" s="42"/>
      <c r="Q50" s="42"/>
    </row>
    <row r="51" spans="2:17">
      <c r="B51" s="32"/>
      <c r="D51" s="2"/>
      <c r="E51" s="2">
        <f>SUMIFS(Table454[Amount],Table454[Category],Table13756[[#Headers],[Living]],Table454[Sub-Category],Table13756[[#This Row],[Living]])+SUMIFS(Table4460[Amount],Table4460[Category],Table13756[[#Headers],[Living]],Table4460[Sub-Category],Table13756[[#This Row],[Living]])</f>
        <v>0</v>
      </c>
      <c r="F51" s="3">
        <f>Table13756[[#This Row],[Budget]]-Table13756[[#This Row],[Actual]]</f>
        <v>0</v>
      </c>
      <c r="G51" s="32"/>
      <c r="H51" s="42"/>
      <c r="Q51" s="42"/>
    </row>
    <row r="52" spans="2:17">
      <c r="B52" s="32"/>
      <c r="C52" s="11"/>
      <c r="D52" s="12"/>
      <c r="E52" s="13">
        <f>SUMIFS(Table454[Amount],Table454[Category],Table13756[[#Headers],[Living]],Table454[Sub-Category],Table13756[[#This Row],[Living]])+SUMIFS(Table4460[Amount],Table4460[Category],Table13756[[#Headers],[Living]],Table4460[Sub-Category],Table13756[[#This Row],[Living]])</f>
        <v>0</v>
      </c>
      <c r="F52" s="13">
        <f>Table13756[[#This Row],[Budget]]-Table13756[[#This Row],[Actual]]</f>
        <v>0</v>
      </c>
      <c r="G52" s="32"/>
      <c r="H52" s="42"/>
      <c r="Q52" s="42"/>
    </row>
    <row r="53" spans="2:17">
      <c r="B53" s="32"/>
      <c r="C53" s="11"/>
      <c r="D53" s="12"/>
      <c r="E53" s="13">
        <f>SUMIFS(Table454[Amount],Table454[Category],Table13756[[#Headers],[Living]],Table454[Sub-Category],Table13756[[#This Row],[Living]])+SUMIFS(Table4460[Amount],Table4460[Category],Table13756[[#Headers],[Living]],Table4460[Sub-Category],Table13756[[#This Row],[Living]])</f>
        <v>0</v>
      </c>
      <c r="F53" s="13">
        <f>Table13756[[#This Row],[Budget]]-Table13756[[#This Row],[Actual]]</f>
        <v>0</v>
      </c>
      <c r="G53" s="32"/>
      <c r="H53" s="42"/>
      <c r="Q53" s="42"/>
    </row>
    <row r="54" spans="2:17">
      <c r="B54" s="32"/>
      <c r="C54" s="9" t="s">
        <v>20</v>
      </c>
      <c r="D54" s="10">
        <f>SUBTOTAL(109,Table13756[Budget])</f>
        <v>0</v>
      </c>
      <c r="E54" s="10">
        <f>SUBTOTAL(109,Table13756[Actual])</f>
        <v>0</v>
      </c>
      <c r="F54" s="10">
        <f>SUBTOTAL(109,Table13756[Variance])</f>
        <v>0</v>
      </c>
      <c r="G54" s="32"/>
      <c r="H54" s="42"/>
      <c r="Q54" s="42"/>
    </row>
    <row r="55" spans="2:17">
      <c r="B55" s="32"/>
      <c r="C55" s="20"/>
      <c r="D55" s="21"/>
      <c r="E55" s="21"/>
      <c r="F55" s="22"/>
      <c r="G55" s="32"/>
      <c r="H55" s="42"/>
      <c r="Q55" s="42"/>
    </row>
    <row r="56" spans="2:17">
      <c r="B56" s="32"/>
      <c r="C56" s="37" t="str">
        <f>CONCATENATE(Table13857[[#Headers],[Entertainment]],"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SUMIFS(Table454[Amount],Table454[Category],Table13857[[#Headers],[Entertainment]],Table454[Sub-Category],Table13857[[#This Row],[Entertainment]])+SUMIFS(Table4460[Amount],Table4460[Category],Table13857[[#Headers],[Entertainment]],Table4460[Sub-Category],Table13857[[#This Row],[Entertainment]])</f>
        <v>0</v>
      </c>
      <c r="F58" s="3">
        <f>Table13857[[#This Row],[Budget]]-Table13857[[#This Row],[Actual]]</f>
        <v>0</v>
      </c>
      <c r="G58" s="32"/>
      <c r="H58" s="42"/>
      <c r="Q58" s="42"/>
    </row>
    <row r="59" spans="2:17">
      <c r="B59" s="33"/>
      <c r="D59" s="2"/>
      <c r="E59" s="2">
        <f>SUMIFS(Table454[Amount],Table454[Category],Table13857[[#Headers],[Entertainment]],Table454[Sub-Category],Table13857[[#This Row],[Entertainment]])+SUMIFS(Table4460[Amount],Table4460[Category],Table13857[[#Headers],[Entertainment]],Table4460[Sub-Category],Table13857[[#This Row],[Entertainment]])</f>
        <v>0</v>
      </c>
      <c r="F59" s="3">
        <f>Table13857[[#This Row],[Budget]]-Table13857[[#This Row],[Actual]]</f>
        <v>0</v>
      </c>
      <c r="G59" s="33"/>
      <c r="H59" s="42"/>
      <c r="Q59" s="42"/>
    </row>
    <row r="60" spans="2:17">
      <c r="C60" s="9" t="s">
        <v>20</v>
      </c>
      <c r="D60" s="10">
        <f>SUBTOTAL(109,Table13857[Budget])</f>
        <v>0</v>
      </c>
      <c r="E60" s="10">
        <f>SUBTOTAL(109,Table13857[Actual])</f>
        <v>0</v>
      </c>
      <c r="F60" s="10">
        <f>SUBTOTAL(109,Table13857[Variance])</f>
        <v>0</v>
      </c>
      <c r="H60" s="42"/>
      <c r="Q60" s="42"/>
    </row>
    <row r="61" spans="2:17">
      <c r="C61" s="26"/>
      <c r="D61" s="23"/>
      <c r="E61" s="23"/>
      <c r="F61" s="23"/>
      <c r="H61" s="42"/>
      <c r="Q61" s="42"/>
    </row>
    <row r="62" spans="2:17">
      <c r="C62" s="37" t="str">
        <f>CONCATENATE(Table13958[[#Headers],[Misc.]],"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SUMIFS(Table454[Amount],Table454[Category],Table13958[[#Headers],[Misc.]],Table454[Sub-Category],Table13958[[#This Row],[Misc.]])+SUMIFS(Table4460[Amount],Table4460[Category],Table13958[[#Headers],[Misc.]],Table4460[Sub-Category],Table13958[[#This Row],[Misc.]])</f>
        <v>0</v>
      </c>
      <c r="F64" s="13">
        <f>Table13958[[#This Row],[Budget]]-Table13958[[#This Row],[Actual]]</f>
        <v>0</v>
      </c>
      <c r="H64" s="42"/>
      <c r="Q64" s="42"/>
    </row>
    <row r="65" spans="3:17">
      <c r="C65" s="11"/>
      <c r="D65" s="12"/>
      <c r="E65" s="13">
        <f>SUMIFS(Table454[Amount],Table454[Category],Table13958[[#Headers],[Misc.]],Table454[Sub-Category],Table13958[[#This Row],[Misc.]])+SUMIFS(Table4460[Amount],Table4460[Category],Table13958[[#Headers],[Misc.]],Table4460[Sub-Category],Table13958[[#This Row],[Misc.]])</f>
        <v>0</v>
      </c>
      <c r="F65" s="13">
        <f>Table13958[[#This Row],[Budget]]-Table13958[[#This Row],[Actual]]</f>
        <v>0</v>
      </c>
      <c r="H65" s="42"/>
      <c r="Q65" s="42"/>
    </row>
    <row r="66" spans="3:17">
      <c r="C66" s="9" t="s">
        <v>20</v>
      </c>
      <c r="D66" s="10">
        <f>SUBTOTAL(109,Table13958[Budget])</f>
        <v>0</v>
      </c>
      <c r="E66" s="10">
        <f>SUBTOTAL(109,Table13958[Actual])</f>
        <v>0</v>
      </c>
      <c r="F66" s="10">
        <f>SUBTOTAL(109,Table13958[Variance])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27" priority="16" operator="equal">
      <formula>TODAY()</formula>
    </cfRule>
  </conditionalFormatting>
  <conditionalFormatting sqref="T12 T20:U42">
    <cfRule type="expression" dxfId="126" priority="15">
      <formula>IF($S12=TODAY(),TRUE)</formula>
    </cfRule>
  </conditionalFormatting>
  <conditionalFormatting sqref="U12">
    <cfRule type="expression" dxfId="125" priority="14">
      <formula>IF($S12=TODAY(),TRUE)</formula>
    </cfRule>
  </conditionalFormatting>
  <conditionalFormatting sqref="V12 V20:V42">
    <cfRule type="expression" dxfId="124" priority="13">
      <formula>IF($S12=TODAY(),TRUE)</formula>
    </cfRule>
  </conditionalFormatting>
  <conditionalFormatting sqref="S13:S15">
    <cfRule type="cellIs" dxfId="123" priority="12" operator="equal">
      <formula>TODAY()</formula>
    </cfRule>
  </conditionalFormatting>
  <conditionalFormatting sqref="T13:T15">
    <cfRule type="expression" dxfId="122" priority="11">
      <formula>IF($S13=TODAY(),TRUE)</formula>
    </cfRule>
  </conditionalFormatting>
  <conditionalFormatting sqref="U13:U15">
    <cfRule type="expression" dxfId="121" priority="10">
      <formula>IF($S13=TODAY(),TRUE)</formula>
    </cfRule>
  </conditionalFormatting>
  <conditionalFormatting sqref="V13:V15">
    <cfRule type="expression" dxfId="120" priority="9">
      <formula>IF($S13=TODAY(),TRUE)</formula>
    </cfRule>
  </conditionalFormatting>
  <conditionalFormatting sqref="S16 S20 S24 S28 S32 S36 S40">
    <cfRule type="cellIs" dxfId="119" priority="8" operator="equal">
      <formula>TODAY()</formula>
    </cfRule>
  </conditionalFormatting>
  <conditionalFormatting sqref="T16">
    <cfRule type="expression" dxfId="118" priority="7">
      <formula>IF($S16=TODAY(),TRUE)</formula>
    </cfRule>
  </conditionalFormatting>
  <conditionalFormatting sqref="U16">
    <cfRule type="expression" dxfId="117" priority="6">
      <formula>IF($S16=TODAY(),TRUE)</formula>
    </cfRule>
  </conditionalFormatting>
  <conditionalFormatting sqref="V16">
    <cfRule type="expression" dxfId="116" priority="5">
      <formula>IF($S16=TODAY(),TRUE)</formula>
    </cfRule>
  </conditionalFormatting>
  <conditionalFormatting sqref="S17:S19 S21:S23 S25:S27 S29:S31 S33:S35 S37:S39 S41:S42">
    <cfRule type="cellIs" dxfId="115" priority="4" operator="equal">
      <formula>TODAY()</formula>
    </cfRule>
  </conditionalFormatting>
  <conditionalFormatting sqref="T17:T19">
    <cfRule type="expression" dxfId="114" priority="3">
      <formula>IF($S17=TODAY(),TRUE)</formula>
    </cfRule>
  </conditionalFormatting>
  <conditionalFormatting sqref="U17:U19">
    <cfRule type="expression" dxfId="113" priority="2">
      <formula>IF($S17=TODAY(),TRUE)</formula>
    </cfRule>
  </conditionalFormatting>
  <conditionalFormatting sqref="V17:V19">
    <cfRule type="expression" dxfId="112"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400-000000000000}">
      <formula1>$U$2:$U$4</formula1>
    </dataValidation>
    <dataValidation type="list" allowBlank="1" showInputMessage="1" showErrorMessage="1" sqref="K35:K40 K19:K32 K12:K16" xr:uid="{00000000-0002-0000-0400-000001000000}">
      <formula1>$R$2:$R$8</formula1>
    </dataValidation>
    <dataValidation type="list" allowBlank="1" showInputMessage="1" showErrorMessage="1" sqref="L35:L40 L12:L16 L19:L32" xr:uid="{00000000-0002-0000-04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090B20F4-6DBA-4B6A-A953-1475C8A81A09}">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6542BA14-51DB-407B-8E81-70B513A19480}">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DATE(YEAR(Mo.5!C1),MONTH(Mo.5!C1)+1,DAY(Mo.5!C1))</f>
        <v>45170</v>
      </c>
      <c r="D1" s="61"/>
      <c r="E1" s="61"/>
      <c r="F1" s="61"/>
      <c r="R1" s="45" t="s">
        <v>0</v>
      </c>
      <c r="S1" s="45" t="s">
        <v>1</v>
      </c>
      <c r="T1" s="45" t="s">
        <v>2</v>
      </c>
      <c r="U1" s="45" t="s">
        <v>16</v>
      </c>
      <c r="V1" s="45" t="s">
        <v>45</v>
      </c>
    </row>
    <row r="2" spans="2:23">
      <c r="D2" s="18" t="s">
        <v>1</v>
      </c>
      <c r="E2" s="19" t="s">
        <v>2</v>
      </c>
      <c r="F2" s="19" t="s">
        <v>14</v>
      </c>
      <c r="R2" s="45" t="str">
        <f>Table13665[[#Headers],[Income]]</f>
        <v>Income</v>
      </c>
      <c r="S2" s="45">
        <f>SUM(Table13665[Budget])</f>
        <v>0</v>
      </c>
      <c r="T2" s="45">
        <f>SUM(Table13665[Actual])</f>
        <v>0</v>
      </c>
      <c r="U2" s="45" t="s">
        <v>19</v>
      </c>
      <c r="V2" s="45">
        <f>AVERAGE(V12:V42)</f>
        <v>1156.7400000000005</v>
      </c>
    </row>
    <row r="3" spans="2:23">
      <c r="C3" s="17" t="s">
        <v>35</v>
      </c>
      <c r="D3" s="5">
        <f>Mo.5!D6</f>
        <v>1156.74</v>
      </c>
      <c r="E3" s="14">
        <f>Mo.5!E6</f>
        <v>1156.74</v>
      </c>
      <c r="F3" s="14">
        <f>E3-D3</f>
        <v>0</v>
      </c>
      <c r="R3" s="45" t="str">
        <f>Table162[[#Headers],[Housing]]</f>
        <v>Housing</v>
      </c>
      <c r="S3" s="45">
        <f>SUM(Table162[Budget])</f>
        <v>0</v>
      </c>
      <c r="T3" s="45">
        <f>SUM(Table162[Actual])</f>
        <v>0</v>
      </c>
      <c r="U3" s="45" t="s">
        <v>17</v>
      </c>
      <c r="V3" s="45"/>
    </row>
    <row r="4" spans="2:23">
      <c r="C4" s="17" t="s">
        <v>32</v>
      </c>
      <c r="D4" s="5">
        <f>Table13665[[#Totals],[Budget]]</f>
        <v>0</v>
      </c>
      <c r="E4" s="5">
        <f>Table13665[[#Totals],[Actual]]</f>
        <v>0</v>
      </c>
      <c r="F4" s="5">
        <f>E4-D4</f>
        <v>0</v>
      </c>
      <c r="R4" s="45" t="str">
        <f>Table1363[[#Headers],[Transportation]]</f>
        <v>Transportation</v>
      </c>
      <c r="S4" s="45">
        <f>SUM(Table1363[Budget])</f>
        <v>0</v>
      </c>
      <c r="T4" s="45">
        <f>SUM(Table1363[Actual])</f>
        <v>0</v>
      </c>
      <c r="U4" s="45" t="s">
        <v>18</v>
      </c>
      <c r="V4" s="45"/>
    </row>
    <row r="5" spans="2:23">
      <c r="C5" s="17" t="s">
        <v>33</v>
      </c>
      <c r="D5" s="5">
        <f>Table162[[#Totals],[Budget]]+Table1363[[#Totals],[Budget]]+Table1391069[[#Totals],[Budget]]+Table13766[[#Totals],[Budget]]+Table13867[[#Totals],[Budget]]+Table13968[[#Totals],[Budget]]</f>
        <v>0</v>
      </c>
      <c r="E5" s="5">
        <f>Table162[[#Totals],[Actual]]+Table1363[[#Totals],[Actual]]+Table1391069[[#Totals],[Actual]]+Table13766[[#Totals],[Actual]]+Table13867[[#Totals],[Actual]]+Table13968[[#Totals],[Actual]]</f>
        <v>0</v>
      </c>
      <c r="F5" s="5">
        <f>E5-D5</f>
        <v>0</v>
      </c>
      <c r="R5" s="45" t="str">
        <f>Table1391069[[#Headers],[Bills]]</f>
        <v>Bills</v>
      </c>
      <c r="S5" s="45">
        <f>SUM(Table1391069[Budget])</f>
        <v>0</v>
      </c>
      <c r="T5" s="45">
        <f>SUM(Table1391069[Actual])</f>
        <v>0</v>
      </c>
      <c r="U5" s="45"/>
      <c r="V5" s="45"/>
    </row>
    <row r="6" spans="2:23">
      <c r="C6" s="15" t="s">
        <v>34</v>
      </c>
      <c r="D6" s="16">
        <f>D3+D4-D5</f>
        <v>1156.74</v>
      </c>
      <c r="E6" s="16">
        <f>E3+E4-E5</f>
        <v>1156.74</v>
      </c>
      <c r="F6" s="16">
        <f>F3+F4-F5</f>
        <v>0</v>
      </c>
      <c r="R6" s="45" t="str">
        <f>Table13766[[#Headers],[Living]]</f>
        <v>Living</v>
      </c>
      <c r="S6" s="45">
        <f>SUM(Table13766[Budget])</f>
        <v>0</v>
      </c>
      <c r="T6" s="45">
        <f>SUM(Table13766[Actual])</f>
        <v>0</v>
      </c>
      <c r="U6" s="45"/>
      <c r="V6" s="45"/>
    </row>
    <row r="7" spans="2:23" ht="3.75" customHeight="1">
      <c r="D7" s="2"/>
      <c r="R7" s="45" t="str">
        <f>Table13867[[#Headers],[Entertainment]]</f>
        <v>Entertainment</v>
      </c>
      <c r="S7" s="45">
        <f>SUM(Table13867[Budget])</f>
        <v>0</v>
      </c>
      <c r="T7" s="45">
        <f>SUM(Table13867[Actual])</f>
        <v>0</v>
      </c>
      <c r="U7" s="45"/>
      <c r="V7" s="45"/>
    </row>
    <row r="8" spans="2:23" ht="1.5" customHeight="1">
      <c r="C8" s="42"/>
      <c r="D8" s="43"/>
      <c r="E8" s="42"/>
      <c r="F8" s="42"/>
      <c r="G8" s="42"/>
      <c r="H8" s="42"/>
      <c r="I8" s="42"/>
      <c r="J8" s="42"/>
      <c r="K8" s="42"/>
      <c r="L8" s="42"/>
      <c r="M8" s="42"/>
      <c r="N8" s="42"/>
      <c r="O8" s="42"/>
      <c r="P8" s="42"/>
      <c r="Q8" s="42"/>
      <c r="R8" s="44" t="str">
        <f>Table13968[[#Headers],[Misc.]]</f>
        <v>Misc.</v>
      </c>
      <c r="S8" s="44">
        <f>SUM(Table13968[Budget])</f>
        <v>0</v>
      </c>
      <c r="T8" s="44">
        <f>SUM(Table13968[Actual])</f>
        <v>0</v>
      </c>
      <c r="U8" s="44"/>
      <c r="V8" s="44"/>
    </row>
    <row r="9" spans="2:23" ht="3.75" customHeight="1">
      <c r="D9" s="2"/>
      <c r="H9" s="42"/>
      <c r="Q9" s="42"/>
    </row>
    <row r="10" spans="2:23" s="25" customFormat="1">
      <c r="B10" s="35"/>
      <c r="C10" s="37" t="str">
        <f>CONCATENATE(Table13665[[#Headers],[Income]],"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SUMIFS(Table442071[Amount],Table442071[Category],Table13665[[#Headers],[Income]],Table442071[Sub-Category],Table13665[[#This Row],[Income]])+SUMIFS(Table4470[Amount],Table4470[Category],Table13665[[#Headers],[Income]],Table4470[Sub-Category],Table13665[[#This Row],[Income]])</f>
        <v>0</v>
      </c>
      <c r="F12" s="3">
        <f>Table13665[[#This Row],[Actual]]-Table13665[[#This Row],[Budget]]</f>
        <v>0</v>
      </c>
      <c r="G12" s="32"/>
      <c r="H12" s="42"/>
      <c r="M12" s="4"/>
      <c r="N12" s="2"/>
      <c r="Q12" s="42"/>
      <c r="S12" s="27">
        <f>C1</f>
        <v>45170</v>
      </c>
      <c r="T12" s="29">
        <f>SUMIFS(Table442071[Amount],Table442071[Date],S12,Table442071[Category],Table13665[[#Headers],[Income]])+SUMIFS(Table4470[Amount],Table4470[Date],S12,Table4470[Category],Table13665[[#Headers],[Income]])</f>
        <v>0</v>
      </c>
      <c r="U12" s="29">
        <f>SUMIFS(Table464[Amount],Table464[Date],S12,Table464[Category],"&lt;&gt;"&amp;Table13665[[#Headers],[Income]])+SUMIFS(Table4470[Amount],Table4470[Date],S12,Table4470[Category],"&lt;&gt;"&amp;Table13665[[#Headers],[Income]])</f>
        <v>0</v>
      </c>
      <c r="V12" s="29">
        <f>E3+T12-U12</f>
        <v>1156.74</v>
      </c>
      <c r="W12" s="1">
        <f>V2</f>
        <v>1156.7400000000005</v>
      </c>
    </row>
    <row r="13" spans="2:23">
      <c r="B13" s="32"/>
      <c r="D13" s="2"/>
      <c r="E13" s="2">
        <f>SUMIFS(Table442071[Amount],Table442071[Category],Table13665[[#Headers],[Income]],Table442071[Sub-Category],Table13665[[#This Row],[Income]])+SUMIFS(Table4470[Amount],Table4470[Category],Table13665[[#Headers],[Income]],Table4470[Sub-Category],Table13665[[#This Row],[Income]])</f>
        <v>0</v>
      </c>
      <c r="F13" s="3">
        <f>Table13665[[#This Row],[Actual]]-Table13665[[#This Row],[Budget]]</f>
        <v>0</v>
      </c>
      <c r="G13" s="32"/>
      <c r="H13" s="42"/>
      <c r="M13" s="4"/>
      <c r="N13" s="2"/>
      <c r="Q13" s="42"/>
      <c r="S13" s="30">
        <f t="shared" ref="S13:S42" si="0">S12+1</f>
        <v>45171</v>
      </c>
      <c r="T13" s="28">
        <f>SUMIFS(Table442071[Amount],Table442071[Date],S13,Table442071[Category],Table13665[[#Headers],[Income]])+SUMIFS(Table4470[Amount],Table4470[Date],S13,Table4470[Category],Table13665[[#Headers],[Income]])</f>
        <v>0</v>
      </c>
      <c r="U13" s="28">
        <f>SUMIFS(Table464[Amount],Table464[Date],S13,Table464[Category],"&lt;&gt;"&amp;Table13665[[#Headers],[Income]])+SUMIFS(Table4470[Amount],Table4470[Date],S13,Table4470[Category],"&lt;&gt;"&amp;Table13665[[#Headers],[Income]])</f>
        <v>0</v>
      </c>
      <c r="V13" s="28">
        <f>V12+T13-U13</f>
        <v>1156.74</v>
      </c>
      <c r="W13" s="1">
        <f>W12</f>
        <v>1156.7400000000005</v>
      </c>
    </row>
    <row r="14" spans="2:23">
      <c r="B14" s="32"/>
      <c r="D14" s="12"/>
      <c r="E14" s="12">
        <f>SUMIFS(Table442071[Amount],Table442071[Category],Table13665[[#Headers],[Income]],Table442071[Sub-Category],Table13665[[#This Row],[Income]])+SUMIFS(Table4470[Amount],Table4470[Category],Table13665[[#Headers],[Income]],Table4470[Sub-Category],Table13665[[#This Row],[Income]])</f>
        <v>0</v>
      </c>
      <c r="F14" s="2">
        <f>Table13665[[#This Row],[Actual]]-Table13665[[#This Row],[Budget]]</f>
        <v>0</v>
      </c>
      <c r="G14" s="32"/>
      <c r="H14" s="42"/>
      <c r="M14" s="4"/>
      <c r="N14" s="2"/>
      <c r="Q14" s="42"/>
      <c r="S14" s="27">
        <f t="shared" si="0"/>
        <v>45172</v>
      </c>
      <c r="T14" s="29">
        <f>SUMIFS(Table442071[Amount],Table442071[Date],S14,Table442071[Category],Table13665[[#Headers],[Income]])+SUMIFS(Table4470[Amount],Table4470[Date],S14,Table4470[Category],Table13665[[#Headers],[Income]])</f>
        <v>0</v>
      </c>
      <c r="U14" s="29">
        <f>SUMIFS(Table464[Amount],Table464[Date],S14,Table464[Category],"&lt;&gt;"&amp;Table13665[[#Headers],[Income]])+SUMIFS(Table4470[Amount],Table4470[Date],S14,Table4470[Category],"&lt;&gt;"&amp;Table13665[[#Headers],[Income]])</f>
        <v>0</v>
      </c>
      <c r="V14" s="29">
        <f t="shared" ref="V14:V42" si="1">V13+T14-U14</f>
        <v>1156.74</v>
      </c>
      <c r="W14" s="1">
        <f t="shared" ref="W14:W42" si="2">W13</f>
        <v>1156.7400000000005</v>
      </c>
    </row>
    <row r="15" spans="2:23">
      <c r="B15" s="32"/>
      <c r="D15" s="2"/>
      <c r="E15" s="3">
        <f>SUMIFS(Table442071[Amount],Table442071[Category],Table13665[[#Headers],[Income]],Table442071[Sub-Category],Table13665[[#This Row],[Income]])+SUMIFS(Table4470[Amount],Table4470[Category],Table13665[[#Headers],[Income]],Table4470[Sub-Category],Table13665[[#This Row],[Income]])</f>
        <v>0</v>
      </c>
      <c r="F15" s="3">
        <f>Table13665[[#This Row],[Actual]]-Table13665[[#This Row],[Budget]]</f>
        <v>0</v>
      </c>
      <c r="G15" s="32"/>
      <c r="H15" s="42"/>
      <c r="J15" s="11"/>
      <c r="K15" s="11"/>
      <c r="L15" s="11"/>
      <c r="M15" s="24"/>
      <c r="N15" s="12"/>
      <c r="O15" s="11"/>
      <c r="Q15" s="42"/>
      <c r="S15" s="30">
        <f t="shared" si="0"/>
        <v>45173</v>
      </c>
      <c r="T15" s="28">
        <f>SUMIFS(Table442071[Amount],Table442071[Date],S15,Table442071[Category],Table13665[[#Headers],[Income]])+SUMIFS(Table4470[Amount],Table4470[Date],S15,Table4470[Category],Table13665[[#Headers],[Income]])</f>
        <v>0</v>
      </c>
      <c r="U15" s="28">
        <f>SUMIFS(Table464[Amount],Table464[Date],S15,Table464[Category],"&lt;&gt;"&amp;Table13665[[#Headers],[Income]])+SUMIFS(Table4470[Amount],Table4470[Date],S15,Table4470[Category],"&lt;&gt;"&amp;Table13665[[#Headers],[Income]])</f>
        <v>0</v>
      </c>
      <c r="V15" s="28">
        <f t="shared" si="1"/>
        <v>1156.74</v>
      </c>
      <c r="W15" s="1">
        <f t="shared" si="2"/>
        <v>1156.7400000000005</v>
      </c>
    </row>
    <row r="16" spans="2:23">
      <c r="B16" s="32"/>
      <c r="C16" s="6" t="s">
        <v>20</v>
      </c>
      <c r="D16" s="7">
        <f>SUBTOTAL(109,Table13665[Budget])</f>
        <v>0</v>
      </c>
      <c r="E16" s="7">
        <f>SUBTOTAL(109,Table13665[Actual])</f>
        <v>0</v>
      </c>
      <c r="F16" s="7">
        <f>SUBTOTAL(109,Table13665[Variance])</f>
        <v>0</v>
      </c>
      <c r="G16" s="36"/>
      <c r="H16" s="43"/>
      <c r="I16" s="2"/>
      <c r="M16" s="4"/>
      <c r="N16" s="2"/>
      <c r="Q16" s="43"/>
      <c r="S16" s="27">
        <f t="shared" si="0"/>
        <v>45174</v>
      </c>
      <c r="T16" s="29">
        <f>SUMIFS(Table442071[Amount],Table442071[Date],S16,Table442071[Category],Table13665[[#Headers],[Income]])+SUMIFS(Table4470[Amount],Table4470[Date],S16,Table4470[Category],Table13665[[#Headers],[Income]])</f>
        <v>0</v>
      </c>
      <c r="U16" s="29">
        <f>SUMIFS(Table464[Amount],Table464[Date],S16,Table464[Category],"&lt;&gt;"&amp;Table13665[[#Headers],[Income]])+SUMIFS(Table4470[Amount],Table4470[Date],S16,Table4470[Category],"&lt;&gt;"&amp;Table13665[[#Headers],[Income]])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45175</v>
      </c>
      <c r="T17" s="28">
        <f>SUMIFS(Table442071[Amount],Table442071[Date],S17,Table442071[Category],Table13665[[#Headers],[Income]])+SUMIFS(Table4470[Amount],Table4470[Date],S17,Table4470[Category],Table13665[[#Headers],[Income]])</f>
        <v>0</v>
      </c>
      <c r="U17" s="28">
        <f>SUMIFS(Table464[Amount],Table464[Date],S17,Table464[Category],"&lt;&gt;"&amp;Table13665[[#Headers],[Income]])+SUMIFS(Table4470[Amount],Table4470[Date],S17,Table4470[Category],"&lt;&gt;"&amp;Table13665[[#Headers],[Income]])</f>
        <v>0</v>
      </c>
      <c r="V17" s="28">
        <f t="shared" si="1"/>
        <v>1156.74</v>
      </c>
      <c r="W17" s="1">
        <f t="shared" si="2"/>
        <v>1156.7400000000005</v>
      </c>
    </row>
    <row r="18" spans="2:23">
      <c r="B18" s="32"/>
      <c r="C18" s="37" t="str">
        <f>CONCATENATE(Table162[[#Headers],[Housing]],"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45176</v>
      </c>
      <c r="T18" s="29">
        <f>SUMIFS(Table442071[Amount],Table442071[Date],S18,Table442071[Category],Table13665[[#Headers],[Income]])+SUMIFS(Table4470[Amount],Table4470[Date],S18,Table4470[Category],Table13665[[#Headers],[Income]])</f>
        <v>0</v>
      </c>
      <c r="U18" s="29">
        <f>SUMIFS(Table464[Amount],Table464[Date],S18,Table464[Category],"&lt;&gt;"&amp;Table13665[[#Headers],[Income]])+SUMIFS(Table4470[Amount],Table4470[Date],S18,Table4470[Category],"&lt;&gt;"&amp;Table13665[[#Headers],[Income]])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45177</v>
      </c>
      <c r="T19" s="28">
        <f>SUMIFS(Table442071[Amount],Table442071[Date],S19,Table442071[Category],Table13665[[#Headers],[Income]])+SUMIFS(Table4470[Amount],Table4470[Date],S19,Table4470[Category],Table13665[[#Headers],[Income]])</f>
        <v>0</v>
      </c>
      <c r="U19" s="28">
        <f>SUMIFS(Table464[Amount],Table464[Date],S19,Table464[Category],"&lt;&gt;"&amp;Table13665[[#Headers],[Income]])+SUMIFS(Table4470[Amount],Table4470[Date],S19,Table4470[Category],"&lt;&gt;"&amp;Table13665[[#Headers],[Income]])</f>
        <v>0</v>
      </c>
      <c r="V19" s="28">
        <f t="shared" si="1"/>
        <v>1156.74</v>
      </c>
      <c r="W19" s="1">
        <f t="shared" si="2"/>
        <v>1156.7400000000005</v>
      </c>
    </row>
    <row r="20" spans="2:23">
      <c r="B20" s="32"/>
      <c r="D20" s="2"/>
      <c r="E20" s="2">
        <f>SUMIFS(Table464[Amount],Table464[Category],Table162[[#Headers],[Housing]],Table464[Sub-Category],Table162[[#This Row],[Housing]])+SUMIFS(Table4470[Amount],Table4470[Category],Table162[[#Headers],[Housing]],Table4470[Sub-Category],Table162[[#This Row],[Housing]])</f>
        <v>0</v>
      </c>
      <c r="F20" s="3">
        <f>Table162[[#This Row],[Budget]]-Table162[[#This Row],[Actual]]</f>
        <v>0</v>
      </c>
      <c r="G20" s="36"/>
      <c r="H20" s="43"/>
      <c r="I20" s="2"/>
      <c r="J20" s="11"/>
      <c r="K20" s="11"/>
      <c r="L20" s="11"/>
      <c r="M20" s="24"/>
      <c r="N20" s="12"/>
      <c r="O20" s="11"/>
      <c r="Q20" s="43"/>
      <c r="S20" s="27">
        <f t="shared" si="0"/>
        <v>45178</v>
      </c>
      <c r="T20" s="29">
        <f>SUMIFS(Table442071[Amount],Table442071[Date],S20,Table442071[Category],Table13665[[#Headers],[Income]])+SUMIFS(Table4470[Amount],Table4470[Date],S20,Table4470[Category],Table13665[[#Headers],[Income]])</f>
        <v>0</v>
      </c>
      <c r="U20" s="29">
        <f>SUMIFS(Table464[Amount],Table464[Date],S20,Table464[Category],"&lt;&gt;"&amp;Table13665[[#Headers],[Income]])+SUMIFS(Table4470[Amount],Table4470[Date],S20,Table4470[Category],"&lt;&gt;"&amp;Table13665[[#Headers],[Income]])</f>
        <v>0</v>
      </c>
      <c r="V20" s="29">
        <f t="shared" si="1"/>
        <v>1156.74</v>
      </c>
      <c r="W20" s="1">
        <f t="shared" si="2"/>
        <v>1156.7400000000005</v>
      </c>
    </row>
    <row r="21" spans="2:23">
      <c r="B21" s="32"/>
      <c r="D21" s="2"/>
      <c r="E21" s="2">
        <f>SUMIFS(Table464[Amount],Table464[Category],Table162[[#Headers],[Housing]],Table464[Sub-Category],Table162[[#This Row],[Housing]])+SUMIFS(Table4470[Amount],Table4470[Category],Table162[[#Headers],[Housing]],Table4470[Sub-Category],Table162[[#This Row],[Housing]])</f>
        <v>0</v>
      </c>
      <c r="F21" s="3">
        <f>Table162[[#This Row],[Budget]]-Table162[[#This Row],[Actual]]</f>
        <v>0</v>
      </c>
      <c r="G21" s="36"/>
      <c r="H21" s="43"/>
      <c r="I21" s="2"/>
      <c r="J21" s="11"/>
      <c r="K21" s="11"/>
      <c r="L21" s="11"/>
      <c r="M21" s="24"/>
      <c r="N21" s="12"/>
      <c r="O21" s="11"/>
      <c r="Q21" s="43"/>
      <c r="S21" s="30">
        <f t="shared" si="0"/>
        <v>45179</v>
      </c>
      <c r="T21" s="28">
        <f>SUMIFS(Table442071[Amount],Table442071[Date],S21,Table442071[Category],Table13665[[#Headers],[Income]])+SUMIFS(Table4470[Amount],Table4470[Date],S21,Table4470[Category],Table13665[[#Headers],[Income]])</f>
        <v>0</v>
      </c>
      <c r="U21" s="28">
        <f>SUMIFS(Table464[Amount],Table464[Date],S21,Table464[Category],"&lt;&gt;"&amp;Table13665[[#Headers],[Income]])+SUMIFS(Table4470[Amount],Table4470[Date],S21,Table4470[Category],"&lt;&gt;"&amp;Table13665[[#Headers],[Income]])</f>
        <v>0</v>
      </c>
      <c r="V21" s="28">
        <f t="shared" si="1"/>
        <v>1156.74</v>
      </c>
      <c r="W21" s="1">
        <f t="shared" si="2"/>
        <v>1156.7400000000005</v>
      </c>
    </row>
    <row r="22" spans="2:23">
      <c r="B22" s="32"/>
      <c r="D22" s="2"/>
      <c r="E22" s="2">
        <f>SUMIFS(Table464[Amount],Table464[Category],Table162[[#Headers],[Housing]],Table464[Sub-Category],Table162[[#This Row],[Housing]])+SUMIFS(Table4470[Amount],Table4470[Category],Table162[[#Headers],[Housing]],Table4470[Sub-Category],Table162[[#This Row],[Housing]])</f>
        <v>0</v>
      </c>
      <c r="F22" s="3">
        <f>Table162[[#This Row],[Budget]]-Table162[[#This Row],[Actual]]</f>
        <v>0</v>
      </c>
      <c r="G22" s="36"/>
      <c r="H22" s="43"/>
      <c r="I22" s="2"/>
      <c r="J22" s="11"/>
      <c r="K22" s="11"/>
      <c r="L22" s="11"/>
      <c r="M22" s="24"/>
      <c r="N22" s="12"/>
      <c r="O22" s="11"/>
      <c r="Q22" s="43"/>
      <c r="S22" s="27">
        <f t="shared" si="0"/>
        <v>45180</v>
      </c>
      <c r="T22" s="29">
        <f>SUMIFS(Table442071[Amount],Table442071[Date],S22,Table442071[Category],Table13665[[#Headers],[Income]])+SUMIFS(Table4470[Amount],Table4470[Date],S22,Table4470[Category],Table13665[[#Headers],[Income]])</f>
        <v>0</v>
      </c>
      <c r="U22" s="29">
        <f>SUMIFS(Table464[Amount],Table464[Date],S22,Table464[Category],"&lt;&gt;"&amp;Table13665[[#Headers],[Income]])+SUMIFS(Table4470[Amount],Table4470[Date],S22,Table4470[Category],"&lt;&gt;"&amp;Table13665[[#Headers],[Income]])</f>
        <v>0</v>
      </c>
      <c r="V22" s="29">
        <f t="shared" si="1"/>
        <v>1156.74</v>
      </c>
      <c r="W22" s="1">
        <f t="shared" si="2"/>
        <v>1156.7400000000005</v>
      </c>
    </row>
    <row r="23" spans="2:23">
      <c r="B23" s="32"/>
      <c r="D23" s="2"/>
      <c r="E23" s="2">
        <f>SUMIFS(Table464[Amount],Table464[Category],Table162[[#Headers],[Housing]],Table464[Sub-Category],Table162[[#This Row],[Housing]])+SUMIFS(Table4470[Amount],Table4470[Category],Table162[[#Headers],[Housing]],Table4470[Sub-Category],Table162[[#This Row],[Housing]])</f>
        <v>0</v>
      </c>
      <c r="F23" s="3">
        <f>Table162[[#This Row],[Budget]]-Table162[[#This Row],[Actual]]</f>
        <v>0</v>
      </c>
      <c r="G23" s="36"/>
      <c r="H23" s="43"/>
      <c r="I23" s="2"/>
      <c r="J23" s="11"/>
      <c r="K23" s="11"/>
      <c r="L23" s="11"/>
      <c r="M23" s="24"/>
      <c r="N23" s="12"/>
      <c r="O23" s="11"/>
      <c r="Q23" s="43"/>
      <c r="S23" s="30">
        <f t="shared" si="0"/>
        <v>45181</v>
      </c>
      <c r="T23" s="28">
        <f>SUMIFS(Table442071[Amount],Table442071[Date],S23,Table442071[Category],Table13665[[#Headers],[Income]])+SUMIFS(Table4470[Amount],Table4470[Date],S23,Table4470[Category],Table13665[[#Headers],[Income]])</f>
        <v>0</v>
      </c>
      <c r="U23" s="28">
        <f>SUMIFS(Table464[Amount],Table464[Date],S23,Table464[Category],"&lt;&gt;"&amp;Table13665[[#Headers],[Income]])+SUMIFS(Table4470[Amount],Table4470[Date],S23,Table4470[Category],"&lt;&gt;"&amp;Table13665[[#Headers],[Income]])</f>
        <v>0</v>
      </c>
      <c r="V23" s="28">
        <f t="shared" si="1"/>
        <v>1156.74</v>
      </c>
      <c r="W23" s="1">
        <f t="shared" si="2"/>
        <v>1156.7400000000005</v>
      </c>
    </row>
    <row r="24" spans="2:23">
      <c r="B24" s="32"/>
      <c r="D24" s="2"/>
      <c r="E24" s="2">
        <f>SUMIFS(Table464[Amount],Table464[Category],Table162[[#Headers],[Housing]],Table464[Sub-Category],Table162[[#This Row],[Housing]])+SUMIFS(Table4470[Amount],Table4470[Category],Table162[[#Headers],[Housing]],Table4470[Sub-Category],Table162[[#This Row],[Housing]])</f>
        <v>0</v>
      </c>
      <c r="F24" s="3">
        <f>Table162[[#This Row],[Budget]]-Table162[[#This Row],[Actual]]</f>
        <v>0</v>
      </c>
      <c r="G24" s="36"/>
      <c r="H24" s="43"/>
      <c r="I24" s="2"/>
      <c r="J24" s="11"/>
      <c r="K24" s="11"/>
      <c r="L24" s="11"/>
      <c r="M24" s="24"/>
      <c r="N24" s="12"/>
      <c r="O24" s="11"/>
      <c r="Q24" s="43"/>
      <c r="S24" s="27">
        <f t="shared" si="0"/>
        <v>45182</v>
      </c>
      <c r="T24" s="29">
        <f>SUMIFS(Table442071[Amount],Table442071[Date],S24,Table442071[Category],Table13665[[#Headers],[Income]])+SUMIFS(Table4470[Amount],Table4470[Date],S24,Table4470[Category],Table13665[[#Headers],[Income]])</f>
        <v>0</v>
      </c>
      <c r="U24" s="29">
        <f>SUMIFS(Table464[Amount],Table464[Date],S24,Table464[Category],"&lt;&gt;"&amp;Table13665[[#Headers],[Income]])+SUMIFS(Table4470[Amount],Table4470[Date],S24,Table4470[Category],"&lt;&gt;"&amp;Table13665[[#Headers],[Income]])</f>
        <v>0</v>
      </c>
      <c r="V24" s="29">
        <f t="shared" si="1"/>
        <v>1156.74</v>
      </c>
      <c r="W24" s="1">
        <f t="shared" si="2"/>
        <v>1156.7400000000005</v>
      </c>
    </row>
    <row r="25" spans="2:23">
      <c r="B25" s="32"/>
      <c r="D25" s="2"/>
      <c r="E25" s="2">
        <f>SUMIFS(Table464[Amount],Table464[Category],Table162[[#Headers],[Housing]],Table464[Sub-Category],Table162[[#This Row],[Housing]])+SUMIFS(Table4470[Amount],Table4470[Category],Table162[[#Headers],[Housing]],Table4470[Sub-Category],Table162[[#This Row],[Housing]])</f>
        <v>0</v>
      </c>
      <c r="F25" s="3">
        <f>Table162[[#This Row],[Budget]]-Table162[[#This Row],[Actual]]</f>
        <v>0</v>
      </c>
      <c r="G25" s="32"/>
      <c r="H25" s="42"/>
      <c r="J25" s="11"/>
      <c r="K25" s="11"/>
      <c r="L25" s="11"/>
      <c r="M25" s="24"/>
      <c r="N25" s="12"/>
      <c r="O25" s="11"/>
      <c r="Q25" s="42"/>
      <c r="S25" s="30">
        <f t="shared" si="0"/>
        <v>45183</v>
      </c>
      <c r="T25" s="28">
        <f>SUMIFS(Table442071[Amount],Table442071[Date],S25,Table442071[Category],Table13665[[#Headers],[Income]])+SUMIFS(Table4470[Amount],Table4470[Date],S25,Table4470[Category],Table13665[[#Headers],[Income]])</f>
        <v>0</v>
      </c>
      <c r="U25" s="28">
        <f>SUMIFS(Table464[Amount],Table464[Date],S25,Table464[Category],"&lt;&gt;"&amp;Table13665[[#Headers],[Income]])+SUMIFS(Table4470[Amount],Table4470[Date],S25,Table4470[Category],"&lt;&gt;"&amp;Table13665[[#Headers],[Income]])</f>
        <v>0</v>
      </c>
      <c r="V25" s="28">
        <f t="shared" si="1"/>
        <v>1156.74</v>
      </c>
      <c r="W25" s="1">
        <f t="shared" si="2"/>
        <v>1156.7400000000005</v>
      </c>
    </row>
    <row r="26" spans="2:23">
      <c r="B26" s="32"/>
      <c r="D26" s="2"/>
      <c r="E26" s="2">
        <f>SUMIFS(Table464[Amount],Table464[Category],Table162[[#Headers],[Housing]],Table464[Sub-Category],Table162[[#This Row],[Housing]])+SUMIFS(Table4470[Amount],Table4470[Category],Table162[[#Headers],[Housing]],Table4470[Sub-Category],Table162[[#This Row],[Housing]])</f>
        <v>0</v>
      </c>
      <c r="F26" s="3">
        <f>Table162[[#This Row],[Budget]]-Table162[[#This Row],[Actual]]</f>
        <v>0</v>
      </c>
      <c r="G26" s="32"/>
      <c r="H26" s="42"/>
      <c r="J26" s="11"/>
      <c r="K26" s="11"/>
      <c r="L26" s="11"/>
      <c r="M26" s="24"/>
      <c r="N26" s="12"/>
      <c r="O26" s="11"/>
      <c r="Q26" s="42"/>
      <c r="S26" s="27">
        <f t="shared" si="0"/>
        <v>45184</v>
      </c>
      <c r="T26" s="29">
        <f>SUMIFS(Table442071[Amount],Table442071[Date],S26,Table442071[Category],Table13665[[#Headers],[Income]])+SUMIFS(Table4470[Amount],Table4470[Date],S26,Table4470[Category],Table13665[[#Headers],[Income]])</f>
        <v>0</v>
      </c>
      <c r="U26" s="29">
        <f>SUMIFS(Table464[Amount],Table464[Date],S26,Table464[Category],"&lt;&gt;"&amp;Table13665[[#Headers],[Income]])+SUMIFS(Table4470[Amount],Table4470[Date],S26,Table4470[Category],"&lt;&gt;"&amp;Table13665[[#Headers],[Income]])</f>
        <v>0</v>
      </c>
      <c r="V26" s="29">
        <f t="shared" si="1"/>
        <v>1156.74</v>
      </c>
      <c r="W26" s="1">
        <f t="shared" si="2"/>
        <v>1156.7400000000005</v>
      </c>
    </row>
    <row r="27" spans="2:23">
      <c r="B27" s="32"/>
      <c r="D27" s="2"/>
      <c r="E27" s="2">
        <f>SUMIFS(Table464[Amount],Table464[Category],Table162[[#Headers],[Housing]],Table464[Sub-Category],Table162[[#This Row],[Housing]])+SUMIFS(Table4470[Amount],Table4470[Category],Table162[[#Headers],[Housing]],Table4470[Sub-Category],Table162[[#This Row],[Housing]])</f>
        <v>0</v>
      </c>
      <c r="F27" s="3">
        <f>Table162[[#This Row],[Budget]]-Table162[[#This Row],[Actual]]</f>
        <v>0</v>
      </c>
      <c r="G27" s="36"/>
      <c r="H27" s="43"/>
      <c r="I27" s="2"/>
      <c r="J27" s="11"/>
      <c r="K27" s="11"/>
      <c r="L27" s="11"/>
      <c r="M27" s="24"/>
      <c r="N27" s="12"/>
      <c r="O27" s="11"/>
      <c r="Q27" s="43"/>
      <c r="S27" s="30">
        <f t="shared" si="0"/>
        <v>45185</v>
      </c>
      <c r="T27" s="28">
        <f>SUMIFS(Table442071[Amount],Table442071[Date],S27,Table442071[Category],Table13665[[#Headers],[Income]])+SUMIFS(Table4470[Amount],Table4470[Date],S27,Table4470[Category],Table13665[[#Headers],[Income]])</f>
        <v>0</v>
      </c>
      <c r="U27" s="28">
        <f>SUMIFS(Table464[Amount],Table464[Date],S27,Table464[Category],"&lt;&gt;"&amp;Table13665[[#Headers],[Income]])+SUMIFS(Table4470[Amount],Table4470[Date],S27,Table4470[Category],"&lt;&gt;"&amp;Table13665[[#Headers],[Income]])</f>
        <v>0</v>
      </c>
      <c r="V27" s="28">
        <f t="shared" si="1"/>
        <v>1156.74</v>
      </c>
      <c r="W27" s="1">
        <f t="shared" si="2"/>
        <v>1156.7400000000005</v>
      </c>
    </row>
    <row r="28" spans="2:23">
      <c r="B28" s="32"/>
      <c r="C28" s="11"/>
      <c r="D28" s="12"/>
      <c r="E28" s="13">
        <f>SUMIFS(Table464[Amount],Table464[Category],Table162[[#Headers],[Housing]],Table464[Sub-Category],Table162[[#This Row],[Housing]])+SUMIFS(Table4470[Amount],Table4470[Category],Table162[[#Headers],[Housing]],Table4470[Sub-Category],Table162[[#This Row],[Housing]])</f>
        <v>0</v>
      </c>
      <c r="F28" s="13">
        <f>Table162[[#This Row],[Budget]]-Table162[[#This Row],[Actual]]</f>
        <v>0</v>
      </c>
      <c r="G28" s="36"/>
      <c r="H28" s="43"/>
      <c r="I28" s="2"/>
      <c r="J28" s="11"/>
      <c r="K28" s="11"/>
      <c r="L28" s="11"/>
      <c r="M28" s="24"/>
      <c r="N28" s="12"/>
      <c r="O28" s="11"/>
      <c r="Q28" s="43"/>
      <c r="S28" s="27">
        <f t="shared" si="0"/>
        <v>45186</v>
      </c>
      <c r="T28" s="29">
        <f>SUMIFS(Table442071[Amount],Table442071[Date],S28,Table442071[Category],Table13665[[#Headers],[Income]])+SUMIFS(Table4470[Amount],Table4470[Date],S28,Table4470[Category],Table13665[[#Headers],[Income]])</f>
        <v>0</v>
      </c>
      <c r="U28" s="29">
        <f>SUMIFS(Table464[Amount],Table464[Date],S28,Table464[Category],"&lt;&gt;"&amp;Table13665[[#Headers],[Income]])+SUMIFS(Table4470[Amount],Table4470[Date],S28,Table4470[Category],"&lt;&gt;"&amp;Table13665[[#Headers],[Income]])</f>
        <v>0</v>
      </c>
      <c r="V28" s="29">
        <f t="shared" si="1"/>
        <v>1156.74</v>
      </c>
      <c r="W28" s="1">
        <f t="shared" si="2"/>
        <v>1156.7400000000005</v>
      </c>
    </row>
    <row r="29" spans="2:23">
      <c r="B29" s="32"/>
      <c r="C29" s="9" t="s">
        <v>20</v>
      </c>
      <c r="D29" s="10">
        <f>SUBTOTAL(109,Table162[Budget])</f>
        <v>0</v>
      </c>
      <c r="E29" s="10">
        <f>SUBTOTAL(109,Table162[Actual])</f>
        <v>0</v>
      </c>
      <c r="F29" s="10">
        <f>SUBTOTAL(109,Table162[Variance])</f>
        <v>0</v>
      </c>
      <c r="G29" s="32"/>
      <c r="H29" s="42"/>
      <c r="J29" s="11"/>
      <c r="K29" s="11"/>
      <c r="L29" s="11"/>
      <c r="M29" s="24"/>
      <c r="N29" s="12"/>
      <c r="O29" s="11"/>
      <c r="Q29" s="42"/>
      <c r="S29" s="30">
        <f t="shared" si="0"/>
        <v>45187</v>
      </c>
      <c r="T29" s="28">
        <f>SUMIFS(Table442071[Amount],Table442071[Date],S29,Table442071[Category],Table13665[[#Headers],[Income]])+SUMIFS(Table4470[Amount],Table4470[Date],S29,Table4470[Category],Table13665[[#Headers],[Income]])</f>
        <v>0</v>
      </c>
      <c r="U29" s="28">
        <f>SUMIFS(Table464[Amount],Table464[Date],S29,Table464[Category],"&lt;&gt;"&amp;Table13665[[#Headers],[Income]])+SUMIFS(Table4470[Amount],Table4470[Date],S29,Table4470[Category],"&lt;&gt;"&amp;Table13665[[#Headers],[Income]])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45188</v>
      </c>
      <c r="T30" s="29">
        <f>SUMIFS(Table442071[Amount],Table442071[Date],S30,Table442071[Category],Table13665[[#Headers],[Income]])+SUMIFS(Table4470[Amount],Table4470[Date],S30,Table4470[Category],Table13665[[#Headers],[Income]])</f>
        <v>0</v>
      </c>
      <c r="U30" s="29">
        <f>SUMIFS(Table464[Amount],Table464[Date],S30,Table464[Category],"&lt;&gt;"&amp;Table13665[[#Headers],[Income]])+SUMIFS(Table4470[Amount],Table4470[Date],S30,Table4470[Category],"&lt;&gt;"&amp;Table13665[[#Headers],[Income]])</f>
        <v>0</v>
      </c>
      <c r="V30" s="29">
        <f t="shared" si="1"/>
        <v>1156.74</v>
      </c>
      <c r="W30" s="1">
        <f t="shared" si="2"/>
        <v>1156.7400000000005</v>
      </c>
    </row>
    <row r="31" spans="2:23">
      <c r="B31" s="32"/>
      <c r="C31" s="37" t="str">
        <f>CONCATENATE(Table1363[[#Headers],[Transportation]]," - Budget &amp; Tracking")</f>
        <v>Transportation - Budget &amp; Tracking</v>
      </c>
      <c r="D31" s="38"/>
      <c r="E31" s="38"/>
      <c r="F31" s="39"/>
      <c r="G31" s="32"/>
      <c r="H31" s="42"/>
      <c r="J31" s="11"/>
      <c r="K31" s="11"/>
      <c r="L31" s="11"/>
      <c r="M31" s="24"/>
      <c r="N31" s="12"/>
      <c r="O31" s="11"/>
      <c r="Q31" s="42"/>
      <c r="S31" s="30">
        <f t="shared" si="0"/>
        <v>45189</v>
      </c>
      <c r="T31" s="28">
        <f>SUMIFS(Table442071[Amount],Table442071[Date],S31,Table442071[Category],Table13665[[#Headers],[Income]])+SUMIFS(Table4470[Amount],Table4470[Date],S31,Table4470[Category],Table13665[[#Headers],[Income]])</f>
        <v>0</v>
      </c>
      <c r="U31" s="28">
        <f>SUMIFS(Table464[Amount],Table464[Date],S31,Table464[Category],"&lt;&gt;"&amp;Table13665[[#Headers],[Income]])+SUMIFS(Table4470[Amount],Table4470[Date],S31,Table4470[Category],"&lt;&gt;"&amp;Table13665[[#Headers],[Income]])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45190</v>
      </c>
      <c r="T32" s="29">
        <f>SUMIFS(Table442071[Amount],Table442071[Date],S32,Table442071[Category],Table13665[[#Headers],[Income]])+SUMIFS(Table4470[Amount],Table4470[Date],S32,Table4470[Category],Table13665[[#Headers],[Income]])</f>
        <v>0</v>
      </c>
      <c r="U32" s="29">
        <f>SUMIFS(Table464[Amount],Table464[Date],S32,Table464[Category],"&lt;&gt;"&amp;Table13665[[#Headers],[Income]])+SUMIFS(Table4470[Amount],Table4470[Date],S32,Table4470[Category],"&lt;&gt;"&amp;Table13665[[#Headers],[Income]])</f>
        <v>0</v>
      </c>
      <c r="V32" s="29">
        <f t="shared" si="1"/>
        <v>1156.74</v>
      </c>
      <c r="W32" s="1">
        <f t="shared" si="2"/>
        <v>1156.7400000000005</v>
      </c>
    </row>
    <row r="33" spans="2:23">
      <c r="B33" s="32"/>
      <c r="D33" s="2"/>
      <c r="E33" s="2">
        <f>SUMIFS(Table464[Amount],Table464[Category],Table1363[[#Headers],[Transportation]],Table464[Sub-Category],Table1363[[#This Row],[Transportation]])+SUMIFS(Table4470[Amount],Table4470[Category],Table1363[[#Headers],[Transportation]],Table4470[Sub-Category],Table1363[[#This Row],[Transportation]])</f>
        <v>0</v>
      </c>
      <c r="F33" s="3">
        <f>Table1363[[#This Row],[Budget]]-Table1363[[#This Row],[Actual]]</f>
        <v>0</v>
      </c>
      <c r="G33" s="32"/>
      <c r="H33" s="42"/>
      <c r="J33" s="37" t="s">
        <v>44</v>
      </c>
      <c r="K33" s="38"/>
      <c r="L33" s="38"/>
      <c r="M33" s="38"/>
      <c r="N33" s="38"/>
      <c r="O33" s="39"/>
      <c r="Q33" s="42"/>
      <c r="S33" s="30">
        <f t="shared" si="0"/>
        <v>45191</v>
      </c>
      <c r="T33" s="28">
        <f>SUMIFS(Table442071[Amount],Table442071[Date],S33,Table442071[Category],Table13665[[#Headers],[Income]])+SUMIFS(Table4470[Amount],Table4470[Date],S33,Table4470[Category],Table13665[[#Headers],[Income]])</f>
        <v>0</v>
      </c>
      <c r="U33" s="28">
        <f>SUMIFS(Table464[Amount],Table464[Date],S33,Table464[Category],"&lt;&gt;"&amp;Table13665[[#Headers],[Income]])+SUMIFS(Table4470[Amount],Table4470[Date],S33,Table4470[Category],"&lt;&gt;"&amp;Table13665[[#Headers],[Income]])</f>
        <v>0</v>
      </c>
      <c r="V33" s="28">
        <f t="shared" si="1"/>
        <v>1156.74</v>
      </c>
      <c r="W33" s="1">
        <f t="shared" si="2"/>
        <v>1156.7400000000005</v>
      </c>
    </row>
    <row r="34" spans="2:23">
      <c r="B34" s="32"/>
      <c r="D34" s="2"/>
      <c r="E34" s="2">
        <f>SUMIFS(Table464[Amount],Table464[Category],Table1363[[#Headers],[Transportation]],Table464[Sub-Category],Table1363[[#This Row],[Transportation]])+SUMIFS(Table4470[Amount],Table4470[Category],Table1363[[#Headers],[Transportation]],Table4470[Sub-Category],Table1363[[#This Row],[Transportation]])</f>
        <v>0</v>
      </c>
      <c r="F34" s="3">
        <f>Table1363[[#This Row],[Budget]]-Table1363[[#This Row],[Actual]]</f>
        <v>0</v>
      </c>
      <c r="G34" s="32"/>
      <c r="H34" s="42"/>
      <c r="J34" s="31" t="s">
        <v>9</v>
      </c>
      <c r="K34" s="31" t="s">
        <v>0</v>
      </c>
      <c r="L34" s="31" t="s">
        <v>13</v>
      </c>
      <c r="M34" s="31" t="s">
        <v>10</v>
      </c>
      <c r="N34" s="31" t="s">
        <v>11</v>
      </c>
      <c r="O34" s="31" t="s">
        <v>16</v>
      </c>
      <c r="Q34" s="42"/>
      <c r="S34" s="27">
        <f t="shared" si="0"/>
        <v>45192</v>
      </c>
      <c r="T34" s="29">
        <f>SUMIFS(Table442071[Amount],Table442071[Date],S34,Table442071[Category],Table13665[[#Headers],[Income]])+SUMIFS(Table4470[Amount],Table4470[Date],S34,Table4470[Category],Table13665[[#Headers],[Income]])</f>
        <v>0</v>
      </c>
      <c r="U34" s="29">
        <f>SUMIFS(Table464[Amount],Table464[Date],S34,Table464[Category],"&lt;&gt;"&amp;Table13665[[#Headers],[Income]])+SUMIFS(Table4470[Amount],Table4470[Date],S34,Table4470[Category],"&lt;&gt;"&amp;Table13665[[#Headers],[Income]])</f>
        <v>0</v>
      </c>
      <c r="V34" s="29">
        <f t="shared" si="1"/>
        <v>1156.74</v>
      </c>
      <c r="W34" s="1">
        <f t="shared" si="2"/>
        <v>1156.7400000000005</v>
      </c>
    </row>
    <row r="35" spans="2:23">
      <c r="B35" s="32"/>
      <c r="C35" s="11"/>
      <c r="D35" s="12"/>
      <c r="E35" s="13">
        <f>SUMIFS(Table464[Amount],Table464[Category],Table1363[[#Headers],[Transportation]],Table464[Sub-Category],Table1363[[#This Row],[Transportation]])+SUMIFS(Table4470[Amount],Table4470[Category],Table1363[[#Headers],[Transportation]],Table4470[Sub-Category],Table1363[[#This Row],[Transportation]])</f>
        <v>0</v>
      </c>
      <c r="F35" s="13">
        <f>Table1363[[#This Row],[Budget]]-Table1363[[#This Row],[Actual]]</f>
        <v>0</v>
      </c>
      <c r="G35" s="32"/>
      <c r="H35" s="42"/>
      <c r="M35" s="4"/>
      <c r="N35" s="2"/>
      <c r="Q35" s="42"/>
      <c r="S35" s="30">
        <f t="shared" si="0"/>
        <v>45193</v>
      </c>
      <c r="T35" s="28">
        <f>SUMIFS(Table442071[Amount],Table442071[Date],S35,Table442071[Category],Table13665[[#Headers],[Income]])+SUMIFS(Table4470[Amount],Table4470[Date],S35,Table4470[Category],Table13665[[#Headers],[Income]])</f>
        <v>0</v>
      </c>
      <c r="U35" s="28">
        <f>SUMIFS(Table464[Amount],Table464[Date],S35,Table464[Category],"&lt;&gt;"&amp;Table13665[[#Headers],[Income]])+SUMIFS(Table4470[Amount],Table4470[Date],S35,Table4470[Category],"&lt;&gt;"&amp;Table13665[[#Headers],[Income]])</f>
        <v>0</v>
      </c>
      <c r="V35" s="28">
        <f t="shared" si="1"/>
        <v>1156.74</v>
      </c>
      <c r="W35" s="1">
        <f t="shared" si="2"/>
        <v>1156.7400000000005</v>
      </c>
    </row>
    <row r="36" spans="2:23">
      <c r="B36" s="32"/>
      <c r="C36" s="11"/>
      <c r="D36" s="12"/>
      <c r="E36" s="13">
        <f>SUMIFS(Table464[Amount],Table464[Category],Table1363[[#Headers],[Transportation]],Table464[Sub-Category],Table1363[[#This Row],[Transportation]])+SUMIFS(Table4470[Amount],Table4470[Category],Table1363[[#Headers],[Transportation]],Table4470[Sub-Category],Table1363[[#This Row],[Transportation]])</f>
        <v>0</v>
      </c>
      <c r="F36" s="13">
        <f>Table1363[[#This Row],[Budget]]-Table1363[[#This Row],[Actual]]</f>
        <v>0</v>
      </c>
      <c r="G36" s="32"/>
      <c r="H36" s="42"/>
      <c r="M36" s="4"/>
      <c r="N36" s="2"/>
      <c r="Q36" s="42"/>
      <c r="S36" s="27">
        <f t="shared" si="0"/>
        <v>45194</v>
      </c>
      <c r="T36" s="29">
        <f>SUMIFS(Table442071[Amount],Table442071[Date],S36,Table442071[Category],Table13665[[#Headers],[Income]])+SUMIFS(Table4470[Amount],Table4470[Date],S36,Table4470[Category],Table13665[[#Headers],[Income]])</f>
        <v>0</v>
      </c>
      <c r="U36" s="29">
        <f>SUMIFS(Table464[Amount],Table464[Date],S36,Table464[Category],"&lt;&gt;"&amp;Table13665[[#Headers],[Income]])+SUMIFS(Table4470[Amount],Table4470[Date],S36,Table4470[Category],"&lt;&gt;"&amp;Table13665[[#Headers],[Income]])</f>
        <v>0</v>
      </c>
      <c r="V36" s="29">
        <f t="shared" si="1"/>
        <v>1156.74</v>
      </c>
      <c r="W36" s="1">
        <f t="shared" si="2"/>
        <v>1156.7400000000005</v>
      </c>
    </row>
    <row r="37" spans="2:23">
      <c r="B37" s="32"/>
      <c r="C37" s="9" t="s">
        <v>20</v>
      </c>
      <c r="D37" s="10">
        <f>SUBTOTAL(109,Table1363[Budget])</f>
        <v>0</v>
      </c>
      <c r="E37" s="10">
        <f>SUBTOTAL(109,Table1363[Actual])</f>
        <v>0</v>
      </c>
      <c r="F37" s="10">
        <f>SUBTOTAL(109,Table1363[Variance])</f>
        <v>0</v>
      </c>
      <c r="G37" s="32"/>
      <c r="H37" s="42"/>
      <c r="M37" s="4"/>
      <c r="N37" s="2"/>
      <c r="Q37" s="42"/>
      <c r="S37" s="30">
        <f t="shared" si="0"/>
        <v>45195</v>
      </c>
      <c r="T37" s="28">
        <f>SUMIFS(Table442071[Amount],Table442071[Date],S37,Table442071[Category],Table13665[[#Headers],[Income]])+SUMIFS(Table4470[Amount],Table4470[Date],S37,Table4470[Category],Table13665[[#Headers],[Income]])</f>
        <v>0</v>
      </c>
      <c r="U37" s="28">
        <f>SUMIFS(Table464[Amount],Table464[Date],S37,Table464[Category],"&lt;&gt;"&amp;Table13665[[#Headers],[Income]])+SUMIFS(Table4470[Amount],Table4470[Date],S37,Table4470[Category],"&lt;&gt;"&amp;Table13665[[#Headers],[Income]])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45196</v>
      </c>
      <c r="T38" s="29">
        <f>SUMIFS(Table442071[Amount],Table442071[Date],S38,Table442071[Category],Table13665[[#Headers],[Income]])+SUMIFS(Table4470[Amount],Table4470[Date],S38,Table4470[Category],Table13665[[#Headers],[Income]])</f>
        <v>0</v>
      </c>
      <c r="U38" s="29">
        <f>SUMIFS(Table464[Amount],Table464[Date],S38,Table464[Category],"&lt;&gt;"&amp;Table13665[[#Headers],[Income]])+SUMIFS(Table4470[Amount],Table4470[Date],S38,Table4470[Category],"&lt;&gt;"&amp;Table13665[[#Headers],[Income]])</f>
        <v>0</v>
      </c>
      <c r="V38" s="29">
        <f t="shared" si="1"/>
        <v>1156.74</v>
      </c>
      <c r="W38" s="1">
        <f t="shared" si="2"/>
        <v>1156.7400000000005</v>
      </c>
    </row>
    <row r="39" spans="2:23">
      <c r="B39" s="32"/>
      <c r="C39" s="37" t="str">
        <f>CONCATENATE(Table1391069[[#Headers],[Bills]]," - Budget &amp; Tracking")</f>
        <v>Bills - Budget &amp; Tracking</v>
      </c>
      <c r="D39" s="38"/>
      <c r="E39" s="38"/>
      <c r="F39" s="39"/>
      <c r="G39" s="32"/>
      <c r="H39" s="42"/>
      <c r="J39" s="11"/>
      <c r="K39" s="11"/>
      <c r="L39" s="11"/>
      <c r="M39" s="24"/>
      <c r="N39" s="12"/>
      <c r="O39" s="11"/>
      <c r="Q39" s="42"/>
      <c r="S39" s="30">
        <f t="shared" si="0"/>
        <v>45197</v>
      </c>
      <c r="T39" s="28">
        <f>SUMIFS(Table442071[Amount],Table442071[Date],S39,Table442071[Category],Table13665[[#Headers],[Income]])+SUMIFS(Table4470[Amount],Table4470[Date],S39,Table4470[Category],Table13665[[#Headers],[Income]])</f>
        <v>0</v>
      </c>
      <c r="U39" s="28">
        <f>SUMIFS(Table464[Amount],Table464[Date],S39,Table464[Category],"&lt;&gt;"&amp;Table13665[[#Headers],[Income]])+SUMIFS(Table4470[Amount],Table4470[Date],S39,Table4470[Category],"&lt;&gt;"&amp;Table13665[[#Headers],[Income]])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45198</v>
      </c>
      <c r="T40" s="29">
        <f>SUMIFS(Table442071[Amount],Table442071[Date],S40,Table442071[Category],Table13665[[#Headers],[Income]])+SUMIFS(Table4470[Amount],Table4470[Date],S40,Table4470[Category],Table13665[[#Headers],[Income]])</f>
        <v>0</v>
      </c>
      <c r="U40" s="29">
        <f>SUMIFS(Table464[Amount],Table464[Date],S40,Table464[Category],"&lt;&gt;"&amp;Table13665[[#Headers],[Income]])+SUMIFS(Table4470[Amount],Table4470[Date],S40,Table4470[Category],"&lt;&gt;"&amp;Table13665[[#Headers],[Income]])</f>
        <v>0</v>
      </c>
      <c r="V40" s="29">
        <f t="shared" si="1"/>
        <v>1156.74</v>
      </c>
      <c r="W40" s="1">
        <f t="shared" si="2"/>
        <v>1156.7400000000005</v>
      </c>
    </row>
    <row r="41" spans="2:23">
      <c r="B41" s="32"/>
      <c r="D41" s="2"/>
      <c r="E41" s="2">
        <f>SUMIFS(Table464[Amount],Table464[Category],Table1391069[[#Headers],[Bills]],Table464[Sub-Category],Table1391069[[#This Row],[Bills]])+SUMIFS(Table4470[Amount],Table4470[Category],Table1391069[[#Headers],[Bills]],Table4470[Sub-Category],Table1391069[[#This Row],[Bills]])</f>
        <v>0</v>
      </c>
      <c r="F41" s="3">
        <f>Table1391069[[#This Row],[Budget]]-Table1391069[[#This Row],[Actual]]</f>
        <v>0</v>
      </c>
      <c r="G41" s="32"/>
      <c r="H41" s="42"/>
      <c r="Q41" s="42"/>
      <c r="S41" s="30">
        <f t="shared" si="0"/>
        <v>45199</v>
      </c>
      <c r="T41" s="28">
        <f>SUMIFS(Table442071[Amount],Table442071[Date],S41,Table442071[Category],Table13665[[#Headers],[Income]])+SUMIFS(Table4470[Amount],Table4470[Date],S41,Table4470[Category],Table13665[[#Headers],[Income]])</f>
        <v>0</v>
      </c>
      <c r="U41" s="28">
        <f>SUMIFS(Table464[Amount],Table464[Date],S41,Table464[Category],"&lt;&gt;"&amp;Table13665[[#Headers],[Income]])+SUMIFS(Table4470[Amount],Table4470[Date],S41,Table4470[Category],"&lt;&gt;"&amp;Table13665[[#Headers],[Income]])</f>
        <v>0</v>
      </c>
      <c r="V41" s="28">
        <f t="shared" si="1"/>
        <v>1156.74</v>
      </c>
      <c r="W41" s="1">
        <f t="shared" si="2"/>
        <v>1156.7400000000005</v>
      </c>
    </row>
    <row r="42" spans="2:23">
      <c r="B42" s="32"/>
      <c r="D42" s="2"/>
      <c r="E42" s="2">
        <f>SUMIFS(Table464[Amount],Table464[Category],Table1391069[[#Headers],[Bills]],Table464[Sub-Category],Table1391069[[#This Row],[Bills]])+SUMIFS(Table4470[Amount],Table4470[Category],Table1391069[[#Headers],[Bills]],Table4470[Sub-Category],Table1391069[[#This Row],[Bills]])</f>
        <v>0</v>
      </c>
      <c r="F42" s="3">
        <f>Table1391069[[#This Row],[Budget]]-Table1391069[[#This Row],[Actual]]</f>
        <v>0</v>
      </c>
      <c r="G42" s="32"/>
      <c r="H42" s="42"/>
      <c r="Q42" s="42"/>
      <c r="S42" s="27">
        <f t="shared" si="0"/>
        <v>45200</v>
      </c>
      <c r="T42" s="29">
        <f>SUMIFS(Table442071[Amount],Table442071[Date],S42,Table442071[Category],Table13665[[#Headers],[Income]])+SUMIFS(Table4470[Amount],Table4470[Date],S42,Table4470[Category],Table13665[[#Headers],[Income]])</f>
        <v>0</v>
      </c>
      <c r="U42" s="29">
        <f>SUMIFS(Table464[Amount],Table464[Date],S42,Table464[Category],"&lt;&gt;"&amp;Table13665[[#Headers],[Income]])+SUMIFS(Table4470[Amount],Table4470[Date],S42,Table4470[Category],"&lt;&gt;"&amp;Table13665[[#Headers],[Income]])</f>
        <v>0</v>
      </c>
      <c r="V42" s="29">
        <f t="shared" si="1"/>
        <v>1156.74</v>
      </c>
      <c r="W42" s="1">
        <f t="shared" si="2"/>
        <v>1156.7400000000005</v>
      </c>
    </row>
    <row r="43" spans="2:23">
      <c r="B43" s="32"/>
      <c r="C43" s="11"/>
      <c r="D43" s="12"/>
      <c r="E43" s="13">
        <f>SUMIFS(Table464[Amount],Table464[Category],Table1391069[[#Headers],[Bills]],Table464[Sub-Category],Table1391069[[#This Row],[Bills]])+SUMIFS(Table4470[Amount],Table4470[Category],Table1391069[[#Headers],[Bills]],Table4470[Sub-Category],Table1391069[[#This Row],[Bills]])</f>
        <v>0</v>
      </c>
      <c r="F43" s="13">
        <f>Table1391069[[#This Row],[Budget]]-Table1391069[[#This Row],[Actual]]</f>
        <v>0</v>
      </c>
      <c r="G43" s="32"/>
      <c r="H43" s="42"/>
      <c r="Q43" s="42"/>
      <c r="S43" s="8"/>
    </row>
    <row r="44" spans="2:23">
      <c r="B44" s="32"/>
      <c r="C44" s="11"/>
      <c r="D44" s="12"/>
      <c r="E44" s="13">
        <f>SUMIFS(Table464[Amount],Table464[Category],Table1391069[[#Headers],[Bills]],Table464[Sub-Category],Table1391069[[#This Row],[Bills]])+SUMIFS(Table4470[Amount],Table4470[Category],Table1391069[[#Headers],[Bills]],Table4470[Sub-Category],Table1391069[[#This Row],[Bills]])</f>
        <v>0</v>
      </c>
      <c r="F44" s="13">
        <f>Table1391069[[#This Row],[Budget]]-Table1391069[[#This Row],[Actual]]</f>
        <v>0</v>
      </c>
      <c r="G44" s="32"/>
      <c r="H44" s="42"/>
      <c r="Q44" s="42"/>
      <c r="S44" s="8"/>
    </row>
    <row r="45" spans="2:23">
      <c r="B45" s="32"/>
      <c r="C45" s="11"/>
      <c r="D45" s="12"/>
      <c r="E45" s="13">
        <f>SUMIFS(Table464[Amount],Table464[Category],Table1391069[[#Headers],[Bills]],Table464[Sub-Category],Table1391069[[#This Row],[Bills]])+SUMIFS(Table4470[Amount],Table4470[Category],Table1391069[[#Headers],[Bills]],Table4470[Sub-Category],Table1391069[[#This Row],[Bills]])</f>
        <v>0</v>
      </c>
      <c r="F45" s="13">
        <f>Table1391069[[#This Row],[Budget]]-Table1391069[[#This Row],[Actual]]</f>
        <v>0</v>
      </c>
      <c r="G45" s="32"/>
      <c r="H45" s="42"/>
      <c r="Q45" s="42"/>
    </row>
    <row r="46" spans="2:23">
      <c r="B46" s="32"/>
      <c r="C46" s="9" t="s">
        <v>20</v>
      </c>
      <c r="D46" s="10">
        <f>SUBTOTAL(109,Table1391069[Budget])</f>
        <v>0</v>
      </c>
      <c r="E46" s="10">
        <f>SUBTOTAL(109,Table1391069[Actual])</f>
        <v>0</v>
      </c>
      <c r="F46" s="10">
        <f>SUBTOTAL(109,Table1391069[Variance])</f>
        <v>0</v>
      </c>
      <c r="G46" s="32"/>
      <c r="H46" s="42"/>
      <c r="Q46" s="42"/>
    </row>
    <row r="47" spans="2:23">
      <c r="B47" s="32"/>
      <c r="C47" s="20"/>
      <c r="D47" s="21"/>
      <c r="E47" s="21"/>
      <c r="F47" s="22"/>
      <c r="G47" s="32"/>
      <c r="H47" s="42"/>
      <c r="Q47" s="42"/>
    </row>
    <row r="48" spans="2:23">
      <c r="B48" s="32"/>
      <c r="C48" s="37" t="str">
        <f>CONCATENATE(Table13766[[#Headers],[Living]],"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SUMIFS(Table464[Amount],Table464[Category],Table13766[[#Headers],[Living]],Table464[Sub-Category],Table13766[[#This Row],[Living]])+SUMIFS(Table4470[Amount],Table4470[Category],Table13766[[#Headers],[Living]],Table4470[Sub-Category],Table13766[[#This Row],[Living]])</f>
        <v>0</v>
      </c>
      <c r="F50" s="3">
        <f>Table13766[[#This Row],[Budget]]-Table13766[[#This Row],[Actual]]</f>
        <v>0</v>
      </c>
      <c r="G50" s="32"/>
      <c r="H50" s="42"/>
      <c r="Q50" s="42"/>
    </row>
    <row r="51" spans="2:17">
      <c r="B51" s="32"/>
      <c r="D51" s="2"/>
      <c r="E51" s="2">
        <f>SUMIFS(Table464[Amount],Table464[Category],Table13766[[#Headers],[Living]],Table464[Sub-Category],Table13766[[#This Row],[Living]])+SUMIFS(Table4470[Amount],Table4470[Category],Table13766[[#Headers],[Living]],Table4470[Sub-Category],Table13766[[#This Row],[Living]])</f>
        <v>0</v>
      </c>
      <c r="F51" s="3">
        <f>Table13766[[#This Row],[Budget]]-Table13766[[#This Row],[Actual]]</f>
        <v>0</v>
      </c>
      <c r="G51" s="32"/>
      <c r="H51" s="42"/>
      <c r="Q51" s="42"/>
    </row>
    <row r="52" spans="2:17">
      <c r="B52" s="32"/>
      <c r="C52" s="11"/>
      <c r="D52" s="12"/>
      <c r="E52" s="13">
        <f>SUMIFS(Table464[Amount],Table464[Category],Table13766[[#Headers],[Living]],Table464[Sub-Category],Table13766[[#This Row],[Living]])+SUMIFS(Table4470[Amount],Table4470[Category],Table13766[[#Headers],[Living]],Table4470[Sub-Category],Table13766[[#This Row],[Living]])</f>
        <v>0</v>
      </c>
      <c r="F52" s="13">
        <f>Table13766[[#This Row],[Budget]]-Table13766[[#This Row],[Actual]]</f>
        <v>0</v>
      </c>
      <c r="G52" s="32"/>
      <c r="H52" s="42"/>
      <c r="Q52" s="42"/>
    </row>
    <row r="53" spans="2:17">
      <c r="B53" s="32"/>
      <c r="C53" s="11"/>
      <c r="D53" s="12"/>
      <c r="E53" s="13">
        <f>SUMIFS(Table464[Amount],Table464[Category],Table13766[[#Headers],[Living]],Table464[Sub-Category],Table13766[[#This Row],[Living]])+SUMIFS(Table4470[Amount],Table4470[Category],Table13766[[#Headers],[Living]],Table4470[Sub-Category],Table13766[[#This Row],[Living]])</f>
        <v>0</v>
      </c>
      <c r="F53" s="13">
        <f>Table13766[[#This Row],[Budget]]-Table13766[[#This Row],[Actual]]</f>
        <v>0</v>
      </c>
      <c r="G53" s="32"/>
      <c r="H53" s="42"/>
      <c r="Q53" s="42"/>
    </row>
    <row r="54" spans="2:17">
      <c r="B54" s="32"/>
      <c r="C54" s="9" t="s">
        <v>20</v>
      </c>
      <c r="D54" s="10">
        <f>SUBTOTAL(109,Table13766[Budget])</f>
        <v>0</v>
      </c>
      <c r="E54" s="10">
        <f>SUBTOTAL(109,Table13766[Actual])</f>
        <v>0</v>
      </c>
      <c r="F54" s="10">
        <f>SUBTOTAL(109,Table13766[Variance])</f>
        <v>0</v>
      </c>
      <c r="G54" s="32"/>
      <c r="H54" s="42"/>
      <c r="Q54" s="42"/>
    </row>
    <row r="55" spans="2:17">
      <c r="B55" s="32"/>
      <c r="C55" s="20"/>
      <c r="D55" s="21"/>
      <c r="E55" s="21"/>
      <c r="F55" s="22"/>
      <c r="G55" s="32"/>
      <c r="H55" s="42"/>
      <c r="Q55" s="42"/>
    </row>
    <row r="56" spans="2:17">
      <c r="B56" s="32"/>
      <c r="C56" s="37" t="str">
        <f>CONCATENATE(Table13867[[#Headers],[Entertainment]],"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SUMIFS(Table464[Amount],Table464[Category],Table13867[[#Headers],[Entertainment]],Table464[Sub-Category],Table13867[[#This Row],[Entertainment]])+SUMIFS(Table4470[Amount],Table4470[Category],Table13867[[#Headers],[Entertainment]],Table4470[Sub-Category],Table13867[[#This Row],[Entertainment]])</f>
        <v>0</v>
      </c>
      <c r="F58" s="3">
        <f>Table13867[[#This Row],[Budget]]-Table13867[[#This Row],[Actual]]</f>
        <v>0</v>
      </c>
      <c r="G58" s="32"/>
      <c r="H58" s="42"/>
      <c r="Q58" s="42"/>
    </row>
    <row r="59" spans="2:17">
      <c r="B59" s="33"/>
      <c r="D59" s="2"/>
      <c r="E59" s="2">
        <f>SUMIFS(Table464[Amount],Table464[Category],Table13867[[#Headers],[Entertainment]],Table464[Sub-Category],Table13867[[#This Row],[Entertainment]])+SUMIFS(Table4470[Amount],Table4470[Category],Table13867[[#Headers],[Entertainment]],Table4470[Sub-Category],Table13867[[#This Row],[Entertainment]])</f>
        <v>0</v>
      </c>
      <c r="F59" s="3">
        <f>Table13867[[#This Row],[Budget]]-Table13867[[#This Row],[Actual]]</f>
        <v>0</v>
      </c>
      <c r="G59" s="33"/>
      <c r="H59" s="42"/>
      <c r="Q59" s="42"/>
    </row>
    <row r="60" spans="2:17">
      <c r="C60" s="9" t="s">
        <v>20</v>
      </c>
      <c r="D60" s="10">
        <f>SUBTOTAL(109,Table13867[Budget])</f>
        <v>0</v>
      </c>
      <c r="E60" s="10">
        <f>SUBTOTAL(109,Table13867[Actual])</f>
        <v>0</v>
      </c>
      <c r="F60" s="10">
        <f>SUBTOTAL(109,Table13867[Variance])</f>
        <v>0</v>
      </c>
      <c r="H60" s="42"/>
      <c r="Q60" s="42"/>
    </row>
    <row r="61" spans="2:17">
      <c r="C61" s="26"/>
      <c r="D61" s="23"/>
      <c r="E61" s="23"/>
      <c r="F61" s="23"/>
      <c r="H61" s="42"/>
      <c r="Q61" s="42"/>
    </row>
    <row r="62" spans="2:17">
      <c r="C62" s="37" t="str">
        <f>CONCATENATE(Table13968[[#Headers],[Misc.]],"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SUMIFS(Table464[Amount],Table464[Category],Table13968[[#Headers],[Misc.]],Table464[Sub-Category],Table13968[[#This Row],[Misc.]])+SUMIFS(Table4470[Amount],Table4470[Category],Table13968[[#Headers],[Misc.]],Table4470[Sub-Category],Table13968[[#This Row],[Misc.]])</f>
        <v>0</v>
      </c>
      <c r="F64" s="13">
        <f>Table13968[[#This Row],[Budget]]-Table13968[[#This Row],[Actual]]</f>
        <v>0</v>
      </c>
      <c r="H64" s="42"/>
      <c r="Q64" s="42"/>
    </row>
    <row r="65" spans="3:17">
      <c r="C65" s="11"/>
      <c r="D65" s="12"/>
      <c r="E65" s="13">
        <f>SUMIFS(Table464[Amount],Table464[Category],Table13968[[#Headers],[Misc.]],Table464[Sub-Category],Table13968[[#This Row],[Misc.]])+SUMIFS(Table4470[Amount],Table4470[Category],Table13968[[#Headers],[Misc.]],Table4470[Sub-Category],Table13968[[#This Row],[Misc.]])</f>
        <v>0</v>
      </c>
      <c r="F65" s="13">
        <f>Table13968[[#This Row],[Budget]]-Table13968[[#This Row],[Actual]]</f>
        <v>0</v>
      </c>
      <c r="H65" s="42"/>
      <c r="Q65" s="42"/>
    </row>
    <row r="66" spans="3:17">
      <c r="C66" s="9" t="s">
        <v>20</v>
      </c>
      <c r="D66" s="10">
        <f>SUBTOTAL(109,Table13968[Budget])</f>
        <v>0</v>
      </c>
      <c r="E66" s="10">
        <f>SUBTOTAL(109,Table13968[Actual])</f>
        <v>0</v>
      </c>
      <c r="F66" s="10">
        <f>SUBTOTAL(109,Table13968[Variance])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111" priority="16" operator="equal">
      <formula>TODAY()</formula>
    </cfRule>
  </conditionalFormatting>
  <conditionalFormatting sqref="T12 T20:U42">
    <cfRule type="expression" dxfId="110" priority="15">
      <formula>IF($S12=TODAY(),TRUE)</formula>
    </cfRule>
  </conditionalFormatting>
  <conditionalFormatting sqref="U12">
    <cfRule type="expression" dxfId="109" priority="14">
      <formula>IF($S12=TODAY(),TRUE)</formula>
    </cfRule>
  </conditionalFormatting>
  <conditionalFormatting sqref="V12 V20:V42">
    <cfRule type="expression" dxfId="108" priority="13">
      <formula>IF($S12=TODAY(),TRUE)</formula>
    </cfRule>
  </conditionalFormatting>
  <conditionalFormatting sqref="S13:S15">
    <cfRule type="cellIs" dxfId="107" priority="12" operator="equal">
      <formula>TODAY()</formula>
    </cfRule>
  </conditionalFormatting>
  <conditionalFormatting sqref="T13:T15">
    <cfRule type="expression" dxfId="106" priority="11">
      <formula>IF($S13=TODAY(),TRUE)</formula>
    </cfRule>
  </conditionalFormatting>
  <conditionalFormatting sqref="U13:U15">
    <cfRule type="expression" dxfId="105" priority="10">
      <formula>IF($S13=TODAY(),TRUE)</formula>
    </cfRule>
  </conditionalFormatting>
  <conditionalFormatting sqref="V13:V15">
    <cfRule type="expression" dxfId="104" priority="9">
      <formula>IF($S13=TODAY(),TRUE)</formula>
    </cfRule>
  </conditionalFormatting>
  <conditionalFormatting sqref="S16 S20 S24 S28 S32 S36 S40">
    <cfRule type="cellIs" dxfId="103" priority="8" operator="equal">
      <formula>TODAY()</formula>
    </cfRule>
  </conditionalFormatting>
  <conditionalFormatting sqref="T16">
    <cfRule type="expression" dxfId="102" priority="7">
      <formula>IF($S16=TODAY(),TRUE)</formula>
    </cfRule>
  </conditionalFormatting>
  <conditionalFormatting sqref="U16">
    <cfRule type="expression" dxfId="101" priority="6">
      <formula>IF($S16=TODAY(),TRUE)</formula>
    </cfRule>
  </conditionalFormatting>
  <conditionalFormatting sqref="V16">
    <cfRule type="expression" dxfId="100" priority="5">
      <formula>IF($S16=TODAY(),TRUE)</formula>
    </cfRule>
  </conditionalFormatting>
  <conditionalFormatting sqref="S17:S19 S21:S23 S25:S27 S29:S31 S33:S35 S37:S39 S41:S42">
    <cfRule type="cellIs" dxfId="99" priority="4" operator="equal">
      <formula>TODAY()</formula>
    </cfRule>
  </conditionalFormatting>
  <conditionalFormatting sqref="T17:T19">
    <cfRule type="expression" dxfId="98" priority="3">
      <formula>IF($S17=TODAY(),TRUE)</formula>
    </cfRule>
  </conditionalFormatting>
  <conditionalFormatting sqref="U17:U19">
    <cfRule type="expression" dxfId="97" priority="2">
      <formula>IF($S17=TODAY(),TRUE)</formula>
    </cfRule>
  </conditionalFormatting>
  <conditionalFormatting sqref="V17:V19">
    <cfRule type="expression" dxfId="96"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500-000000000000}">
      <formula1>$U$2:$U$4</formula1>
    </dataValidation>
    <dataValidation type="list" allowBlank="1" showInputMessage="1" showErrorMessage="1" sqref="K35:K40 K19:K32 K12:K16" xr:uid="{00000000-0002-0000-0500-000001000000}">
      <formula1>$R$2:$R$8</formula1>
    </dataValidation>
    <dataValidation type="list" allowBlank="1" showInputMessage="1" showErrorMessage="1" sqref="L35:L40 L12:L16 L19:L32" xr:uid="{00000000-0002-0000-05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42AC7772-991E-45E4-90DC-3599203F6145}">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5C78DC7C-411F-41ED-A601-25C1A6493E39}">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DATE(YEAR(Mo.6!C1),MONTH(Mo.6!C1)+1,DAY(Mo.6!C1))</f>
        <v>45200</v>
      </c>
      <c r="D1" s="61"/>
      <c r="E1" s="61"/>
      <c r="F1" s="61"/>
      <c r="R1" s="45" t="s">
        <v>0</v>
      </c>
      <c r="S1" s="45" t="s">
        <v>1</v>
      </c>
      <c r="T1" s="45" t="s">
        <v>2</v>
      </c>
      <c r="U1" s="45" t="s">
        <v>16</v>
      </c>
      <c r="V1" s="45" t="s">
        <v>45</v>
      </c>
    </row>
    <row r="2" spans="2:23">
      <c r="D2" s="18" t="s">
        <v>1</v>
      </c>
      <c r="E2" s="19" t="s">
        <v>2</v>
      </c>
      <c r="F2" s="19" t="s">
        <v>14</v>
      </c>
      <c r="R2" s="45" t="str">
        <f>Table13675[[#Headers],[Income]]</f>
        <v>Income</v>
      </c>
      <c r="S2" s="45">
        <f>SUM(Table13675[Budget])</f>
        <v>0</v>
      </c>
      <c r="T2" s="45">
        <f>SUM(Table13675[Actual])</f>
        <v>0</v>
      </c>
      <c r="U2" s="45" t="s">
        <v>19</v>
      </c>
      <c r="V2" s="45">
        <f>AVERAGE(V12:V42)</f>
        <v>1156.7400000000005</v>
      </c>
    </row>
    <row r="3" spans="2:23">
      <c r="C3" s="17" t="s">
        <v>35</v>
      </c>
      <c r="D3" s="5">
        <f>Mo.6!D6</f>
        <v>1156.74</v>
      </c>
      <c r="E3" s="14">
        <f>Mo.6!E6</f>
        <v>1156.74</v>
      </c>
      <c r="F3" s="14">
        <f>E3-D3</f>
        <v>0</v>
      </c>
      <c r="R3" s="45" t="str">
        <f>Table172[[#Headers],[Housing]]</f>
        <v>Housing</v>
      </c>
      <c r="S3" s="45">
        <f>SUM(Table172[Budget])</f>
        <v>0</v>
      </c>
      <c r="T3" s="45">
        <f>SUM(Table172[Actual])</f>
        <v>0</v>
      </c>
      <c r="U3" s="45" t="s">
        <v>17</v>
      </c>
      <c r="V3" s="45"/>
    </row>
    <row r="4" spans="2:23">
      <c r="C4" s="17" t="s">
        <v>32</v>
      </c>
      <c r="D4" s="5">
        <f>Table13675[[#Totals],[Budget]]</f>
        <v>0</v>
      </c>
      <c r="E4" s="5">
        <f>Table13675[[#Totals],[Actual]]</f>
        <v>0</v>
      </c>
      <c r="F4" s="5">
        <f>E4-D4</f>
        <v>0</v>
      </c>
      <c r="R4" s="45" t="str">
        <f>Table1373[[#Headers],[Transportation]]</f>
        <v>Transportation</v>
      </c>
      <c r="S4" s="45">
        <f>SUM(Table1373[Budget])</f>
        <v>0</v>
      </c>
      <c r="T4" s="45">
        <f>SUM(Table1373[Actual])</f>
        <v>0</v>
      </c>
      <c r="U4" s="45" t="s">
        <v>18</v>
      </c>
      <c r="V4" s="45"/>
    </row>
    <row r="5" spans="2:23">
      <c r="C5" s="17" t="s">
        <v>33</v>
      </c>
      <c r="D5" s="5">
        <f>Table172[[#Totals],[Budget]]+Table1373[[#Totals],[Budget]]+Table1391079[[#Totals],[Budget]]+Table13776[[#Totals],[Budget]]+Table13877[[#Totals],[Budget]]+Table13978[[#Totals],[Budget]]</f>
        <v>0</v>
      </c>
      <c r="E5" s="5">
        <f>Table172[[#Totals],[Actual]]+Table1373[[#Totals],[Actual]]+Table1391079[[#Totals],[Actual]]+Table13776[[#Totals],[Actual]]+Table13877[[#Totals],[Actual]]+Table13978[[#Totals],[Actual]]</f>
        <v>0</v>
      </c>
      <c r="F5" s="5">
        <f>E5-D5</f>
        <v>0</v>
      </c>
      <c r="R5" s="45" t="str">
        <f>Table1391079[[#Headers],[Bills]]</f>
        <v>Bills</v>
      </c>
      <c r="S5" s="45">
        <f>SUM(Table1391079[Budget])</f>
        <v>0</v>
      </c>
      <c r="T5" s="45">
        <f>SUM(Table1391079[Actual])</f>
        <v>0</v>
      </c>
      <c r="U5" s="45"/>
      <c r="V5" s="45"/>
    </row>
    <row r="6" spans="2:23">
      <c r="C6" s="15" t="s">
        <v>34</v>
      </c>
      <c r="D6" s="16">
        <f>D3+D4-D5</f>
        <v>1156.74</v>
      </c>
      <c r="E6" s="16">
        <f>E3+E4-E5</f>
        <v>1156.74</v>
      </c>
      <c r="F6" s="16">
        <f>F3+F4-F5</f>
        <v>0</v>
      </c>
      <c r="R6" s="45" t="str">
        <f>Table13776[[#Headers],[Living]]</f>
        <v>Living</v>
      </c>
      <c r="S6" s="45">
        <f>SUM(Table13776[Budget])</f>
        <v>0</v>
      </c>
      <c r="T6" s="45">
        <f>SUM(Table13776[Actual])</f>
        <v>0</v>
      </c>
      <c r="U6" s="45"/>
      <c r="V6" s="45"/>
    </row>
    <row r="7" spans="2:23" ht="3.75" customHeight="1">
      <c r="D7" s="2"/>
      <c r="R7" s="45" t="str">
        <f>Table13877[[#Headers],[Entertainment]]</f>
        <v>Entertainment</v>
      </c>
      <c r="S7" s="45">
        <f>SUM(Table13877[Budget])</f>
        <v>0</v>
      </c>
      <c r="T7" s="45">
        <f>SUM(Table13877[Actual])</f>
        <v>0</v>
      </c>
      <c r="U7" s="45"/>
      <c r="V7" s="45"/>
    </row>
    <row r="8" spans="2:23" ht="1.5" customHeight="1">
      <c r="C8" s="42"/>
      <c r="D8" s="43"/>
      <c r="E8" s="42"/>
      <c r="F8" s="42"/>
      <c r="G8" s="42"/>
      <c r="H8" s="42"/>
      <c r="I8" s="42"/>
      <c r="J8" s="42"/>
      <c r="K8" s="42"/>
      <c r="L8" s="42"/>
      <c r="M8" s="42"/>
      <c r="N8" s="42"/>
      <c r="O8" s="42"/>
      <c r="P8" s="42"/>
      <c r="Q8" s="42"/>
      <c r="R8" s="44" t="str">
        <f>Table13978[[#Headers],[Misc.]]</f>
        <v>Misc.</v>
      </c>
      <c r="S8" s="44">
        <f>SUM(Table13978[Budget])</f>
        <v>0</v>
      </c>
      <c r="T8" s="44">
        <f>SUM(Table13978[Actual])</f>
        <v>0</v>
      </c>
      <c r="U8" s="44"/>
      <c r="V8" s="44"/>
    </row>
    <row r="9" spans="2:23" ht="3.75" customHeight="1">
      <c r="D9" s="2"/>
      <c r="H9" s="42"/>
      <c r="Q9" s="42"/>
    </row>
    <row r="10" spans="2:23" s="25" customFormat="1">
      <c r="B10" s="35"/>
      <c r="C10" s="37" t="str">
        <f>CONCATENATE(Table13675[[#Headers],[Income]],"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SUMIFS(Table442081[Amount],Table442081[Category],Table13675[[#Headers],[Income]],Table442081[Sub-Category],Table13675[[#This Row],[Income]])+SUMIFS(Table4480[Amount],Table4480[Category],Table13675[[#Headers],[Income]],Table4480[Sub-Category],Table13675[[#This Row],[Income]])</f>
        <v>0</v>
      </c>
      <c r="F12" s="3">
        <f>Table13675[[#This Row],[Actual]]-Table13675[[#This Row],[Budget]]</f>
        <v>0</v>
      </c>
      <c r="G12" s="32"/>
      <c r="H12" s="42"/>
      <c r="M12" s="4"/>
      <c r="N12" s="2"/>
      <c r="Q12" s="42"/>
      <c r="S12" s="27">
        <f>C1</f>
        <v>45200</v>
      </c>
      <c r="T12" s="29">
        <f>SUMIFS(Table442081[Amount],Table442081[Date],S12,Table442081[Category],Table13675[[#Headers],[Income]])+SUMIFS(Table4480[Amount],Table4480[Date],S12,Table4480[Category],Table13675[[#Headers],[Income]])</f>
        <v>0</v>
      </c>
      <c r="U12" s="29">
        <f>SUMIFS(Table474[Amount],Table474[Date],S12,Table474[Category],"&lt;&gt;"&amp;Table13675[[#Headers],[Income]])+SUMIFS(Table4480[Amount],Table4480[Date],S12,Table4480[Category],"&lt;&gt;"&amp;Table13675[[#Headers],[Income]])</f>
        <v>0</v>
      </c>
      <c r="V12" s="29">
        <f>E3+T12-U12</f>
        <v>1156.74</v>
      </c>
      <c r="W12" s="1">
        <f>V2</f>
        <v>1156.7400000000005</v>
      </c>
    </row>
    <row r="13" spans="2:23">
      <c r="B13" s="32"/>
      <c r="D13" s="2"/>
      <c r="E13" s="2">
        <f>SUMIFS(Table442081[Amount],Table442081[Category],Table13675[[#Headers],[Income]],Table442081[Sub-Category],Table13675[[#This Row],[Income]])+SUMIFS(Table4480[Amount],Table4480[Category],Table13675[[#Headers],[Income]],Table4480[Sub-Category],Table13675[[#This Row],[Income]])</f>
        <v>0</v>
      </c>
      <c r="F13" s="3">
        <f>Table13675[[#This Row],[Actual]]-Table13675[[#This Row],[Budget]]</f>
        <v>0</v>
      </c>
      <c r="G13" s="32"/>
      <c r="H13" s="42"/>
      <c r="M13" s="4"/>
      <c r="N13" s="2"/>
      <c r="Q13" s="42"/>
      <c r="S13" s="30">
        <f t="shared" ref="S13:S42" si="0">S12+1</f>
        <v>45201</v>
      </c>
      <c r="T13" s="28">
        <f>SUMIFS(Table442081[Amount],Table442081[Date],S13,Table442081[Category],Table13675[[#Headers],[Income]])+SUMIFS(Table4480[Amount],Table4480[Date],S13,Table4480[Category],Table13675[[#Headers],[Income]])</f>
        <v>0</v>
      </c>
      <c r="U13" s="28">
        <f>SUMIFS(Table474[Amount],Table474[Date],S13,Table474[Category],"&lt;&gt;"&amp;Table13675[[#Headers],[Income]])+SUMIFS(Table4480[Amount],Table4480[Date],S13,Table4480[Category],"&lt;&gt;"&amp;Table13675[[#Headers],[Income]])</f>
        <v>0</v>
      </c>
      <c r="V13" s="28">
        <f>V12+T13-U13</f>
        <v>1156.74</v>
      </c>
      <c r="W13" s="1">
        <f>W12</f>
        <v>1156.7400000000005</v>
      </c>
    </row>
    <row r="14" spans="2:23">
      <c r="B14" s="32"/>
      <c r="D14" s="12"/>
      <c r="E14" s="12">
        <f>SUMIFS(Table442081[Amount],Table442081[Category],Table13675[[#Headers],[Income]],Table442081[Sub-Category],Table13675[[#This Row],[Income]])+SUMIFS(Table4480[Amount],Table4480[Category],Table13675[[#Headers],[Income]],Table4480[Sub-Category],Table13675[[#This Row],[Income]])</f>
        <v>0</v>
      </c>
      <c r="F14" s="2">
        <f>Table13675[[#This Row],[Actual]]-Table13675[[#This Row],[Budget]]</f>
        <v>0</v>
      </c>
      <c r="G14" s="32"/>
      <c r="H14" s="42"/>
      <c r="M14" s="4"/>
      <c r="N14" s="2"/>
      <c r="Q14" s="42"/>
      <c r="S14" s="27">
        <f t="shared" si="0"/>
        <v>45202</v>
      </c>
      <c r="T14" s="29">
        <f>SUMIFS(Table442081[Amount],Table442081[Date],S14,Table442081[Category],Table13675[[#Headers],[Income]])+SUMIFS(Table4480[Amount],Table4480[Date],S14,Table4480[Category],Table13675[[#Headers],[Income]])</f>
        <v>0</v>
      </c>
      <c r="U14" s="29">
        <f>SUMIFS(Table474[Amount],Table474[Date],S14,Table474[Category],"&lt;&gt;"&amp;Table13675[[#Headers],[Income]])+SUMIFS(Table4480[Amount],Table4480[Date],S14,Table4480[Category],"&lt;&gt;"&amp;Table13675[[#Headers],[Income]])</f>
        <v>0</v>
      </c>
      <c r="V14" s="29">
        <f t="shared" ref="V14:V42" si="1">V13+T14-U14</f>
        <v>1156.74</v>
      </c>
      <c r="W14" s="1">
        <f t="shared" ref="W14:W42" si="2">W13</f>
        <v>1156.7400000000005</v>
      </c>
    </row>
    <row r="15" spans="2:23">
      <c r="B15" s="32"/>
      <c r="D15" s="2"/>
      <c r="E15" s="3">
        <f>SUMIFS(Table442081[Amount],Table442081[Category],Table13675[[#Headers],[Income]],Table442081[Sub-Category],Table13675[[#This Row],[Income]])+SUMIFS(Table4480[Amount],Table4480[Category],Table13675[[#Headers],[Income]],Table4480[Sub-Category],Table13675[[#This Row],[Income]])</f>
        <v>0</v>
      </c>
      <c r="F15" s="3">
        <f>Table13675[[#This Row],[Actual]]-Table13675[[#This Row],[Budget]]</f>
        <v>0</v>
      </c>
      <c r="G15" s="32"/>
      <c r="H15" s="42"/>
      <c r="J15" s="11"/>
      <c r="K15" s="11"/>
      <c r="L15" s="11"/>
      <c r="M15" s="24"/>
      <c r="N15" s="12"/>
      <c r="O15" s="11"/>
      <c r="Q15" s="42"/>
      <c r="S15" s="30">
        <f t="shared" si="0"/>
        <v>45203</v>
      </c>
      <c r="T15" s="28">
        <f>SUMIFS(Table442081[Amount],Table442081[Date],S15,Table442081[Category],Table13675[[#Headers],[Income]])+SUMIFS(Table4480[Amount],Table4480[Date],S15,Table4480[Category],Table13675[[#Headers],[Income]])</f>
        <v>0</v>
      </c>
      <c r="U15" s="28">
        <f>SUMIFS(Table474[Amount],Table474[Date],S15,Table474[Category],"&lt;&gt;"&amp;Table13675[[#Headers],[Income]])+SUMIFS(Table4480[Amount],Table4480[Date],S15,Table4480[Category],"&lt;&gt;"&amp;Table13675[[#Headers],[Income]])</f>
        <v>0</v>
      </c>
      <c r="V15" s="28">
        <f t="shared" si="1"/>
        <v>1156.74</v>
      </c>
      <c r="W15" s="1">
        <f t="shared" si="2"/>
        <v>1156.7400000000005</v>
      </c>
    </row>
    <row r="16" spans="2:23">
      <c r="B16" s="32"/>
      <c r="C16" s="6" t="s">
        <v>20</v>
      </c>
      <c r="D16" s="7">
        <f>SUBTOTAL(109,Table13675[Budget])</f>
        <v>0</v>
      </c>
      <c r="E16" s="7">
        <f>SUBTOTAL(109,Table13675[Actual])</f>
        <v>0</v>
      </c>
      <c r="F16" s="7">
        <f>SUBTOTAL(109,Table13675[Variance])</f>
        <v>0</v>
      </c>
      <c r="G16" s="36"/>
      <c r="H16" s="43"/>
      <c r="I16" s="2"/>
      <c r="M16" s="4"/>
      <c r="N16" s="2"/>
      <c r="Q16" s="43"/>
      <c r="S16" s="27">
        <f t="shared" si="0"/>
        <v>45204</v>
      </c>
      <c r="T16" s="29">
        <f>SUMIFS(Table442081[Amount],Table442081[Date],S16,Table442081[Category],Table13675[[#Headers],[Income]])+SUMIFS(Table4480[Amount],Table4480[Date],S16,Table4480[Category],Table13675[[#Headers],[Income]])</f>
        <v>0</v>
      </c>
      <c r="U16" s="29">
        <f>SUMIFS(Table474[Amount],Table474[Date],S16,Table474[Category],"&lt;&gt;"&amp;Table13675[[#Headers],[Income]])+SUMIFS(Table4480[Amount],Table4480[Date],S16,Table4480[Category],"&lt;&gt;"&amp;Table13675[[#Headers],[Income]])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45205</v>
      </c>
      <c r="T17" s="28">
        <f>SUMIFS(Table442081[Amount],Table442081[Date],S17,Table442081[Category],Table13675[[#Headers],[Income]])+SUMIFS(Table4480[Amount],Table4480[Date],S17,Table4480[Category],Table13675[[#Headers],[Income]])</f>
        <v>0</v>
      </c>
      <c r="U17" s="28">
        <f>SUMIFS(Table474[Amount],Table474[Date],S17,Table474[Category],"&lt;&gt;"&amp;Table13675[[#Headers],[Income]])+SUMIFS(Table4480[Amount],Table4480[Date],S17,Table4480[Category],"&lt;&gt;"&amp;Table13675[[#Headers],[Income]])</f>
        <v>0</v>
      </c>
      <c r="V17" s="28">
        <f t="shared" si="1"/>
        <v>1156.74</v>
      </c>
      <c r="W17" s="1">
        <f t="shared" si="2"/>
        <v>1156.7400000000005</v>
      </c>
    </row>
    <row r="18" spans="2:23">
      <c r="B18" s="32"/>
      <c r="C18" s="37" t="str">
        <f>CONCATENATE(Table172[[#Headers],[Housing]],"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45206</v>
      </c>
      <c r="T18" s="29">
        <f>SUMIFS(Table442081[Amount],Table442081[Date],S18,Table442081[Category],Table13675[[#Headers],[Income]])+SUMIFS(Table4480[Amount],Table4480[Date],S18,Table4480[Category],Table13675[[#Headers],[Income]])</f>
        <v>0</v>
      </c>
      <c r="U18" s="29">
        <f>SUMIFS(Table474[Amount],Table474[Date],S18,Table474[Category],"&lt;&gt;"&amp;Table13675[[#Headers],[Income]])+SUMIFS(Table4480[Amount],Table4480[Date],S18,Table4480[Category],"&lt;&gt;"&amp;Table13675[[#Headers],[Income]])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45207</v>
      </c>
      <c r="T19" s="28">
        <f>SUMIFS(Table442081[Amount],Table442081[Date],S19,Table442081[Category],Table13675[[#Headers],[Income]])+SUMIFS(Table4480[Amount],Table4480[Date],S19,Table4480[Category],Table13675[[#Headers],[Income]])</f>
        <v>0</v>
      </c>
      <c r="U19" s="28">
        <f>SUMIFS(Table474[Amount],Table474[Date],S19,Table474[Category],"&lt;&gt;"&amp;Table13675[[#Headers],[Income]])+SUMIFS(Table4480[Amount],Table4480[Date],S19,Table4480[Category],"&lt;&gt;"&amp;Table13675[[#Headers],[Income]])</f>
        <v>0</v>
      </c>
      <c r="V19" s="28">
        <f t="shared" si="1"/>
        <v>1156.74</v>
      </c>
      <c r="W19" s="1">
        <f t="shared" si="2"/>
        <v>1156.7400000000005</v>
      </c>
    </row>
    <row r="20" spans="2:23">
      <c r="B20" s="32"/>
      <c r="D20" s="2"/>
      <c r="E20" s="2">
        <f>SUMIFS(Table474[Amount],Table474[Category],Table172[[#Headers],[Housing]],Table474[Sub-Category],Table172[[#This Row],[Housing]])+SUMIFS(Table4480[Amount],Table4480[Category],Table172[[#Headers],[Housing]],Table4480[Sub-Category],Table172[[#This Row],[Housing]])</f>
        <v>0</v>
      </c>
      <c r="F20" s="3">
        <f>Table172[[#This Row],[Budget]]-Table172[[#This Row],[Actual]]</f>
        <v>0</v>
      </c>
      <c r="G20" s="36"/>
      <c r="H20" s="43"/>
      <c r="I20" s="2"/>
      <c r="J20" s="11"/>
      <c r="K20" s="11"/>
      <c r="L20" s="11"/>
      <c r="M20" s="24"/>
      <c r="N20" s="12"/>
      <c r="O20" s="11"/>
      <c r="Q20" s="43"/>
      <c r="S20" s="27">
        <f t="shared" si="0"/>
        <v>45208</v>
      </c>
      <c r="T20" s="29">
        <f>SUMIFS(Table442081[Amount],Table442081[Date],S20,Table442081[Category],Table13675[[#Headers],[Income]])+SUMIFS(Table4480[Amount],Table4480[Date],S20,Table4480[Category],Table13675[[#Headers],[Income]])</f>
        <v>0</v>
      </c>
      <c r="U20" s="29">
        <f>SUMIFS(Table474[Amount],Table474[Date],S20,Table474[Category],"&lt;&gt;"&amp;Table13675[[#Headers],[Income]])+SUMIFS(Table4480[Amount],Table4480[Date],S20,Table4480[Category],"&lt;&gt;"&amp;Table13675[[#Headers],[Income]])</f>
        <v>0</v>
      </c>
      <c r="V20" s="29">
        <f t="shared" si="1"/>
        <v>1156.74</v>
      </c>
      <c r="W20" s="1">
        <f t="shared" si="2"/>
        <v>1156.7400000000005</v>
      </c>
    </row>
    <row r="21" spans="2:23">
      <c r="B21" s="32"/>
      <c r="D21" s="2"/>
      <c r="E21" s="2">
        <f>SUMIFS(Table474[Amount],Table474[Category],Table172[[#Headers],[Housing]],Table474[Sub-Category],Table172[[#This Row],[Housing]])+SUMIFS(Table4480[Amount],Table4480[Category],Table172[[#Headers],[Housing]],Table4480[Sub-Category],Table172[[#This Row],[Housing]])</f>
        <v>0</v>
      </c>
      <c r="F21" s="3">
        <f>Table172[[#This Row],[Budget]]-Table172[[#This Row],[Actual]]</f>
        <v>0</v>
      </c>
      <c r="G21" s="36"/>
      <c r="H21" s="43"/>
      <c r="I21" s="2"/>
      <c r="J21" s="11"/>
      <c r="K21" s="11"/>
      <c r="L21" s="11"/>
      <c r="M21" s="24"/>
      <c r="N21" s="12"/>
      <c r="O21" s="11"/>
      <c r="Q21" s="43"/>
      <c r="S21" s="30">
        <f t="shared" si="0"/>
        <v>45209</v>
      </c>
      <c r="T21" s="28">
        <f>SUMIFS(Table442081[Amount],Table442081[Date],S21,Table442081[Category],Table13675[[#Headers],[Income]])+SUMIFS(Table4480[Amount],Table4480[Date],S21,Table4480[Category],Table13675[[#Headers],[Income]])</f>
        <v>0</v>
      </c>
      <c r="U21" s="28">
        <f>SUMIFS(Table474[Amount],Table474[Date],S21,Table474[Category],"&lt;&gt;"&amp;Table13675[[#Headers],[Income]])+SUMIFS(Table4480[Amount],Table4480[Date],S21,Table4480[Category],"&lt;&gt;"&amp;Table13675[[#Headers],[Income]])</f>
        <v>0</v>
      </c>
      <c r="V21" s="28">
        <f t="shared" si="1"/>
        <v>1156.74</v>
      </c>
      <c r="W21" s="1">
        <f t="shared" si="2"/>
        <v>1156.7400000000005</v>
      </c>
    </row>
    <row r="22" spans="2:23">
      <c r="B22" s="32"/>
      <c r="D22" s="2"/>
      <c r="E22" s="2">
        <f>SUMIFS(Table474[Amount],Table474[Category],Table172[[#Headers],[Housing]],Table474[Sub-Category],Table172[[#This Row],[Housing]])+SUMIFS(Table4480[Amount],Table4480[Category],Table172[[#Headers],[Housing]],Table4480[Sub-Category],Table172[[#This Row],[Housing]])</f>
        <v>0</v>
      </c>
      <c r="F22" s="3">
        <f>Table172[[#This Row],[Budget]]-Table172[[#This Row],[Actual]]</f>
        <v>0</v>
      </c>
      <c r="G22" s="36"/>
      <c r="H22" s="43"/>
      <c r="I22" s="2"/>
      <c r="J22" s="11"/>
      <c r="K22" s="11"/>
      <c r="L22" s="11"/>
      <c r="M22" s="24"/>
      <c r="N22" s="12"/>
      <c r="O22" s="11"/>
      <c r="Q22" s="43"/>
      <c r="S22" s="27">
        <f t="shared" si="0"/>
        <v>45210</v>
      </c>
      <c r="T22" s="29">
        <f>SUMIFS(Table442081[Amount],Table442081[Date],S22,Table442081[Category],Table13675[[#Headers],[Income]])+SUMIFS(Table4480[Amount],Table4480[Date],S22,Table4480[Category],Table13675[[#Headers],[Income]])</f>
        <v>0</v>
      </c>
      <c r="U22" s="29">
        <f>SUMIFS(Table474[Amount],Table474[Date],S22,Table474[Category],"&lt;&gt;"&amp;Table13675[[#Headers],[Income]])+SUMIFS(Table4480[Amount],Table4480[Date],S22,Table4480[Category],"&lt;&gt;"&amp;Table13675[[#Headers],[Income]])</f>
        <v>0</v>
      </c>
      <c r="V22" s="29">
        <f t="shared" si="1"/>
        <v>1156.74</v>
      </c>
      <c r="W22" s="1">
        <f t="shared" si="2"/>
        <v>1156.7400000000005</v>
      </c>
    </row>
    <row r="23" spans="2:23">
      <c r="B23" s="32"/>
      <c r="D23" s="2"/>
      <c r="E23" s="2">
        <f>SUMIFS(Table474[Amount],Table474[Category],Table172[[#Headers],[Housing]],Table474[Sub-Category],Table172[[#This Row],[Housing]])+SUMIFS(Table4480[Amount],Table4480[Category],Table172[[#Headers],[Housing]],Table4480[Sub-Category],Table172[[#This Row],[Housing]])</f>
        <v>0</v>
      </c>
      <c r="F23" s="3">
        <f>Table172[[#This Row],[Budget]]-Table172[[#This Row],[Actual]]</f>
        <v>0</v>
      </c>
      <c r="G23" s="36"/>
      <c r="H23" s="43"/>
      <c r="I23" s="2"/>
      <c r="J23" s="11"/>
      <c r="K23" s="11"/>
      <c r="L23" s="11"/>
      <c r="M23" s="24"/>
      <c r="N23" s="12"/>
      <c r="O23" s="11"/>
      <c r="Q23" s="43"/>
      <c r="S23" s="30">
        <f t="shared" si="0"/>
        <v>45211</v>
      </c>
      <c r="T23" s="28">
        <f>SUMIFS(Table442081[Amount],Table442081[Date],S23,Table442081[Category],Table13675[[#Headers],[Income]])+SUMIFS(Table4480[Amount],Table4480[Date],S23,Table4480[Category],Table13675[[#Headers],[Income]])</f>
        <v>0</v>
      </c>
      <c r="U23" s="28">
        <f>SUMIFS(Table474[Amount],Table474[Date],S23,Table474[Category],"&lt;&gt;"&amp;Table13675[[#Headers],[Income]])+SUMIFS(Table4480[Amount],Table4480[Date],S23,Table4480[Category],"&lt;&gt;"&amp;Table13675[[#Headers],[Income]])</f>
        <v>0</v>
      </c>
      <c r="V23" s="28">
        <f t="shared" si="1"/>
        <v>1156.74</v>
      </c>
      <c r="W23" s="1">
        <f t="shared" si="2"/>
        <v>1156.7400000000005</v>
      </c>
    </row>
    <row r="24" spans="2:23">
      <c r="B24" s="32"/>
      <c r="D24" s="2"/>
      <c r="E24" s="2">
        <f>SUMIFS(Table474[Amount],Table474[Category],Table172[[#Headers],[Housing]],Table474[Sub-Category],Table172[[#This Row],[Housing]])+SUMIFS(Table4480[Amount],Table4480[Category],Table172[[#Headers],[Housing]],Table4480[Sub-Category],Table172[[#This Row],[Housing]])</f>
        <v>0</v>
      </c>
      <c r="F24" s="3">
        <f>Table172[[#This Row],[Budget]]-Table172[[#This Row],[Actual]]</f>
        <v>0</v>
      </c>
      <c r="G24" s="36"/>
      <c r="H24" s="43"/>
      <c r="I24" s="2"/>
      <c r="J24" s="11"/>
      <c r="K24" s="11"/>
      <c r="L24" s="11"/>
      <c r="M24" s="24"/>
      <c r="N24" s="12"/>
      <c r="O24" s="11"/>
      <c r="Q24" s="43"/>
      <c r="S24" s="27">
        <f t="shared" si="0"/>
        <v>45212</v>
      </c>
      <c r="T24" s="29">
        <f>SUMIFS(Table442081[Amount],Table442081[Date],S24,Table442081[Category],Table13675[[#Headers],[Income]])+SUMIFS(Table4480[Amount],Table4480[Date],S24,Table4480[Category],Table13675[[#Headers],[Income]])</f>
        <v>0</v>
      </c>
      <c r="U24" s="29">
        <f>SUMIFS(Table474[Amount],Table474[Date],S24,Table474[Category],"&lt;&gt;"&amp;Table13675[[#Headers],[Income]])+SUMIFS(Table4480[Amount],Table4480[Date],S24,Table4480[Category],"&lt;&gt;"&amp;Table13675[[#Headers],[Income]])</f>
        <v>0</v>
      </c>
      <c r="V24" s="29">
        <f t="shared" si="1"/>
        <v>1156.74</v>
      </c>
      <c r="W24" s="1">
        <f t="shared" si="2"/>
        <v>1156.7400000000005</v>
      </c>
    </row>
    <row r="25" spans="2:23">
      <c r="B25" s="32"/>
      <c r="D25" s="2"/>
      <c r="E25" s="2">
        <f>SUMIFS(Table474[Amount],Table474[Category],Table172[[#Headers],[Housing]],Table474[Sub-Category],Table172[[#This Row],[Housing]])+SUMIFS(Table4480[Amount],Table4480[Category],Table172[[#Headers],[Housing]],Table4480[Sub-Category],Table172[[#This Row],[Housing]])</f>
        <v>0</v>
      </c>
      <c r="F25" s="3">
        <f>Table172[[#This Row],[Budget]]-Table172[[#This Row],[Actual]]</f>
        <v>0</v>
      </c>
      <c r="G25" s="32"/>
      <c r="H25" s="42"/>
      <c r="J25" s="11"/>
      <c r="K25" s="11"/>
      <c r="L25" s="11"/>
      <c r="M25" s="24"/>
      <c r="N25" s="12"/>
      <c r="O25" s="11"/>
      <c r="Q25" s="42"/>
      <c r="S25" s="30">
        <f t="shared" si="0"/>
        <v>45213</v>
      </c>
      <c r="T25" s="28">
        <f>SUMIFS(Table442081[Amount],Table442081[Date],S25,Table442081[Category],Table13675[[#Headers],[Income]])+SUMIFS(Table4480[Amount],Table4480[Date],S25,Table4480[Category],Table13675[[#Headers],[Income]])</f>
        <v>0</v>
      </c>
      <c r="U25" s="28">
        <f>SUMIFS(Table474[Amount],Table474[Date],S25,Table474[Category],"&lt;&gt;"&amp;Table13675[[#Headers],[Income]])+SUMIFS(Table4480[Amount],Table4480[Date],S25,Table4480[Category],"&lt;&gt;"&amp;Table13675[[#Headers],[Income]])</f>
        <v>0</v>
      </c>
      <c r="V25" s="28">
        <f t="shared" si="1"/>
        <v>1156.74</v>
      </c>
      <c r="W25" s="1">
        <f t="shared" si="2"/>
        <v>1156.7400000000005</v>
      </c>
    </row>
    <row r="26" spans="2:23">
      <c r="B26" s="32"/>
      <c r="D26" s="2"/>
      <c r="E26" s="2">
        <f>SUMIFS(Table474[Amount],Table474[Category],Table172[[#Headers],[Housing]],Table474[Sub-Category],Table172[[#This Row],[Housing]])+SUMIFS(Table4480[Amount],Table4480[Category],Table172[[#Headers],[Housing]],Table4480[Sub-Category],Table172[[#This Row],[Housing]])</f>
        <v>0</v>
      </c>
      <c r="F26" s="3">
        <f>Table172[[#This Row],[Budget]]-Table172[[#This Row],[Actual]]</f>
        <v>0</v>
      </c>
      <c r="G26" s="32"/>
      <c r="H26" s="42"/>
      <c r="J26" s="11"/>
      <c r="K26" s="11"/>
      <c r="L26" s="11"/>
      <c r="M26" s="24"/>
      <c r="N26" s="12"/>
      <c r="O26" s="11"/>
      <c r="Q26" s="42"/>
      <c r="S26" s="27">
        <f t="shared" si="0"/>
        <v>45214</v>
      </c>
      <c r="T26" s="29">
        <f>SUMIFS(Table442081[Amount],Table442081[Date],S26,Table442081[Category],Table13675[[#Headers],[Income]])+SUMIFS(Table4480[Amount],Table4480[Date],S26,Table4480[Category],Table13675[[#Headers],[Income]])</f>
        <v>0</v>
      </c>
      <c r="U26" s="29">
        <f>SUMIFS(Table474[Amount],Table474[Date],S26,Table474[Category],"&lt;&gt;"&amp;Table13675[[#Headers],[Income]])+SUMIFS(Table4480[Amount],Table4480[Date],S26,Table4480[Category],"&lt;&gt;"&amp;Table13675[[#Headers],[Income]])</f>
        <v>0</v>
      </c>
      <c r="V26" s="29">
        <f t="shared" si="1"/>
        <v>1156.74</v>
      </c>
      <c r="W26" s="1">
        <f t="shared" si="2"/>
        <v>1156.7400000000005</v>
      </c>
    </row>
    <row r="27" spans="2:23">
      <c r="B27" s="32"/>
      <c r="D27" s="2"/>
      <c r="E27" s="2">
        <f>SUMIFS(Table474[Amount],Table474[Category],Table172[[#Headers],[Housing]],Table474[Sub-Category],Table172[[#This Row],[Housing]])+SUMIFS(Table4480[Amount],Table4480[Category],Table172[[#Headers],[Housing]],Table4480[Sub-Category],Table172[[#This Row],[Housing]])</f>
        <v>0</v>
      </c>
      <c r="F27" s="3">
        <f>Table172[[#This Row],[Budget]]-Table172[[#This Row],[Actual]]</f>
        <v>0</v>
      </c>
      <c r="G27" s="36"/>
      <c r="H27" s="43"/>
      <c r="I27" s="2"/>
      <c r="J27" s="11"/>
      <c r="K27" s="11"/>
      <c r="L27" s="11"/>
      <c r="M27" s="24"/>
      <c r="N27" s="12"/>
      <c r="O27" s="11"/>
      <c r="Q27" s="43"/>
      <c r="S27" s="30">
        <f t="shared" si="0"/>
        <v>45215</v>
      </c>
      <c r="T27" s="28">
        <f>SUMIFS(Table442081[Amount],Table442081[Date],S27,Table442081[Category],Table13675[[#Headers],[Income]])+SUMIFS(Table4480[Amount],Table4480[Date],S27,Table4480[Category],Table13675[[#Headers],[Income]])</f>
        <v>0</v>
      </c>
      <c r="U27" s="28">
        <f>SUMIFS(Table474[Amount],Table474[Date],S27,Table474[Category],"&lt;&gt;"&amp;Table13675[[#Headers],[Income]])+SUMIFS(Table4480[Amount],Table4480[Date],S27,Table4480[Category],"&lt;&gt;"&amp;Table13675[[#Headers],[Income]])</f>
        <v>0</v>
      </c>
      <c r="V27" s="28">
        <f t="shared" si="1"/>
        <v>1156.74</v>
      </c>
      <c r="W27" s="1">
        <f t="shared" si="2"/>
        <v>1156.7400000000005</v>
      </c>
    </row>
    <row r="28" spans="2:23">
      <c r="B28" s="32"/>
      <c r="C28" s="11"/>
      <c r="D28" s="12"/>
      <c r="E28" s="13">
        <f>SUMIFS(Table474[Amount],Table474[Category],Table172[[#Headers],[Housing]],Table474[Sub-Category],Table172[[#This Row],[Housing]])+SUMIFS(Table4480[Amount],Table4480[Category],Table172[[#Headers],[Housing]],Table4480[Sub-Category],Table172[[#This Row],[Housing]])</f>
        <v>0</v>
      </c>
      <c r="F28" s="13">
        <f>Table172[[#This Row],[Budget]]-Table172[[#This Row],[Actual]]</f>
        <v>0</v>
      </c>
      <c r="G28" s="36"/>
      <c r="H28" s="43"/>
      <c r="I28" s="2"/>
      <c r="J28" s="11"/>
      <c r="K28" s="11"/>
      <c r="L28" s="11"/>
      <c r="M28" s="24"/>
      <c r="N28" s="12"/>
      <c r="O28" s="11"/>
      <c r="Q28" s="43"/>
      <c r="S28" s="27">
        <f t="shared" si="0"/>
        <v>45216</v>
      </c>
      <c r="T28" s="29">
        <f>SUMIFS(Table442081[Amount],Table442081[Date],S28,Table442081[Category],Table13675[[#Headers],[Income]])+SUMIFS(Table4480[Amount],Table4480[Date],S28,Table4480[Category],Table13675[[#Headers],[Income]])</f>
        <v>0</v>
      </c>
      <c r="U28" s="29">
        <f>SUMIFS(Table474[Amount],Table474[Date],S28,Table474[Category],"&lt;&gt;"&amp;Table13675[[#Headers],[Income]])+SUMIFS(Table4480[Amount],Table4480[Date],S28,Table4480[Category],"&lt;&gt;"&amp;Table13675[[#Headers],[Income]])</f>
        <v>0</v>
      </c>
      <c r="V28" s="29">
        <f t="shared" si="1"/>
        <v>1156.74</v>
      </c>
      <c r="W28" s="1">
        <f t="shared" si="2"/>
        <v>1156.7400000000005</v>
      </c>
    </row>
    <row r="29" spans="2:23">
      <c r="B29" s="32"/>
      <c r="C29" s="9" t="s">
        <v>20</v>
      </c>
      <c r="D29" s="10">
        <f>SUBTOTAL(109,Table172[Budget])</f>
        <v>0</v>
      </c>
      <c r="E29" s="10">
        <f>SUBTOTAL(109,Table172[Actual])</f>
        <v>0</v>
      </c>
      <c r="F29" s="10">
        <f>SUBTOTAL(109,Table172[Variance])</f>
        <v>0</v>
      </c>
      <c r="G29" s="32"/>
      <c r="H29" s="42"/>
      <c r="J29" s="11"/>
      <c r="K29" s="11"/>
      <c r="L29" s="11"/>
      <c r="M29" s="24"/>
      <c r="N29" s="12"/>
      <c r="O29" s="11"/>
      <c r="Q29" s="42"/>
      <c r="S29" s="30">
        <f t="shared" si="0"/>
        <v>45217</v>
      </c>
      <c r="T29" s="28">
        <f>SUMIFS(Table442081[Amount],Table442081[Date],S29,Table442081[Category],Table13675[[#Headers],[Income]])+SUMIFS(Table4480[Amount],Table4480[Date],S29,Table4480[Category],Table13675[[#Headers],[Income]])</f>
        <v>0</v>
      </c>
      <c r="U29" s="28">
        <f>SUMIFS(Table474[Amount],Table474[Date],S29,Table474[Category],"&lt;&gt;"&amp;Table13675[[#Headers],[Income]])+SUMIFS(Table4480[Amount],Table4480[Date],S29,Table4480[Category],"&lt;&gt;"&amp;Table13675[[#Headers],[Income]])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45218</v>
      </c>
      <c r="T30" s="29">
        <f>SUMIFS(Table442081[Amount],Table442081[Date],S30,Table442081[Category],Table13675[[#Headers],[Income]])+SUMIFS(Table4480[Amount],Table4480[Date],S30,Table4480[Category],Table13675[[#Headers],[Income]])</f>
        <v>0</v>
      </c>
      <c r="U30" s="29">
        <f>SUMIFS(Table474[Amount],Table474[Date],S30,Table474[Category],"&lt;&gt;"&amp;Table13675[[#Headers],[Income]])+SUMIFS(Table4480[Amount],Table4480[Date],S30,Table4480[Category],"&lt;&gt;"&amp;Table13675[[#Headers],[Income]])</f>
        <v>0</v>
      </c>
      <c r="V30" s="29">
        <f t="shared" si="1"/>
        <v>1156.74</v>
      </c>
      <c r="W30" s="1">
        <f t="shared" si="2"/>
        <v>1156.7400000000005</v>
      </c>
    </row>
    <row r="31" spans="2:23">
      <c r="B31" s="32"/>
      <c r="C31" s="37" t="str">
        <f>CONCATENATE(Table1373[[#Headers],[Transportation]]," - Budget &amp; Tracking")</f>
        <v>Transportation - Budget &amp; Tracking</v>
      </c>
      <c r="D31" s="38"/>
      <c r="E31" s="38"/>
      <c r="F31" s="39"/>
      <c r="G31" s="32"/>
      <c r="H31" s="42"/>
      <c r="J31" s="11"/>
      <c r="K31" s="11"/>
      <c r="L31" s="11"/>
      <c r="M31" s="24"/>
      <c r="N31" s="12"/>
      <c r="O31" s="11"/>
      <c r="Q31" s="42"/>
      <c r="S31" s="30">
        <f t="shared" si="0"/>
        <v>45219</v>
      </c>
      <c r="T31" s="28">
        <f>SUMIFS(Table442081[Amount],Table442081[Date],S31,Table442081[Category],Table13675[[#Headers],[Income]])+SUMIFS(Table4480[Amount],Table4480[Date],S31,Table4480[Category],Table13675[[#Headers],[Income]])</f>
        <v>0</v>
      </c>
      <c r="U31" s="28">
        <f>SUMIFS(Table474[Amount],Table474[Date],S31,Table474[Category],"&lt;&gt;"&amp;Table13675[[#Headers],[Income]])+SUMIFS(Table4480[Amount],Table4480[Date],S31,Table4480[Category],"&lt;&gt;"&amp;Table13675[[#Headers],[Income]])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45220</v>
      </c>
      <c r="T32" s="29">
        <f>SUMIFS(Table442081[Amount],Table442081[Date],S32,Table442081[Category],Table13675[[#Headers],[Income]])+SUMIFS(Table4480[Amount],Table4480[Date],S32,Table4480[Category],Table13675[[#Headers],[Income]])</f>
        <v>0</v>
      </c>
      <c r="U32" s="29">
        <f>SUMIFS(Table474[Amount],Table474[Date],S32,Table474[Category],"&lt;&gt;"&amp;Table13675[[#Headers],[Income]])+SUMIFS(Table4480[Amount],Table4480[Date],S32,Table4480[Category],"&lt;&gt;"&amp;Table13675[[#Headers],[Income]])</f>
        <v>0</v>
      </c>
      <c r="V32" s="29">
        <f t="shared" si="1"/>
        <v>1156.74</v>
      </c>
      <c r="W32" s="1">
        <f t="shared" si="2"/>
        <v>1156.7400000000005</v>
      </c>
    </row>
    <row r="33" spans="2:23">
      <c r="B33" s="32"/>
      <c r="D33" s="2"/>
      <c r="E33" s="2">
        <f>SUMIFS(Table474[Amount],Table474[Category],Table1373[[#Headers],[Transportation]],Table474[Sub-Category],Table1373[[#This Row],[Transportation]])+SUMIFS(Table4480[Amount],Table4480[Category],Table1373[[#Headers],[Transportation]],Table4480[Sub-Category],Table1373[[#This Row],[Transportation]])</f>
        <v>0</v>
      </c>
      <c r="F33" s="3">
        <f>Table1373[[#This Row],[Budget]]-Table1373[[#This Row],[Actual]]</f>
        <v>0</v>
      </c>
      <c r="G33" s="32"/>
      <c r="H33" s="42"/>
      <c r="J33" s="37" t="s">
        <v>44</v>
      </c>
      <c r="K33" s="38"/>
      <c r="L33" s="38"/>
      <c r="M33" s="38"/>
      <c r="N33" s="38"/>
      <c r="O33" s="39"/>
      <c r="Q33" s="42"/>
      <c r="S33" s="30">
        <f t="shared" si="0"/>
        <v>45221</v>
      </c>
      <c r="T33" s="28">
        <f>SUMIFS(Table442081[Amount],Table442081[Date],S33,Table442081[Category],Table13675[[#Headers],[Income]])+SUMIFS(Table4480[Amount],Table4480[Date],S33,Table4480[Category],Table13675[[#Headers],[Income]])</f>
        <v>0</v>
      </c>
      <c r="U33" s="28">
        <f>SUMIFS(Table474[Amount],Table474[Date],S33,Table474[Category],"&lt;&gt;"&amp;Table13675[[#Headers],[Income]])+SUMIFS(Table4480[Amount],Table4480[Date],S33,Table4480[Category],"&lt;&gt;"&amp;Table13675[[#Headers],[Income]])</f>
        <v>0</v>
      </c>
      <c r="V33" s="28">
        <f t="shared" si="1"/>
        <v>1156.74</v>
      </c>
      <c r="W33" s="1">
        <f t="shared" si="2"/>
        <v>1156.7400000000005</v>
      </c>
    </row>
    <row r="34" spans="2:23">
      <c r="B34" s="32"/>
      <c r="D34" s="2"/>
      <c r="E34" s="2">
        <f>SUMIFS(Table474[Amount],Table474[Category],Table1373[[#Headers],[Transportation]],Table474[Sub-Category],Table1373[[#This Row],[Transportation]])+SUMIFS(Table4480[Amount],Table4480[Category],Table1373[[#Headers],[Transportation]],Table4480[Sub-Category],Table1373[[#This Row],[Transportation]])</f>
        <v>0</v>
      </c>
      <c r="F34" s="3">
        <f>Table1373[[#This Row],[Budget]]-Table1373[[#This Row],[Actual]]</f>
        <v>0</v>
      </c>
      <c r="G34" s="32"/>
      <c r="H34" s="42"/>
      <c r="J34" s="31" t="s">
        <v>9</v>
      </c>
      <c r="K34" s="31" t="s">
        <v>0</v>
      </c>
      <c r="L34" s="31" t="s">
        <v>13</v>
      </c>
      <c r="M34" s="31" t="s">
        <v>10</v>
      </c>
      <c r="N34" s="31" t="s">
        <v>11</v>
      </c>
      <c r="O34" s="31" t="s">
        <v>16</v>
      </c>
      <c r="Q34" s="42"/>
      <c r="S34" s="27">
        <f t="shared" si="0"/>
        <v>45222</v>
      </c>
      <c r="T34" s="29">
        <f>SUMIFS(Table442081[Amount],Table442081[Date],S34,Table442081[Category],Table13675[[#Headers],[Income]])+SUMIFS(Table4480[Amount],Table4480[Date],S34,Table4480[Category],Table13675[[#Headers],[Income]])</f>
        <v>0</v>
      </c>
      <c r="U34" s="29">
        <f>SUMIFS(Table474[Amount],Table474[Date],S34,Table474[Category],"&lt;&gt;"&amp;Table13675[[#Headers],[Income]])+SUMIFS(Table4480[Amount],Table4480[Date],S34,Table4480[Category],"&lt;&gt;"&amp;Table13675[[#Headers],[Income]])</f>
        <v>0</v>
      </c>
      <c r="V34" s="29">
        <f t="shared" si="1"/>
        <v>1156.74</v>
      </c>
      <c r="W34" s="1">
        <f t="shared" si="2"/>
        <v>1156.7400000000005</v>
      </c>
    </row>
    <row r="35" spans="2:23">
      <c r="B35" s="32"/>
      <c r="C35" s="11"/>
      <c r="D35" s="12"/>
      <c r="E35" s="13">
        <f>SUMIFS(Table474[Amount],Table474[Category],Table1373[[#Headers],[Transportation]],Table474[Sub-Category],Table1373[[#This Row],[Transportation]])+SUMIFS(Table4480[Amount],Table4480[Category],Table1373[[#Headers],[Transportation]],Table4480[Sub-Category],Table1373[[#This Row],[Transportation]])</f>
        <v>0</v>
      </c>
      <c r="F35" s="13">
        <f>Table1373[[#This Row],[Budget]]-Table1373[[#This Row],[Actual]]</f>
        <v>0</v>
      </c>
      <c r="G35" s="32"/>
      <c r="H35" s="42"/>
      <c r="M35" s="4"/>
      <c r="N35" s="2"/>
      <c r="Q35" s="42"/>
      <c r="S35" s="30">
        <f t="shared" si="0"/>
        <v>45223</v>
      </c>
      <c r="T35" s="28">
        <f>SUMIFS(Table442081[Amount],Table442081[Date],S35,Table442081[Category],Table13675[[#Headers],[Income]])+SUMIFS(Table4480[Amount],Table4480[Date],S35,Table4480[Category],Table13675[[#Headers],[Income]])</f>
        <v>0</v>
      </c>
      <c r="U35" s="28">
        <f>SUMIFS(Table474[Amount],Table474[Date],S35,Table474[Category],"&lt;&gt;"&amp;Table13675[[#Headers],[Income]])+SUMIFS(Table4480[Amount],Table4480[Date],S35,Table4480[Category],"&lt;&gt;"&amp;Table13675[[#Headers],[Income]])</f>
        <v>0</v>
      </c>
      <c r="V35" s="28">
        <f t="shared" si="1"/>
        <v>1156.74</v>
      </c>
      <c r="W35" s="1">
        <f t="shared" si="2"/>
        <v>1156.7400000000005</v>
      </c>
    </row>
    <row r="36" spans="2:23">
      <c r="B36" s="32"/>
      <c r="C36" s="11"/>
      <c r="D36" s="12"/>
      <c r="E36" s="13">
        <f>SUMIFS(Table474[Amount],Table474[Category],Table1373[[#Headers],[Transportation]],Table474[Sub-Category],Table1373[[#This Row],[Transportation]])+SUMIFS(Table4480[Amount],Table4480[Category],Table1373[[#Headers],[Transportation]],Table4480[Sub-Category],Table1373[[#This Row],[Transportation]])</f>
        <v>0</v>
      </c>
      <c r="F36" s="13">
        <f>Table1373[[#This Row],[Budget]]-Table1373[[#This Row],[Actual]]</f>
        <v>0</v>
      </c>
      <c r="G36" s="32"/>
      <c r="H36" s="42"/>
      <c r="M36" s="4"/>
      <c r="N36" s="2"/>
      <c r="Q36" s="42"/>
      <c r="S36" s="27">
        <f t="shared" si="0"/>
        <v>45224</v>
      </c>
      <c r="T36" s="29">
        <f>SUMIFS(Table442081[Amount],Table442081[Date],S36,Table442081[Category],Table13675[[#Headers],[Income]])+SUMIFS(Table4480[Amount],Table4480[Date],S36,Table4480[Category],Table13675[[#Headers],[Income]])</f>
        <v>0</v>
      </c>
      <c r="U36" s="29">
        <f>SUMIFS(Table474[Amount],Table474[Date],S36,Table474[Category],"&lt;&gt;"&amp;Table13675[[#Headers],[Income]])+SUMIFS(Table4480[Amount],Table4480[Date],S36,Table4480[Category],"&lt;&gt;"&amp;Table13675[[#Headers],[Income]])</f>
        <v>0</v>
      </c>
      <c r="V36" s="29">
        <f t="shared" si="1"/>
        <v>1156.74</v>
      </c>
      <c r="W36" s="1">
        <f t="shared" si="2"/>
        <v>1156.7400000000005</v>
      </c>
    </row>
    <row r="37" spans="2:23">
      <c r="B37" s="32"/>
      <c r="C37" s="9" t="s">
        <v>20</v>
      </c>
      <c r="D37" s="10">
        <f>SUBTOTAL(109,Table1373[Budget])</f>
        <v>0</v>
      </c>
      <c r="E37" s="10">
        <f>SUBTOTAL(109,Table1373[Actual])</f>
        <v>0</v>
      </c>
      <c r="F37" s="10">
        <f>SUBTOTAL(109,Table1373[Variance])</f>
        <v>0</v>
      </c>
      <c r="G37" s="32"/>
      <c r="H37" s="42"/>
      <c r="M37" s="4"/>
      <c r="N37" s="2"/>
      <c r="Q37" s="42"/>
      <c r="S37" s="30">
        <f t="shared" si="0"/>
        <v>45225</v>
      </c>
      <c r="T37" s="28">
        <f>SUMIFS(Table442081[Amount],Table442081[Date],S37,Table442081[Category],Table13675[[#Headers],[Income]])+SUMIFS(Table4480[Amount],Table4480[Date],S37,Table4480[Category],Table13675[[#Headers],[Income]])</f>
        <v>0</v>
      </c>
      <c r="U37" s="28">
        <f>SUMIFS(Table474[Amount],Table474[Date],S37,Table474[Category],"&lt;&gt;"&amp;Table13675[[#Headers],[Income]])+SUMIFS(Table4480[Amount],Table4480[Date],S37,Table4480[Category],"&lt;&gt;"&amp;Table13675[[#Headers],[Income]])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45226</v>
      </c>
      <c r="T38" s="29">
        <f>SUMIFS(Table442081[Amount],Table442081[Date],S38,Table442081[Category],Table13675[[#Headers],[Income]])+SUMIFS(Table4480[Amount],Table4480[Date],S38,Table4480[Category],Table13675[[#Headers],[Income]])</f>
        <v>0</v>
      </c>
      <c r="U38" s="29">
        <f>SUMIFS(Table474[Amount],Table474[Date],S38,Table474[Category],"&lt;&gt;"&amp;Table13675[[#Headers],[Income]])+SUMIFS(Table4480[Amount],Table4480[Date],S38,Table4480[Category],"&lt;&gt;"&amp;Table13675[[#Headers],[Income]])</f>
        <v>0</v>
      </c>
      <c r="V38" s="29">
        <f t="shared" si="1"/>
        <v>1156.74</v>
      </c>
      <c r="W38" s="1">
        <f t="shared" si="2"/>
        <v>1156.7400000000005</v>
      </c>
    </row>
    <row r="39" spans="2:23">
      <c r="B39" s="32"/>
      <c r="C39" s="37" t="str">
        <f>CONCATENATE(Table1391079[[#Headers],[Bills]]," - Budget &amp; Tracking")</f>
        <v>Bills - Budget &amp; Tracking</v>
      </c>
      <c r="D39" s="38"/>
      <c r="E39" s="38"/>
      <c r="F39" s="39"/>
      <c r="G39" s="32"/>
      <c r="H39" s="42"/>
      <c r="J39" s="11"/>
      <c r="K39" s="11"/>
      <c r="L39" s="11"/>
      <c r="M39" s="24"/>
      <c r="N39" s="12"/>
      <c r="O39" s="11"/>
      <c r="Q39" s="42"/>
      <c r="S39" s="30">
        <f t="shared" si="0"/>
        <v>45227</v>
      </c>
      <c r="T39" s="28">
        <f>SUMIFS(Table442081[Amount],Table442081[Date],S39,Table442081[Category],Table13675[[#Headers],[Income]])+SUMIFS(Table4480[Amount],Table4480[Date],S39,Table4480[Category],Table13675[[#Headers],[Income]])</f>
        <v>0</v>
      </c>
      <c r="U39" s="28">
        <f>SUMIFS(Table474[Amount],Table474[Date],S39,Table474[Category],"&lt;&gt;"&amp;Table13675[[#Headers],[Income]])+SUMIFS(Table4480[Amount],Table4480[Date],S39,Table4480[Category],"&lt;&gt;"&amp;Table13675[[#Headers],[Income]])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45228</v>
      </c>
      <c r="T40" s="29">
        <f>SUMIFS(Table442081[Amount],Table442081[Date],S40,Table442081[Category],Table13675[[#Headers],[Income]])+SUMIFS(Table4480[Amount],Table4480[Date],S40,Table4480[Category],Table13675[[#Headers],[Income]])</f>
        <v>0</v>
      </c>
      <c r="U40" s="29">
        <f>SUMIFS(Table474[Amount],Table474[Date],S40,Table474[Category],"&lt;&gt;"&amp;Table13675[[#Headers],[Income]])+SUMIFS(Table4480[Amount],Table4480[Date],S40,Table4480[Category],"&lt;&gt;"&amp;Table13675[[#Headers],[Income]])</f>
        <v>0</v>
      </c>
      <c r="V40" s="29">
        <f t="shared" si="1"/>
        <v>1156.74</v>
      </c>
      <c r="W40" s="1">
        <f t="shared" si="2"/>
        <v>1156.7400000000005</v>
      </c>
    </row>
    <row r="41" spans="2:23">
      <c r="B41" s="32"/>
      <c r="D41" s="2"/>
      <c r="E41" s="2">
        <f>SUMIFS(Table474[Amount],Table474[Category],Table1391079[[#Headers],[Bills]],Table474[Sub-Category],Table1391079[[#This Row],[Bills]])+SUMIFS(Table4480[Amount],Table4480[Category],Table1391079[[#Headers],[Bills]],Table4480[Sub-Category],Table1391079[[#This Row],[Bills]])</f>
        <v>0</v>
      </c>
      <c r="F41" s="3">
        <f>Table1391079[[#This Row],[Budget]]-Table1391079[[#This Row],[Actual]]</f>
        <v>0</v>
      </c>
      <c r="G41" s="32"/>
      <c r="H41" s="42"/>
      <c r="Q41" s="42"/>
      <c r="S41" s="30">
        <f t="shared" si="0"/>
        <v>45229</v>
      </c>
      <c r="T41" s="28">
        <f>SUMIFS(Table442081[Amount],Table442081[Date],S41,Table442081[Category],Table13675[[#Headers],[Income]])+SUMIFS(Table4480[Amount],Table4480[Date],S41,Table4480[Category],Table13675[[#Headers],[Income]])</f>
        <v>0</v>
      </c>
      <c r="U41" s="28">
        <f>SUMIFS(Table474[Amount],Table474[Date],S41,Table474[Category],"&lt;&gt;"&amp;Table13675[[#Headers],[Income]])+SUMIFS(Table4480[Amount],Table4480[Date],S41,Table4480[Category],"&lt;&gt;"&amp;Table13675[[#Headers],[Income]])</f>
        <v>0</v>
      </c>
      <c r="V41" s="28">
        <f t="shared" si="1"/>
        <v>1156.74</v>
      </c>
      <c r="W41" s="1">
        <f t="shared" si="2"/>
        <v>1156.7400000000005</v>
      </c>
    </row>
    <row r="42" spans="2:23">
      <c r="B42" s="32"/>
      <c r="D42" s="2"/>
      <c r="E42" s="2">
        <f>SUMIFS(Table474[Amount],Table474[Category],Table1391079[[#Headers],[Bills]],Table474[Sub-Category],Table1391079[[#This Row],[Bills]])+SUMIFS(Table4480[Amount],Table4480[Category],Table1391079[[#Headers],[Bills]],Table4480[Sub-Category],Table1391079[[#This Row],[Bills]])</f>
        <v>0</v>
      </c>
      <c r="F42" s="3">
        <f>Table1391079[[#This Row],[Budget]]-Table1391079[[#This Row],[Actual]]</f>
        <v>0</v>
      </c>
      <c r="G42" s="32"/>
      <c r="H42" s="42"/>
      <c r="Q42" s="42"/>
      <c r="S42" s="27">
        <f t="shared" si="0"/>
        <v>45230</v>
      </c>
      <c r="T42" s="29">
        <f>SUMIFS(Table442081[Amount],Table442081[Date],S42,Table442081[Category],Table13675[[#Headers],[Income]])+SUMIFS(Table4480[Amount],Table4480[Date],S42,Table4480[Category],Table13675[[#Headers],[Income]])</f>
        <v>0</v>
      </c>
      <c r="U42" s="29">
        <f>SUMIFS(Table474[Amount],Table474[Date],S42,Table474[Category],"&lt;&gt;"&amp;Table13675[[#Headers],[Income]])+SUMIFS(Table4480[Amount],Table4480[Date],S42,Table4480[Category],"&lt;&gt;"&amp;Table13675[[#Headers],[Income]])</f>
        <v>0</v>
      </c>
      <c r="V42" s="29">
        <f t="shared" si="1"/>
        <v>1156.74</v>
      </c>
      <c r="W42" s="1">
        <f t="shared" si="2"/>
        <v>1156.7400000000005</v>
      </c>
    </row>
    <row r="43" spans="2:23">
      <c r="B43" s="32"/>
      <c r="C43" s="11"/>
      <c r="D43" s="12"/>
      <c r="E43" s="13">
        <f>SUMIFS(Table474[Amount],Table474[Category],Table1391079[[#Headers],[Bills]],Table474[Sub-Category],Table1391079[[#This Row],[Bills]])+SUMIFS(Table4480[Amount],Table4480[Category],Table1391079[[#Headers],[Bills]],Table4480[Sub-Category],Table1391079[[#This Row],[Bills]])</f>
        <v>0</v>
      </c>
      <c r="F43" s="13">
        <f>Table1391079[[#This Row],[Budget]]-Table1391079[[#This Row],[Actual]]</f>
        <v>0</v>
      </c>
      <c r="G43" s="32"/>
      <c r="H43" s="42"/>
      <c r="Q43" s="42"/>
      <c r="S43" s="8"/>
    </row>
    <row r="44" spans="2:23">
      <c r="B44" s="32"/>
      <c r="C44" s="11"/>
      <c r="D44" s="12"/>
      <c r="E44" s="13">
        <f>SUMIFS(Table474[Amount],Table474[Category],Table1391079[[#Headers],[Bills]],Table474[Sub-Category],Table1391079[[#This Row],[Bills]])+SUMIFS(Table4480[Amount],Table4480[Category],Table1391079[[#Headers],[Bills]],Table4480[Sub-Category],Table1391079[[#This Row],[Bills]])</f>
        <v>0</v>
      </c>
      <c r="F44" s="13">
        <f>Table1391079[[#This Row],[Budget]]-Table1391079[[#This Row],[Actual]]</f>
        <v>0</v>
      </c>
      <c r="G44" s="32"/>
      <c r="H44" s="42"/>
      <c r="Q44" s="42"/>
      <c r="S44" s="8"/>
    </row>
    <row r="45" spans="2:23">
      <c r="B45" s="32"/>
      <c r="C45" s="11"/>
      <c r="D45" s="12"/>
      <c r="E45" s="13">
        <f>SUMIFS(Table474[Amount],Table474[Category],Table1391079[[#Headers],[Bills]],Table474[Sub-Category],Table1391079[[#This Row],[Bills]])+SUMIFS(Table4480[Amount],Table4480[Category],Table1391079[[#Headers],[Bills]],Table4480[Sub-Category],Table1391079[[#This Row],[Bills]])</f>
        <v>0</v>
      </c>
      <c r="F45" s="13">
        <f>Table1391079[[#This Row],[Budget]]-Table1391079[[#This Row],[Actual]]</f>
        <v>0</v>
      </c>
      <c r="G45" s="32"/>
      <c r="H45" s="42"/>
      <c r="Q45" s="42"/>
    </row>
    <row r="46" spans="2:23">
      <c r="B46" s="32"/>
      <c r="C46" s="9" t="s">
        <v>20</v>
      </c>
      <c r="D46" s="10">
        <f>SUBTOTAL(109,Table1391079[Budget])</f>
        <v>0</v>
      </c>
      <c r="E46" s="10">
        <f>SUBTOTAL(109,Table1391079[Actual])</f>
        <v>0</v>
      </c>
      <c r="F46" s="10">
        <f>SUBTOTAL(109,Table1391079[Variance])</f>
        <v>0</v>
      </c>
      <c r="G46" s="32"/>
      <c r="H46" s="42"/>
      <c r="Q46" s="42"/>
    </row>
    <row r="47" spans="2:23">
      <c r="B47" s="32"/>
      <c r="C47" s="20"/>
      <c r="D47" s="21"/>
      <c r="E47" s="21"/>
      <c r="F47" s="22"/>
      <c r="G47" s="32"/>
      <c r="H47" s="42"/>
      <c r="Q47" s="42"/>
    </row>
    <row r="48" spans="2:23">
      <c r="B48" s="32"/>
      <c r="C48" s="37" t="str">
        <f>CONCATENATE(Table13776[[#Headers],[Living]],"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SUMIFS(Table474[Amount],Table474[Category],Table13776[[#Headers],[Living]],Table474[Sub-Category],Table13776[[#This Row],[Living]])+SUMIFS(Table4480[Amount],Table4480[Category],Table13776[[#Headers],[Living]],Table4480[Sub-Category],Table13776[[#This Row],[Living]])</f>
        <v>0</v>
      </c>
      <c r="F50" s="3">
        <f>Table13776[[#This Row],[Budget]]-Table13776[[#This Row],[Actual]]</f>
        <v>0</v>
      </c>
      <c r="G50" s="32"/>
      <c r="H50" s="42"/>
      <c r="Q50" s="42"/>
    </row>
    <row r="51" spans="2:17">
      <c r="B51" s="32"/>
      <c r="D51" s="2"/>
      <c r="E51" s="2">
        <f>SUMIFS(Table474[Amount],Table474[Category],Table13776[[#Headers],[Living]],Table474[Sub-Category],Table13776[[#This Row],[Living]])+SUMIFS(Table4480[Amount],Table4480[Category],Table13776[[#Headers],[Living]],Table4480[Sub-Category],Table13776[[#This Row],[Living]])</f>
        <v>0</v>
      </c>
      <c r="F51" s="3">
        <f>Table13776[[#This Row],[Budget]]-Table13776[[#This Row],[Actual]]</f>
        <v>0</v>
      </c>
      <c r="G51" s="32"/>
      <c r="H51" s="42"/>
      <c r="Q51" s="42"/>
    </row>
    <row r="52" spans="2:17">
      <c r="B52" s="32"/>
      <c r="C52" s="11"/>
      <c r="D52" s="12"/>
      <c r="E52" s="13">
        <f>SUMIFS(Table474[Amount],Table474[Category],Table13776[[#Headers],[Living]],Table474[Sub-Category],Table13776[[#This Row],[Living]])+SUMIFS(Table4480[Amount],Table4480[Category],Table13776[[#Headers],[Living]],Table4480[Sub-Category],Table13776[[#This Row],[Living]])</f>
        <v>0</v>
      </c>
      <c r="F52" s="13">
        <f>Table13776[[#This Row],[Budget]]-Table13776[[#This Row],[Actual]]</f>
        <v>0</v>
      </c>
      <c r="G52" s="32"/>
      <c r="H52" s="42"/>
      <c r="Q52" s="42"/>
    </row>
    <row r="53" spans="2:17">
      <c r="B53" s="32"/>
      <c r="C53" s="11"/>
      <c r="D53" s="12"/>
      <c r="E53" s="13">
        <f>SUMIFS(Table474[Amount],Table474[Category],Table13776[[#Headers],[Living]],Table474[Sub-Category],Table13776[[#This Row],[Living]])+SUMIFS(Table4480[Amount],Table4480[Category],Table13776[[#Headers],[Living]],Table4480[Sub-Category],Table13776[[#This Row],[Living]])</f>
        <v>0</v>
      </c>
      <c r="F53" s="13">
        <f>Table13776[[#This Row],[Budget]]-Table13776[[#This Row],[Actual]]</f>
        <v>0</v>
      </c>
      <c r="G53" s="32"/>
      <c r="H53" s="42"/>
      <c r="Q53" s="42"/>
    </row>
    <row r="54" spans="2:17">
      <c r="B54" s="32"/>
      <c r="C54" s="9" t="s">
        <v>20</v>
      </c>
      <c r="D54" s="10">
        <f>SUBTOTAL(109,Table13776[Budget])</f>
        <v>0</v>
      </c>
      <c r="E54" s="10">
        <f>SUBTOTAL(109,Table13776[Actual])</f>
        <v>0</v>
      </c>
      <c r="F54" s="10">
        <f>SUBTOTAL(109,Table13776[Variance])</f>
        <v>0</v>
      </c>
      <c r="G54" s="32"/>
      <c r="H54" s="42"/>
      <c r="Q54" s="42"/>
    </row>
    <row r="55" spans="2:17">
      <c r="B55" s="32"/>
      <c r="C55" s="20"/>
      <c r="D55" s="21"/>
      <c r="E55" s="21"/>
      <c r="F55" s="22"/>
      <c r="G55" s="32"/>
      <c r="H55" s="42"/>
      <c r="Q55" s="42"/>
    </row>
    <row r="56" spans="2:17">
      <c r="B56" s="32"/>
      <c r="C56" s="37" t="str">
        <f>CONCATENATE(Table13877[[#Headers],[Entertainment]],"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SUMIFS(Table474[Amount],Table474[Category],Table13877[[#Headers],[Entertainment]],Table474[Sub-Category],Table13877[[#This Row],[Entertainment]])+SUMIFS(Table4480[Amount],Table4480[Category],Table13877[[#Headers],[Entertainment]],Table4480[Sub-Category],Table13877[[#This Row],[Entertainment]])</f>
        <v>0</v>
      </c>
      <c r="F58" s="3">
        <f>Table13877[[#This Row],[Budget]]-Table13877[[#This Row],[Actual]]</f>
        <v>0</v>
      </c>
      <c r="G58" s="32"/>
      <c r="H58" s="42"/>
      <c r="Q58" s="42"/>
    </row>
    <row r="59" spans="2:17">
      <c r="B59" s="33"/>
      <c r="D59" s="2"/>
      <c r="E59" s="2">
        <f>SUMIFS(Table474[Amount],Table474[Category],Table13877[[#Headers],[Entertainment]],Table474[Sub-Category],Table13877[[#This Row],[Entertainment]])+SUMIFS(Table4480[Amount],Table4480[Category],Table13877[[#Headers],[Entertainment]],Table4480[Sub-Category],Table13877[[#This Row],[Entertainment]])</f>
        <v>0</v>
      </c>
      <c r="F59" s="3">
        <f>Table13877[[#This Row],[Budget]]-Table13877[[#This Row],[Actual]]</f>
        <v>0</v>
      </c>
      <c r="G59" s="33"/>
      <c r="H59" s="42"/>
      <c r="Q59" s="42"/>
    </row>
    <row r="60" spans="2:17">
      <c r="C60" s="9" t="s">
        <v>20</v>
      </c>
      <c r="D60" s="10">
        <f>SUBTOTAL(109,Table13877[Budget])</f>
        <v>0</v>
      </c>
      <c r="E60" s="10">
        <f>SUBTOTAL(109,Table13877[Actual])</f>
        <v>0</v>
      </c>
      <c r="F60" s="10">
        <f>SUBTOTAL(109,Table13877[Variance])</f>
        <v>0</v>
      </c>
      <c r="H60" s="42"/>
      <c r="Q60" s="42"/>
    </row>
    <row r="61" spans="2:17">
      <c r="C61" s="26"/>
      <c r="D61" s="23"/>
      <c r="E61" s="23"/>
      <c r="F61" s="23"/>
      <c r="H61" s="42"/>
      <c r="Q61" s="42"/>
    </row>
    <row r="62" spans="2:17">
      <c r="C62" s="37" t="str">
        <f>CONCATENATE(Table13978[[#Headers],[Misc.]],"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SUMIFS(Table474[Amount],Table474[Category],Table13978[[#Headers],[Misc.]],Table474[Sub-Category],Table13978[[#This Row],[Misc.]])+SUMIFS(Table4480[Amount],Table4480[Category],Table13978[[#Headers],[Misc.]],Table4480[Sub-Category],Table13978[[#This Row],[Misc.]])</f>
        <v>0</v>
      </c>
      <c r="F64" s="13">
        <f>Table13978[[#This Row],[Budget]]-Table13978[[#This Row],[Actual]]</f>
        <v>0</v>
      </c>
      <c r="H64" s="42"/>
      <c r="Q64" s="42"/>
    </row>
    <row r="65" spans="3:17">
      <c r="C65" s="11"/>
      <c r="D65" s="12"/>
      <c r="E65" s="13">
        <f>SUMIFS(Table474[Amount],Table474[Category],Table13978[[#Headers],[Misc.]],Table474[Sub-Category],Table13978[[#This Row],[Misc.]])+SUMIFS(Table4480[Amount],Table4480[Category],Table13978[[#Headers],[Misc.]],Table4480[Sub-Category],Table13978[[#This Row],[Misc.]])</f>
        <v>0</v>
      </c>
      <c r="F65" s="13">
        <f>Table13978[[#This Row],[Budget]]-Table13978[[#This Row],[Actual]]</f>
        <v>0</v>
      </c>
      <c r="H65" s="42"/>
      <c r="Q65" s="42"/>
    </row>
    <row r="66" spans="3:17">
      <c r="C66" s="9" t="s">
        <v>20</v>
      </c>
      <c r="D66" s="10">
        <f>SUBTOTAL(109,Table13978[Budget])</f>
        <v>0</v>
      </c>
      <c r="E66" s="10">
        <f>SUBTOTAL(109,Table13978[Actual])</f>
        <v>0</v>
      </c>
      <c r="F66" s="10">
        <f>SUBTOTAL(109,Table13978[Variance])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95" priority="16" operator="equal">
      <formula>TODAY()</formula>
    </cfRule>
  </conditionalFormatting>
  <conditionalFormatting sqref="T12 T20:U42">
    <cfRule type="expression" dxfId="94" priority="15">
      <formula>IF($S12=TODAY(),TRUE)</formula>
    </cfRule>
  </conditionalFormatting>
  <conditionalFormatting sqref="U12">
    <cfRule type="expression" dxfId="93" priority="14">
      <formula>IF($S12=TODAY(),TRUE)</formula>
    </cfRule>
  </conditionalFormatting>
  <conditionalFormatting sqref="V12 V20:V42">
    <cfRule type="expression" dxfId="92" priority="13">
      <formula>IF($S12=TODAY(),TRUE)</formula>
    </cfRule>
  </conditionalFormatting>
  <conditionalFormatting sqref="S13:S15">
    <cfRule type="cellIs" dxfId="91" priority="12" operator="equal">
      <formula>TODAY()</formula>
    </cfRule>
  </conditionalFormatting>
  <conditionalFormatting sqref="T13:T15">
    <cfRule type="expression" dxfId="90" priority="11">
      <formula>IF($S13=TODAY(),TRUE)</formula>
    </cfRule>
  </conditionalFormatting>
  <conditionalFormatting sqref="U13:U15">
    <cfRule type="expression" dxfId="89" priority="10">
      <formula>IF($S13=TODAY(),TRUE)</formula>
    </cfRule>
  </conditionalFormatting>
  <conditionalFormatting sqref="V13:V15">
    <cfRule type="expression" dxfId="88" priority="9">
      <formula>IF($S13=TODAY(),TRUE)</formula>
    </cfRule>
  </conditionalFormatting>
  <conditionalFormatting sqref="S16 S20 S24 S28 S32 S36 S40">
    <cfRule type="cellIs" dxfId="87" priority="8" operator="equal">
      <formula>TODAY()</formula>
    </cfRule>
  </conditionalFormatting>
  <conditionalFormatting sqref="T16">
    <cfRule type="expression" dxfId="86" priority="7">
      <formula>IF($S16=TODAY(),TRUE)</formula>
    </cfRule>
  </conditionalFormatting>
  <conditionalFormatting sqref="U16">
    <cfRule type="expression" dxfId="85" priority="6">
      <formula>IF($S16=TODAY(),TRUE)</formula>
    </cfRule>
  </conditionalFormatting>
  <conditionalFormatting sqref="V16">
    <cfRule type="expression" dxfId="84" priority="5">
      <formula>IF($S16=TODAY(),TRUE)</formula>
    </cfRule>
  </conditionalFormatting>
  <conditionalFormatting sqref="S17:S19 S21:S23 S25:S27 S29:S31 S33:S35 S37:S39 S41:S42">
    <cfRule type="cellIs" dxfId="83" priority="4" operator="equal">
      <formula>TODAY()</formula>
    </cfRule>
  </conditionalFormatting>
  <conditionalFormatting sqref="T17:T19">
    <cfRule type="expression" dxfId="82" priority="3">
      <formula>IF($S17=TODAY(),TRUE)</formula>
    </cfRule>
  </conditionalFormatting>
  <conditionalFormatting sqref="U17:U19">
    <cfRule type="expression" dxfId="81" priority="2">
      <formula>IF($S17=TODAY(),TRUE)</formula>
    </cfRule>
  </conditionalFormatting>
  <conditionalFormatting sqref="V17:V19">
    <cfRule type="expression" dxfId="80"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600-000000000000}">
      <formula1>$U$2:$U$4</formula1>
    </dataValidation>
    <dataValidation type="list" allowBlank="1" showInputMessage="1" showErrorMessage="1" sqref="K35:K40 K19:K32 K12:K16" xr:uid="{00000000-0002-0000-0600-000001000000}">
      <formula1>$R$2:$R$8</formula1>
    </dataValidation>
    <dataValidation type="list" allowBlank="1" showInputMessage="1" showErrorMessage="1" sqref="L35:L40 L12:L16 L19:L32" xr:uid="{00000000-0002-0000-06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D0CF2B81-520D-4B48-8F71-50D736082297}">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B489FCBD-140F-4D5D-A72C-752871556067}">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DATE(YEAR(Mo.7!C1),MONTH(Mo.7!C1)+1,DAY(Mo.7!C1))</f>
        <v>45231</v>
      </c>
      <c r="D1" s="61"/>
      <c r="E1" s="61"/>
      <c r="F1" s="61"/>
      <c r="R1" s="45" t="s">
        <v>0</v>
      </c>
      <c r="S1" s="45" t="s">
        <v>1</v>
      </c>
      <c r="T1" s="45" t="s">
        <v>2</v>
      </c>
      <c r="U1" s="45" t="s">
        <v>16</v>
      </c>
      <c r="V1" s="45" t="s">
        <v>45</v>
      </c>
    </row>
    <row r="2" spans="2:23">
      <c r="D2" s="18" t="s">
        <v>1</v>
      </c>
      <c r="E2" s="19" t="s">
        <v>2</v>
      </c>
      <c r="F2" s="19" t="s">
        <v>14</v>
      </c>
      <c r="R2" s="45" t="str">
        <f>Table13685[[#Headers],[Income]]</f>
        <v>Income</v>
      </c>
      <c r="S2" s="45">
        <f>SUM(Table13685[Budget])</f>
        <v>0</v>
      </c>
      <c r="T2" s="45">
        <f>SUM(Table13685[Actual])</f>
        <v>0</v>
      </c>
      <c r="U2" s="45" t="s">
        <v>19</v>
      </c>
      <c r="V2" s="45">
        <f>AVERAGE(V12:V42)</f>
        <v>1156.7400000000005</v>
      </c>
    </row>
    <row r="3" spans="2:23">
      <c r="C3" s="17" t="s">
        <v>35</v>
      </c>
      <c r="D3" s="5">
        <f>Mo.7!D6</f>
        <v>1156.74</v>
      </c>
      <c r="E3" s="14">
        <f>Mo.7!E6</f>
        <v>1156.74</v>
      </c>
      <c r="F3" s="14">
        <f>E3-D3</f>
        <v>0</v>
      </c>
      <c r="R3" s="45" t="str">
        <f>Table182[[#Headers],[Housing]]</f>
        <v>Housing</v>
      </c>
      <c r="S3" s="45">
        <f>SUM(Table182[Budget])</f>
        <v>0</v>
      </c>
      <c r="T3" s="45">
        <f>SUM(Table182[Actual])</f>
        <v>0</v>
      </c>
      <c r="U3" s="45" t="s">
        <v>17</v>
      </c>
      <c r="V3" s="45"/>
    </row>
    <row r="4" spans="2:23">
      <c r="C4" s="17" t="s">
        <v>32</v>
      </c>
      <c r="D4" s="5">
        <f>Table13685[[#Totals],[Budget]]</f>
        <v>0</v>
      </c>
      <c r="E4" s="5">
        <f>Table13685[[#Totals],[Actual]]</f>
        <v>0</v>
      </c>
      <c r="F4" s="5">
        <f>E4-D4</f>
        <v>0</v>
      </c>
      <c r="R4" s="45" t="str">
        <f>Table1383[[#Headers],[Transportation]]</f>
        <v>Transportation</v>
      </c>
      <c r="S4" s="45">
        <f>SUM(Table1383[Budget])</f>
        <v>0</v>
      </c>
      <c r="T4" s="45">
        <f>SUM(Table1383[Actual])</f>
        <v>0</v>
      </c>
      <c r="U4" s="45" t="s">
        <v>18</v>
      </c>
      <c r="V4" s="45"/>
    </row>
    <row r="5" spans="2:23">
      <c r="C5" s="17" t="s">
        <v>33</v>
      </c>
      <c r="D5" s="5">
        <f>Table182[[#Totals],[Budget]]+Table1383[[#Totals],[Budget]]+Table1391089[[#Totals],[Budget]]+Table13786[[#Totals],[Budget]]+Table13887[[#Totals],[Budget]]+Table13988[[#Totals],[Budget]]</f>
        <v>0</v>
      </c>
      <c r="E5" s="5">
        <f>Table182[[#Totals],[Actual]]+Table1383[[#Totals],[Actual]]+Table1391089[[#Totals],[Actual]]+Table13786[[#Totals],[Actual]]+Table13887[[#Totals],[Actual]]+Table13988[[#Totals],[Actual]]</f>
        <v>0</v>
      </c>
      <c r="F5" s="5">
        <f>E5-D5</f>
        <v>0</v>
      </c>
      <c r="R5" s="45" t="str">
        <f>Table1391089[[#Headers],[Bills]]</f>
        <v>Bills</v>
      </c>
      <c r="S5" s="45">
        <f>SUM(Table1391089[Budget])</f>
        <v>0</v>
      </c>
      <c r="T5" s="45">
        <f>SUM(Table1391089[Actual])</f>
        <v>0</v>
      </c>
      <c r="U5" s="45"/>
      <c r="V5" s="45"/>
    </row>
    <row r="6" spans="2:23">
      <c r="C6" s="15" t="s">
        <v>34</v>
      </c>
      <c r="D6" s="16">
        <f>D3+D4-D5</f>
        <v>1156.74</v>
      </c>
      <c r="E6" s="16">
        <f>E3+E4-E5</f>
        <v>1156.74</v>
      </c>
      <c r="F6" s="16">
        <f>F3+F4-F5</f>
        <v>0</v>
      </c>
      <c r="R6" s="45" t="str">
        <f>Table13786[[#Headers],[Living]]</f>
        <v>Living</v>
      </c>
      <c r="S6" s="45">
        <f>SUM(Table13786[Budget])</f>
        <v>0</v>
      </c>
      <c r="T6" s="45">
        <f>SUM(Table13786[Actual])</f>
        <v>0</v>
      </c>
      <c r="U6" s="45"/>
      <c r="V6" s="45"/>
    </row>
    <row r="7" spans="2:23" ht="3.75" customHeight="1">
      <c r="D7" s="2"/>
      <c r="R7" s="45" t="str">
        <f>Table13887[[#Headers],[Entertainment]]</f>
        <v>Entertainment</v>
      </c>
      <c r="S7" s="45">
        <f>SUM(Table13887[Budget])</f>
        <v>0</v>
      </c>
      <c r="T7" s="45">
        <f>SUM(Table13887[Actual])</f>
        <v>0</v>
      </c>
      <c r="U7" s="45"/>
      <c r="V7" s="45"/>
    </row>
    <row r="8" spans="2:23" ht="1.5" customHeight="1">
      <c r="C8" s="42"/>
      <c r="D8" s="43"/>
      <c r="E8" s="42"/>
      <c r="F8" s="42"/>
      <c r="G8" s="42"/>
      <c r="H8" s="42"/>
      <c r="I8" s="42"/>
      <c r="J8" s="42"/>
      <c r="K8" s="42"/>
      <c r="L8" s="42"/>
      <c r="M8" s="42"/>
      <c r="N8" s="42"/>
      <c r="O8" s="42"/>
      <c r="P8" s="42"/>
      <c r="Q8" s="42"/>
      <c r="R8" s="44" t="str">
        <f>Table13988[[#Headers],[Misc.]]</f>
        <v>Misc.</v>
      </c>
      <c r="S8" s="44">
        <f>SUM(Table13988[Budget])</f>
        <v>0</v>
      </c>
      <c r="T8" s="44">
        <f>SUM(Table13988[Actual])</f>
        <v>0</v>
      </c>
      <c r="U8" s="44"/>
      <c r="V8" s="44"/>
    </row>
    <row r="9" spans="2:23" ht="3.75" customHeight="1">
      <c r="D9" s="2"/>
      <c r="H9" s="42"/>
      <c r="Q9" s="42"/>
    </row>
    <row r="10" spans="2:23" s="25" customFormat="1">
      <c r="B10" s="35"/>
      <c r="C10" s="37" t="str">
        <f>CONCATENATE(Table13685[[#Headers],[Income]],"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SUMIFS(Table442091[Amount],Table442091[Category],Table13685[[#Headers],[Income]],Table442091[Sub-Category],Table13685[[#This Row],[Income]])+SUMIFS(Table4490[Amount],Table4490[Category],Table13685[[#Headers],[Income]],Table4490[Sub-Category],Table13685[[#This Row],[Income]])</f>
        <v>0</v>
      </c>
      <c r="F12" s="3">
        <f>Table13685[[#This Row],[Actual]]-Table13685[[#This Row],[Budget]]</f>
        <v>0</v>
      </c>
      <c r="G12" s="32"/>
      <c r="H12" s="42"/>
      <c r="M12" s="4"/>
      <c r="N12" s="2"/>
      <c r="Q12" s="42"/>
      <c r="S12" s="27">
        <f>C1</f>
        <v>45231</v>
      </c>
      <c r="T12" s="29">
        <f>SUMIFS(Table442091[Amount],Table442091[Date],S12,Table442091[Category],Table13685[[#Headers],[Income]])+SUMIFS(Table4490[Amount],Table4490[Date],S12,Table4490[Category],Table13685[[#Headers],[Income]])</f>
        <v>0</v>
      </c>
      <c r="U12" s="29">
        <f>SUMIFS(Table484[Amount],Table484[Date],S12,Table484[Category],"&lt;&gt;"&amp;Table13685[[#Headers],[Income]])+SUMIFS(Table4490[Amount],Table4490[Date],S12,Table4490[Category],"&lt;&gt;"&amp;Table13685[[#Headers],[Income]])</f>
        <v>0</v>
      </c>
      <c r="V12" s="29">
        <f>E3+T12-U12</f>
        <v>1156.74</v>
      </c>
      <c r="W12" s="1">
        <f>V2</f>
        <v>1156.7400000000005</v>
      </c>
    </row>
    <row r="13" spans="2:23">
      <c r="B13" s="32"/>
      <c r="D13" s="2"/>
      <c r="E13" s="2">
        <f>SUMIFS(Table442091[Amount],Table442091[Category],Table13685[[#Headers],[Income]],Table442091[Sub-Category],Table13685[[#This Row],[Income]])+SUMIFS(Table4490[Amount],Table4490[Category],Table13685[[#Headers],[Income]],Table4490[Sub-Category],Table13685[[#This Row],[Income]])</f>
        <v>0</v>
      </c>
      <c r="F13" s="3">
        <f>Table13685[[#This Row],[Actual]]-Table13685[[#This Row],[Budget]]</f>
        <v>0</v>
      </c>
      <c r="G13" s="32"/>
      <c r="H13" s="42"/>
      <c r="M13" s="4"/>
      <c r="N13" s="2"/>
      <c r="Q13" s="42"/>
      <c r="S13" s="30">
        <f t="shared" ref="S13:S42" si="0">S12+1</f>
        <v>45232</v>
      </c>
      <c r="T13" s="28">
        <f>SUMIFS(Table442091[Amount],Table442091[Date],S13,Table442091[Category],Table13685[[#Headers],[Income]])+SUMIFS(Table4490[Amount],Table4490[Date],S13,Table4490[Category],Table13685[[#Headers],[Income]])</f>
        <v>0</v>
      </c>
      <c r="U13" s="28">
        <f>SUMIFS(Table484[Amount],Table484[Date],S13,Table484[Category],"&lt;&gt;"&amp;Table13685[[#Headers],[Income]])+SUMIFS(Table4490[Amount],Table4490[Date],S13,Table4490[Category],"&lt;&gt;"&amp;Table13685[[#Headers],[Income]])</f>
        <v>0</v>
      </c>
      <c r="V13" s="28">
        <f>V12+T13-U13</f>
        <v>1156.74</v>
      </c>
      <c r="W13" s="1">
        <f>W12</f>
        <v>1156.7400000000005</v>
      </c>
    </row>
    <row r="14" spans="2:23">
      <c r="B14" s="32"/>
      <c r="D14" s="12"/>
      <c r="E14" s="12">
        <f>SUMIFS(Table442091[Amount],Table442091[Category],Table13685[[#Headers],[Income]],Table442091[Sub-Category],Table13685[[#This Row],[Income]])+SUMIFS(Table4490[Amount],Table4490[Category],Table13685[[#Headers],[Income]],Table4490[Sub-Category],Table13685[[#This Row],[Income]])</f>
        <v>0</v>
      </c>
      <c r="F14" s="2">
        <f>Table13685[[#This Row],[Actual]]-Table13685[[#This Row],[Budget]]</f>
        <v>0</v>
      </c>
      <c r="G14" s="32"/>
      <c r="H14" s="42"/>
      <c r="M14" s="4"/>
      <c r="N14" s="2"/>
      <c r="Q14" s="42"/>
      <c r="S14" s="27">
        <f t="shared" si="0"/>
        <v>45233</v>
      </c>
      <c r="T14" s="29">
        <f>SUMIFS(Table442091[Amount],Table442091[Date],S14,Table442091[Category],Table13685[[#Headers],[Income]])+SUMIFS(Table4490[Amount],Table4490[Date],S14,Table4490[Category],Table13685[[#Headers],[Income]])</f>
        <v>0</v>
      </c>
      <c r="U14" s="29">
        <f>SUMIFS(Table484[Amount],Table484[Date],S14,Table484[Category],"&lt;&gt;"&amp;Table13685[[#Headers],[Income]])+SUMIFS(Table4490[Amount],Table4490[Date],S14,Table4490[Category],"&lt;&gt;"&amp;Table13685[[#Headers],[Income]])</f>
        <v>0</v>
      </c>
      <c r="V14" s="29">
        <f t="shared" ref="V14:V42" si="1">V13+T14-U14</f>
        <v>1156.74</v>
      </c>
      <c r="W14" s="1">
        <f t="shared" ref="W14:W42" si="2">W13</f>
        <v>1156.7400000000005</v>
      </c>
    </row>
    <row r="15" spans="2:23">
      <c r="B15" s="32"/>
      <c r="D15" s="2"/>
      <c r="E15" s="3">
        <f>SUMIFS(Table442091[Amount],Table442091[Category],Table13685[[#Headers],[Income]],Table442091[Sub-Category],Table13685[[#This Row],[Income]])+SUMIFS(Table4490[Amount],Table4490[Category],Table13685[[#Headers],[Income]],Table4490[Sub-Category],Table13685[[#This Row],[Income]])</f>
        <v>0</v>
      </c>
      <c r="F15" s="3">
        <f>Table13685[[#This Row],[Actual]]-Table13685[[#This Row],[Budget]]</f>
        <v>0</v>
      </c>
      <c r="G15" s="32"/>
      <c r="H15" s="42"/>
      <c r="J15" s="11"/>
      <c r="K15" s="11"/>
      <c r="L15" s="11"/>
      <c r="M15" s="24"/>
      <c r="N15" s="12"/>
      <c r="O15" s="11"/>
      <c r="Q15" s="42"/>
      <c r="S15" s="30">
        <f t="shared" si="0"/>
        <v>45234</v>
      </c>
      <c r="T15" s="28">
        <f>SUMIFS(Table442091[Amount],Table442091[Date],S15,Table442091[Category],Table13685[[#Headers],[Income]])+SUMIFS(Table4490[Amount],Table4490[Date],S15,Table4490[Category],Table13685[[#Headers],[Income]])</f>
        <v>0</v>
      </c>
      <c r="U15" s="28">
        <f>SUMIFS(Table484[Amount],Table484[Date],S15,Table484[Category],"&lt;&gt;"&amp;Table13685[[#Headers],[Income]])+SUMIFS(Table4490[Amount],Table4490[Date],S15,Table4490[Category],"&lt;&gt;"&amp;Table13685[[#Headers],[Income]])</f>
        <v>0</v>
      </c>
      <c r="V15" s="28">
        <f t="shared" si="1"/>
        <v>1156.74</v>
      </c>
      <c r="W15" s="1">
        <f t="shared" si="2"/>
        <v>1156.7400000000005</v>
      </c>
    </row>
    <row r="16" spans="2:23">
      <c r="B16" s="32"/>
      <c r="C16" s="6" t="s">
        <v>20</v>
      </c>
      <c r="D16" s="7">
        <f>SUBTOTAL(109,Table13685[Budget])</f>
        <v>0</v>
      </c>
      <c r="E16" s="7">
        <f>SUBTOTAL(109,Table13685[Actual])</f>
        <v>0</v>
      </c>
      <c r="F16" s="7">
        <f>SUBTOTAL(109,Table13685[Variance])</f>
        <v>0</v>
      </c>
      <c r="G16" s="36"/>
      <c r="H16" s="43"/>
      <c r="I16" s="2"/>
      <c r="M16" s="4"/>
      <c r="N16" s="2"/>
      <c r="Q16" s="43"/>
      <c r="S16" s="27">
        <f t="shared" si="0"/>
        <v>45235</v>
      </c>
      <c r="T16" s="29">
        <f>SUMIFS(Table442091[Amount],Table442091[Date],S16,Table442091[Category],Table13685[[#Headers],[Income]])+SUMIFS(Table4490[Amount],Table4490[Date],S16,Table4490[Category],Table13685[[#Headers],[Income]])</f>
        <v>0</v>
      </c>
      <c r="U16" s="29">
        <f>SUMIFS(Table484[Amount],Table484[Date],S16,Table484[Category],"&lt;&gt;"&amp;Table13685[[#Headers],[Income]])+SUMIFS(Table4490[Amount],Table4490[Date],S16,Table4490[Category],"&lt;&gt;"&amp;Table13685[[#Headers],[Income]])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45236</v>
      </c>
      <c r="T17" s="28">
        <f>SUMIFS(Table442091[Amount],Table442091[Date],S17,Table442091[Category],Table13685[[#Headers],[Income]])+SUMIFS(Table4490[Amount],Table4490[Date],S17,Table4490[Category],Table13685[[#Headers],[Income]])</f>
        <v>0</v>
      </c>
      <c r="U17" s="28">
        <f>SUMIFS(Table484[Amount],Table484[Date],S17,Table484[Category],"&lt;&gt;"&amp;Table13685[[#Headers],[Income]])+SUMIFS(Table4490[Amount],Table4490[Date],S17,Table4490[Category],"&lt;&gt;"&amp;Table13685[[#Headers],[Income]])</f>
        <v>0</v>
      </c>
      <c r="V17" s="28">
        <f t="shared" si="1"/>
        <v>1156.74</v>
      </c>
      <c r="W17" s="1">
        <f t="shared" si="2"/>
        <v>1156.7400000000005</v>
      </c>
    </row>
    <row r="18" spans="2:23">
      <c r="B18" s="32"/>
      <c r="C18" s="37" t="str">
        <f>CONCATENATE(Table182[[#Headers],[Housing]],"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45237</v>
      </c>
      <c r="T18" s="29">
        <f>SUMIFS(Table442091[Amount],Table442091[Date],S18,Table442091[Category],Table13685[[#Headers],[Income]])+SUMIFS(Table4490[Amount],Table4490[Date],S18,Table4490[Category],Table13685[[#Headers],[Income]])</f>
        <v>0</v>
      </c>
      <c r="U18" s="29">
        <f>SUMIFS(Table484[Amount],Table484[Date],S18,Table484[Category],"&lt;&gt;"&amp;Table13685[[#Headers],[Income]])+SUMIFS(Table4490[Amount],Table4490[Date],S18,Table4490[Category],"&lt;&gt;"&amp;Table13685[[#Headers],[Income]])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45238</v>
      </c>
      <c r="T19" s="28">
        <f>SUMIFS(Table442091[Amount],Table442091[Date],S19,Table442091[Category],Table13685[[#Headers],[Income]])+SUMIFS(Table4490[Amount],Table4490[Date],S19,Table4490[Category],Table13685[[#Headers],[Income]])</f>
        <v>0</v>
      </c>
      <c r="U19" s="28">
        <f>SUMIFS(Table484[Amount],Table484[Date],S19,Table484[Category],"&lt;&gt;"&amp;Table13685[[#Headers],[Income]])+SUMIFS(Table4490[Amount],Table4490[Date],S19,Table4490[Category],"&lt;&gt;"&amp;Table13685[[#Headers],[Income]])</f>
        <v>0</v>
      </c>
      <c r="V19" s="28">
        <f t="shared" si="1"/>
        <v>1156.74</v>
      </c>
      <c r="W19" s="1">
        <f t="shared" si="2"/>
        <v>1156.7400000000005</v>
      </c>
    </row>
    <row r="20" spans="2:23">
      <c r="B20" s="32"/>
      <c r="D20" s="2"/>
      <c r="E20" s="2">
        <f>SUMIFS(Table484[Amount],Table484[Category],Table182[[#Headers],[Housing]],Table484[Sub-Category],Table182[[#This Row],[Housing]])+SUMIFS(Table4490[Amount],Table4490[Category],Table182[[#Headers],[Housing]],Table4490[Sub-Category],Table182[[#This Row],[Housing]])</f>
        <v>0</v>
      </c>
      <c r="F20" s="3">
        <f>Table182[[#This Row],[Budget]]-Table182[[#This Row],[Actual]]</f>
        <v>0</v>
      </c>
      <c r="G20" s="36"/>
      <c r="H20" s="43"/>
      <c r="I20" s="2"/>
      <c r="J20" s="11"/>
      <c r="K20" s="11"/>
      <c r="L20" s="11"/>
      <c r="M20" s="24"/>
      <c r="N20" s="12"/>
      <c r="O20" s="11"/>
      <c r="Q20" s="43"/>
      <c r="S20" s="27">
        <f t="shared" si="0"/>
        <v>45239</v>
      </c>
      <c r="T20" s="29">
        <f>SUMIFS(Table442091[Amount],Table442091[Date],S20,Table442091[Category],Table13685[[#Headers],[Income]])+SUMIFS(Table4490[Amount],Table4490[Date],S20,Table4490[Category],Table13685[[#Headers],[Income]])</f>
        <v>0</v>
      </c>
      <c r="U20" s="29">
        <f>SUMIFS(Table484[Amount],Table484[Date],S20,Table484[Category],"&lt;&gt;"&amp;Table13685[[#Headers],[Income]])+SUMIFS(Table4490[Amount],Table4490[Date],S20,Table4490[Category],"&lt;&gt;"&amp;Table13685[[#Headers],[Income]])</f>
        <v>0</v>
      </c>
      <c r="V20" s="29">
        <f t="shared" si="1"/>
        <v>1156.74</v>
      </c>
      <c r="W20" s="1">
        <f t="shared" si="2"/>
        <v>1156.7400000000005</v>
      </c>
    </row>
    <row r="21" spans="2:23">
      <c r="B21" s="32"/>
      <c r="D21" s="2"/>
      <c r="E21" s="2">
        <f>SUMIFS(Table484[Amount],Table484[Category],Table182[[#Headers],[Housing]],Table484[Sub-Category],Table182[[#This Row],[Housing]])+SUMIFS(Table4490[Amount],Table4490[Category],Table182[[#Headers],[Housing]],Table4490[Sub-Category],Table182[[#This Row],[Housing]])</f>
        <v>0</v>
      </c>
      <c r="F21" s="3">
        <f>Table182[[#This Row],[Budget]]-Table182[[#This Row],[Actual]]</f>
        <v>0</v>
      </c>
      <c r="G21" s="36"/>
      <c r="H21" s="43"/>
      <c r="I21" s="2"/>
      <c r="J21" s="11"/>
      <c r="K21" s="11"/>
      <c r="L21" s="11"/>
      <c r="M21" s="24"/>
      <c r="N21" s="12"/>
      <c r="O21" s="11"/>
      <c r="Q21" s="43"/>
      <c r="S21" s="30">
        <f t="shared" si="0"/>
        <v>45240</v>
      </c>
      <c r="T21" s="28">
        <f>SUMIFS(Table442091[Amount],Table442091[Date],S21,Table442091[Category],Table13685[[#Headers],[Income]])+SUMIFS(Table4490[Amount],Table4490[Date],S21,Table4490[Category],Table13685[[#Headers],[Income]])</f>
        <v>0</v>
      </c>
      <c r="U21" s="28">
        <f>SUMIFS(Table484[Amount],Table484[Date],S21,Table484[Category],"&lt;&gt;"&amp;Table13685[[#Headers],[Income]])+SUMIFS(Table4490[Amount],Table4490[Date],S21,Table4490[Category],"&lt;&gt;"&amp;Table13685[[#Headers],[Income]])</f>
        <v>0</v>
      </c>
      <c r="V21" s="28">
        <f t="shared" si="1"/>
        <v>1156.74</v>
      </c>
      <c r="W21" s="1">
        <f t="shared" si="2"/>
        <v>1156.7400000000005</v>
      </c>
    </row>
    <row r="22" spans="2:23">
      <c r="B22" s="32"/>
      <c r="D22" s="2"/>
      <c r="E22" s="2">
        <f>SUMIFS(Table484[Amount],Table484[Category],Table182[[#Headers],[Housing]],Table484[Sub-Category],Table182[[#This Row],[Housing]])+SUMIFS(Table4490[Amount],Table4490[Category],Table182[[#Headers],[Housing]],Table4490[Sub-Category],Table182[[#This Row],[Housing]])</f>
        <v>0</v>
      </c>
      <c r="F22" s="3">
        <f>Table182[[#This Row],[Budget]]-Table182[[#This Row],[Actual]]</f>
        <v>0</v>
      </c>
      <c r="G22" s="36"/>
      <c r="H22" s="43"/>
      <c r="I22" s="2"/>
      <c r="J22" s="11"/>
      <c r="K22" s="11"/>
      <c r="L22" s="11"/>
      <c r="M22" s="24"/>
      <c r="N22" s="12"/>
      <c r="O22" s="11"/>
      <c r="Q22" s="43"/>
      <c r="S22" s="27">
        <f t="shared" si="0"/>
        <v>45241</v>
      </c>
      <c r="T22" s="29">
        <f>SUMIFS(Table442091[Amount],Table442091[Date],S22,Table442091[Category],Table13685[[#Headers],[Income]])+SUMIFS(Table4490[Amount],Table4490[Date],S22,Table4490[Category],Table13685[[#Headers],[Income]])</f>
        <v>0</v>
      </c>
      <c r="U22" s="29">
        <f>SUMIFS(Table484[Amount],Table484[Date],S22,Table484[Category],"&lt;&gt;"&amp;Table13685[[#Headers],[Income]])+SUMIFS(Table4490[Amount],Table4490[Date],S22,Table4490[Category],"&lt;&gt;"&amp;Table13685[[#Headers],[Income]])</f>
        <v>0</v>
      </c>
      <c r="V22" s="29">
        <f t="shared" si="1"/>
        <v>1156.74</v>
      </c>
      <c r="W22" s="1">
        <f t="shared" si="2"/>
        <v>1156.7400000000005</v>
      </c>
    </row>
    <row r="23" spans="2:23">
      <c r="B23" s="32"/>
      <c r="D23" s="2"/>
      <c r="E23" s="2">
        <f>SUMIFS(Table484[Amount],Table484[Category],Table182[[#Headers],[Housing]],Table484[Sub-Category],Table182[[#This Row],[Housing]])+SUMIFS(Table4490[Amount],Table4490[Category],Table182[[#Headers],[Housing]],Table4490[Sub-Category],Table182[[#This Row],[Housing]])</f>
        <v>0</v>
      </c>
      <c r="F23" s="3">
        <f>Table182[[#This Row],[Budget]]-Table182[[#This Row],[Actual]]</f>
        <v>0</v>
      </c>
      <c r="G23" s="36"/>
      <c r="H23" s="43"/>
      <c r="I23" s="2"/>
      <c r="J23" s="11"/>
      <c r="K23" s="11"/>
      <c r="L23" s="11"/>
      <c r="M23" s="24"/>
      <c r="N23" s="12"/>
      <c r="O23" s="11"/>
      <c r="Q23" s="43"/>
      <c r="S23" s="30">
        <f t="shared" si="0"/>
        <v>45242</v>
      </c>
      <c r="T23" s="28">
        <f>SUMIFS(Table442091[Amount],Table442091[Date],S23,Table442091[Category],Table13685[[#Headers],[Income]])+SUMIFS(Table4490[Amount],Table4490[Date],S23,Table4490[Category],Table13685[[#Headers],[Income]])</f>
        <v>0</v>
      </c>
      <c r="U23" s="28">
        <f>SUMIFS(Table484[Amount],Table484[Date],S23,Table484[Category],"&lt;&gt;"&amp;Table13685[[#Headers],[Income]])+SUMIFS(Table4490[Amount],Table4490[Date],S23,Table4490[Category],"&lt;&gt;"&amp;Table13685[[#Headers],[Income]])</f>
        <v>0</v>
      </c>
      <c r="V23" s="28">
        <f t="shared" si="1"/>
        <v>1156.74</v>
      </c>
      <c r="W23" s="1">
        <f t="shared" si="2"/>
        <v>1156.7400000000005</v>
      </c>
    </row>
    <row r="24" spans="2:23">
      <c r="B24" s="32"/>
      <c r="D24" s="2"/>
      <c r="E24" s="2">
        <f>SUMIFS(Table484[Amount],Table484[Category],Table182[[#Headers],[Housing]],Table484[Sub-Category],Table182[[#This Row],[Housing]])+SUMIFS(Table4490[Amount],Table4490[Category],Table182[[#Headers],[Housing]],Table4490[Sub-Category],Table182[[#This Row],[Housing]])</f>
        <v>0</v>
      </c>
      <c r="F24" s="3">
        <f>Table182[[#This Row],[Budget]]-Table182[[#This Row],[Actual]]</f>
        <v>0</v>
      </c>
      <c r="G24" s="36"/>
      <c r="H24" s="43"/>
      <c r="I24" s="2"/>
      <c r="J24" s="11"/>
      <c r="K24" s="11"/>
      <c r="L24" s="11"/>
      <c r="M24" s="24"/>
      <c r="N24" s="12"/>
      <c r="O24" s="11"/>
      <c r="Q24" s="43"/>
      <c r="S24" s="27">
        <f t="shared" si="0"/>
        <v>45243</v>
      </c>
      <c r="T24" s="29">
        <f>SUMIFS(Table442091[Amount],Table442091[Date],S24,Table442091[Category],Table13685[[#Headers],[Income]])+SUMIFS(Table4490[Amount],Table4490[Date],S24,Table4490[Category],Table13685[[#Headers],[Income]])</f>
        <v>0</v>
      </c>
      <c r="U24" s="29">
        <f>SUMIFS(Table484[Amount],Table484[Date],S24,Table484[Category],"&lt;&gt;"&amp;Table13685[[#Headers],[Income]])+SUMIFS(Table4490[Amount],Table4490[Date],S24,Table4490[Category],"&lt;&gt;"&amp;Table13685[[#Headers],[Income]])</f>
        <v>0</v>
      </c>
      <c r="V24" s="29">
        <f t="shared" si="1"/>
        <v>1156.74</v>
      </c>
      <c r="W24" s="1">
        <f t="shared" si="2"/>
        <v>1156.7400000000005</v>
      </c>
    </row>
    <row r="25" spans="2:23">
      <c r="B25" s="32"/>
      <c r="D25" s="2"/>
      <c r="E25" s="2">
        <f>SUMIFS(Table484[Amount],Table484[Category],Table182[[#Headers],[Housing]],Table484[Sub-Category],Table182[[#This Row],[Housing]])+SUMIFS(Table4490[Amount],Table4490[Category],Table182[[#Headers],[Housing]],Table4490[Sub-Category],Table182[[#This Row],[Housing]])</f>
        <v>0</v>
      </c>
      <c r="F25" s="3">
        <f>Table182[[#This Row],[Budget]]-Table182[[#This Row],[Actual]]</f>
        <v>0</v>
      </c>
      <c r="G25" s="32"/>
      <c r="H25" s="42"/>
      <c r="J25" s="11"/>
      <c r="K25" s="11"/>
      <c r="L25" s="11"/>
      <c r="M25" s="24"/>
      <c r="N25" s="12"/>
      <c r="O25" s="11"/>
      <c r="Q25" s="42"/>
      <c r="S25" s="30">
        <f t="shared" si="0"/>
        <v>45244</v>
      </c>
      <c r="T25" s="28">
        <f>SUMIFS(Table442091[Amount],Table442091[Date],S25,Table442091[Category],Table13685[[#Headers],[Income]])+SUMIFS(Table4490[Amount],Table4490[Date],S25,Table4490[Category],Table13685[[#Headers],[Income]])</f>
        <v>0</v>
      </c>
      <c r="U25" s="28">
        <f>SUMIFS(Table484[Amount],Table484[Date],S25,Table484[Category],"&lt;&gt;"&amp;Table13685[[#Headers],[Income]])+SUMIFS(Table4490[Amount],Table4490[Date],S25,Table4490[Category],"&lt;&gt;"&amp;Table13685[[#Headers],[Income]])</f>
        <v>0</v>
      </c>
      <c r="V25" s="28">
        <f t="shared" si="1"/>
        <v>1156.74</v>
      </c>
      <c r="W25" s="1">
        <f t="shared" si="2"/>
        <v>1156.7400000000005</v>
      </c>
    </row>
    <row r="26" spans="2:23">
      <c r="B26" s="32"/>
      <c r="D26" s="2"/>
      <c r="E26" s="2">
        <f>SUMIFS(Table484[Amount],Table484[Category],Table182[[#Headers],[Housing]],Table484[Sub-Category],Table182[[#This Row],[Housing]])+SUMIFS(Table4490[Amount],Table4490[Category],Table182[[#Headers],[Housing]],Table4490[Sub-Category],Table182[[#This Row],[Housing]])</f>
        <v>0</v>
      </c>
      <c r="F26" s="3">
        <f>Table182[[#This Row],[Budget]]-Table182[[#This Row],[Actual]]</f>
        <v>0</v>
      </c>
      <c r="G26" s="32"/>
      <c r="H26" s="42"/>
      <c r="J26" s="11"/>
      <c r="K26" s="11"/>
      <c r="L26" s="11"/>
      <c r="M26" s="24"/>
      <c r="N26" s="12"/>
      <c r="O26" s="11"/>
      <c r="Q26" s="42"/>
      <c r="S26" s="27">
        <f t="shared" si="0"/>
        <v>45245</v>
      </c>
      <c r="T26" s="29">
        <f>SUMIFS(Table442091[Amount],Table442091[Date],S26,Table442091[Category],Table13685[[#Headers],[Income]])+SUMIFS(Table4490[Amount],Table4490[Date],S26,Table4490[Category],Table13685[[#Headers],[Income]])</f>
        <v>0</v>
      </c>
      <c r="U26" s="29">
        <f>SUMIFS(Table484[Amount],Table484[Date],S26,Table484[Category],"&lt;&gt;"&amp;Table13685[[#Headers],[Income]])+SUMIFS(Table4490[Amount],Table4490[Date],S26,Table4490[Category],"&lt;&gt;"&amp;Table13685[[#Headers],[Income]])</f>
        <v>0</v>
      </c>
      <c r="V26" s="29">
        <f t="shared" si="1"/>
        <v>1156.74</v>
      </c>
      <c r="W26" s="1">
        <f t="shared" si="2"/>
        <v>1156.7400000000005</v>
      </c>
    </row>
    <row r="27" spans="2:23">
      <c r="B27" s="32"/>
      <c r="D27" s="2"/>
      <c r="E27" s="2">
        <f>SUMIFS(Table484[Amount],Table484[Category],Table182[[#Headers],[Housing]],Table484[Sub-Category],Table182[[#This Row],[Housing]])+SUMIFS(Table4490[Amount],Table4490[Category],Table182[[#Headers],[Housing]],Table4490[Sub-Category],Table182[[#This Row],[Housing]])</f>
        <v>0</v>
      </c>
      <c r="F27" s="3">
        <f>Table182[[#This Row],[Budget]]-Table182[[#This Row],[Actual]]</f>
        <v>0</v>
      </c>
      <c r="G27" s="36"/>
      <c r="H27" s="43"/>
      <c r="I27" s="2"/>
      <c r="J27" s="11"/>
      <c r="K27" s="11"/>
      <c r="L27" s="11"/>
      <c r="M27" s="24"/>
      <c r="N27" s="12"/>
      <c r="O27" s="11"/>
      <c r="Q27" s="43"/>
      <c r="S27" s="30">
        <f t="shared" si="0"/>
        <v>45246</v>
      </c>
      <c r="T27" s="28">
        <f>SUMIFS(Table442091[Amount],Table442091[Date],S27,Table442091[Category],Table13685[[#Headers],[Income]])+SUMIFS(Table4490[Amount],Table4490[Date],S27,Table4490[Category],Table13685[[#Headers],[Income]])</f>
        <v>0</v>
      </c>
      <c r="U27" s="28">
        <f>SUMIFS(Table484[Amount],Table484[Date],S27,Table484[Category],"&lt;&gt;"&amp;Table13685[[#Headers],[Income]])+SUMIFS(Table4490[Amount],Table4490[Date],S27,Table4490[Category],"&lt;&gt;"&amp;Table13685[[#Headers],[Income]])</f>
        <v>0</v>
      </c>
      <c r="V27" s="28">
        <f t="shared" si="1"/>
        <v>1156.74</v>
      </c>
      <c r="W27" s="1">
        <f t="shared" si="2"/>
        <v>1156.7400000000005</v>
      </c>
    </row>
    <row r="28" spans="2:23">
      <c r="B28" s="32"/>
      <c r="C28" s="11"/>
      <c r="D28" s="12"/>
      <c r="E28" s="13">
        <f>SUMIFS(Table484[Amount],Table484[Category],Table182[[#Headers],[Housing]],Table484[Sub-Category],Table182[[#This Row],[Housing]])+SUMIFS(Table4490[Amount],Table4490[Category],Table182[[#Headers],[Housing]],Table4490[Sub-Category],Table182[[#This Row],[Housing]])</f>
        <v>0</v>
      </c>
      <c r="F28" s="13">
        <f>Table182[[#This Row],[Budget]]-Table182[[#This Row],[Actual]]</f>
        <v>0</v>
      </c>
      <c r="G28" s="36"/>
      <c r="H28" s="43"/>
      <c r="I28" s="2"/>
      <c r="J28" s="11"/>
      <c r="K28" s="11"/>
      <c r="L28" s="11"/>
      <c r="M28" s="24"/>
      <c r="N28" s="12"/>
      <c r="O28" s="11"/>
      <c r="Q28" s="43"/>
      <c r="S28" s="27">
        <f t="shared" si="0"/>
        <v>45247</v>
      </c>
      <c r="T28" s="29">
        <f>SUMIFS(Table442091[Amount],Table442091[Date],S28,Table442091[Category],Table13685[[#Headers],[Income]])+SUMIFS(Table4490[Amount],Table4490[Date],S28,Table4490[Category],Table13685[[#Headers],[Income]])</f>
        <v>0</v>
      </c>
      <c r="U28" s="29">
        <f>SUMIFS(Table484[Amount],Table484[Date],S28,Table484[Category],"&lt;&gt;"&amp;Table13685[[#Headers],[Income]])+SUMIFS(Table4490[Amount],Table4490[Date],S28,Table4490[Category],"&lt;&gt;"&amp;Table13685[[#Headers],[Income]])</f>
        <v>0</v>
      </c>
      <c r="V28" s="29">
        <f t="shared" si="1"/>
        <v>1156.74</v>
      </c>
      <c r="W28" s="1">
        <f t="shared" si="2"/>
        <v>1156.7400000000005</v>
      </c>
    </row>
    <row r="29" spans="2:23">
      <c r="B29" s="32"/>
      <c r="C29" s="9" t="s">
        <v>20</v>
      </c>
      <c r="D29" s="10">
        <f>SUBTOTAL(109,Table182[Budget])</f>
        <v>0</v>
      </c>
      <c r="E29" s="10">
        <f>SUBTOTAL(109,Table182[Actual])</f>
        <v>0</v>
      </c>
      <c r="F29" s="10">
        <f>SUBTOTAL(109,Table182[Variance])</f>
        <v>0</v>
      </c>
      <c r="G29" s="32"/>
      <c r="H29" s="42"/>
      <c r="J29" s="11"/>
      <c r="K29" s="11"/>
      <c r="L29" s="11"/>
      <c r="M29" s="24"/>
      <c r="N29" s="12"/>
      <c r="O29" s="11"/>
      <c r="Q29" s="42"/>
      <c r="S29" s="30">
        <f t="shared" si="0"/>
        <v>45248</v>
      </c>
      <c r="T29" s="28">
        <f>SUMIFS(Table442091[Amount],Table442091[Date],S29,Table442091[Category],Table13685[[#Headers],[Income]])+SUMIFS(Table4490[Amount],Table4490[Date],S29,Table4490[Category],Table13685[[#Headers],[Income]])</f>
        <v>0</v>
      </c>
      <c r="U29" s="28">
        <f>SUMIFS(Table484[Amount],Table484[Date],S29,Table484[Category],"&lt;&gt;"&amp;Table13685[[#Headers],[Income]])+SUMIFS(Table4490[Amount],Table4490[Date],S29,Table4490[Category],"&lt;&gt;"&amp;Table13685[[#Headers],[Income]])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45249</v>
      </c>
      <c r="T30" s="29">
        <f>SUMIFS(Table442091[Amount],Table442091[Date],S30,Table442091[Category],Table13685[[#Headers],[Income]])+SUMIFS(Table4490[Amount],Table4490[Date],S30,Table4490[Category],Table13685[[#Headers],[Income]])</f>
        <v>0</v>
      </c>
      <c r="U30" s="29">
        <f>SUMIFS(Table484[Amount],Table484[Date],S30,Table484[Category],"&lt;&gt;"&amp;Table13685[[#Headers],[Income]])+SUMIFS(Table4490[Amount],Table4490[Date],S30,Table4490[Category],"&lt;&gt;"&amp;Table13685[[#Headers],[Income]])</f>
        <v>0</v>
      </c>
      <c r="V30" s="29">
        <f t="shared" si="1"/>
        <v>1156.74</v>
      </c>
      <c r="W30" s="1">
        <f t="shared" si="2"/>
        <v>1156.7400000000005</v>
      </c>
    </row>
    <row r="31" spans="2:23">
      <c r="B31" s="32"/>
      <c r="C31" s="37" t="str">
        <f>CONCATENATE(Table1383[[#Headers],[Transportation]]," - Budget &amp; Tracking")</f>
        <v>Transportation - Budget &amp; Tracking</v>
      </c>
      <c r="D31" s="38"/>
      <c r="E31" s="38"/>
      <c r="F31" s="39"/>
      <c r="G31" s="32"/>
      <c r="H31" s="42"/>
      <c r="J31" s="11"/>
      <c r="K31" s="11"/>
      <c r="L31" s="11"/>
      <c r="M31" s="24"/>
      <c r="N31" s="12"/>
      <c r="O31" s="11"/>
      <c r="Q31" s="42"/>
      <c r="S31" s="30">
        <f t="shared" si="0"/>
        <v>45250</v>
      </c>
      <c r="T31" s="28">
        <f>SUMIFS(Table442091[Amount],Table442091[Date],S31,Table442091[Category],Table13685[[#Headers],[Income]])+SUMIFS(Table4490[Amount],Table4490[Date],S31,Table4490[Category],Table13685[[#Headers],[Income]])</f>
        <v>0</v>
      </c>
      <c r="U31" s="28">
        <f>SUMIFS(Table484[Amount],Table484[Date],S31,Table484[Category],"&lt;&gt;"&amp;Table13685[[#Headers],[Income]])+SUMIFS(Table4490[Amount],Table4490[Date],S31,Table4490[Category],"&lt;&gt;"&amp;Table13685[[#Headers],[Income]])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45251</v>
      </c>
      <c r="T32" s="29">
        <f>SUMIFS(Table442091[Amount],Table442091[Date],S32,Table442091[Category],Table13685[[#Headers],[Income]])+SUMIFS(Table4490[Amount],Table4490[Date],S32,Table4490[Category],Table13685[[#Headers],[Income]])</f>
        <v>0</v>
      </c>
      <c r="U32" s="29">
        <f>SUMIFS(Table484[Amount],Table484[Date],S32,Table484[Category],"&lt;&gt;"&amp;Table13685[[#Headers],[Income]])+SUMIFS(Table4490[Amount],Table4490[Date],S32,Table4490[Category],"&lt;&gt;"&amp;Table13685[[#Headers],[Income]])</f>
        <v>0</v>
      </c>
      <c r="V32" s="29">
        <f t="shared" si="1"/>
        <v>1156.74</v>
      </c>
      <c r="W32" s="1">
        <f t="shared" si="2"/>
        <v>1156.7400000000005</v>
      </c>
    </row>
    <row r="33" spans="2:23">
      <c r="B33" s="32"/>
      <c r="D33" s="2"/>
      <c r="E33" s="2">
        <f>SUMIFS(Table484[Amount],Table484[Category],Table1383[[#Headers],[Transportation]],Table484[Sub-Category],Table1383[[#This Row],[Transportation]])+SUMIFS(Table4490[Amount],Table4490[Category],Table1383[[#Headers],[Transportation]],Table4490[Sub-Category],Table1383[[#This Row],[Transportation]])</f>
        <v>0</v>
      </c>
      <c r="F33" s="3">
        <f>Table1383[[#This Row],[Budget]]-Table1383[[#This Row],[Actual]]</f>
        <v>0</v>
      </c>
      <c r="G33" s="32"/>
      <c r="H33" s="42"/>
      <c r="J33" s="37" t="s">
        <v>44</v>
      </c>
      <c r="K33" s="38"/>
      <c r="L33" s="38"/>
      <c r="M33" s="38"/>
      <c r="N33" s="38"/>
      <c r="O33" s="39"/>
      <c r="Q33" s="42"/>
      <c r="S33" s="30">
        <f t="shared" si="0"/>
        <v>45252</v>
      </c>
      <c r="T33" s="28">
        <f>SUMIFS(Table442091[Amount],Table442091[Date],S33,Table442091[Category],Table13685[[#Headers],[Income]])+SUMIFS(Table4490[Amount],Table4490[Date],S33,Table4490[Category],Table13685[[#Headers],[Income]])</f>
        <v>0</v>
      </c>
      <c r="U33" s="28">
        <f>SUMIFS(Table484[Amount],Table484[Date],S33,Table484[Category],"&lt;&gt;"&amp;Table13685[[#Headers],[Income]])+SUMIFS(Table4490[Amount],Table4490[Date],S33,Table4490[Category],"&lt;&gt;"&amp;Table13685[[#Headers],[Income]])</f>
        <v>0</v>
      </c>
      <c r="V33" s="28">
        <f t="shared" si="1"/>
        <v>1156.74</v>
      </c>
      <c r="W33" s="1">
        <f t="shared" si="2"/>
        <v>1156.7400000000005</v>
      </c>
    </row>
    <row r="34" spans="2:23">
      <c r="B34" s="32"/>
      <c r="D34" s="2"/>
      <c r="E34" s="2">
        <f>SUMIFS(Table484[Amount],Table484[Category],Table1383[[#Headers],[Transportation]],Table484[Sub-Category],Table1383[[#This Row],[Transportation]])+SUMIFS(Table4490[Amount],Table4490[Category],Table1383[[#Headers],[Transportation]],Table4490[Sub-Category],Table1383[[#This Row],[Transportation]])</f>
        <v>0</v>
      </c>
      <c r="F34" s="3">
        <f>Table1383[[#This Row],[Budget]]-Table1383[[#This Row],[Actual]]</f>
        <v>0</v>
      </c>
      <c r="G34" s="32"/>
      <c r="H34" s="42"/>
      <c r="J34" s="31" t="s">
        <v>9</v>
      </c>
      <c r="K34" s="31" t="s">
        <v>0</v>
      </c>
      <c r="L34" s="31" t="s">
        <v>13</v>
      </c>
      <c r="M34" s="31" t="s">
        <v>10</v>
      </c>
      <c r="N34" s="31" t="s">
        <v>11</v>
      </c>
      <c r="O34" s="31" t="s">
        <v>16</v>
      </c>
      <c r="Q34" s="42"/>
      <c r="S34" s="27">
        <f t="shared" si="0"/>
        <v>45253</v>
      </c>
      <c r="T34" s="29">
        <f>SUMIFS(Table442091[Amount],Table442091[Date],S34,Table442091[Category],Table13685[[#Headers],[Income]])+SUMIFS(Table4490[Amount],Table4490[Date],S34,Table4490[Category],Table13685[[#Headers],[Income]])</f>
        <v>0</v>
      </c>
      <c r="U34" s="29">
        <f>SUMIFS(Table484[Amount],Table484[Date],S34,Table484[Category],"&lt;&gt;"&amp;Table13685[[#Headers],[Income]])+SUMIFS(Table4490[Amount],Table4490[Date],S34,Table4490[Category],"&lt;&gt;"&amp;Table13685[[#Headers],[Income]])</f>
        <v>0</v>
      </c>
      <c r="V34" s="29">
        <f t="shared" si="1"/>
        <v>1156.74</v>
      </c>
      <c r="W34" s="1">
        <f t="shared" si="2"/>
        <v>1156.7400000000005</v>
      </c>
    </row>
    <row r="35" spans="2:23">
      <c r="B35" s="32"/>
      <c r="C35" s="11"/>
      <c r="D35" s="12"/>
      <c r="E35" s="13">
        <f>SUMIFS(Table484[Amount],Table484[Category],Table1383[[#Headers],[Transportation]],Table484[Sub-Category],Table1383[[#This Row],[Transportation]])+SUMIFS(Table4490[Amount],Table4490[Category],Table1383[[#Headers],[Transportation]],Table4490[Sub-Category],Table1383[[#This Row],[Transportation]])</f>
        <v>0</v>
      </c>
      <c r="F35" s="13">
        <f>Table1383[[#This Row],[Budget]]-Table1383[[#This Row],[Actual]]</f>
        <v>0</v>
      </c>
      <c r="G35" s="32"/>
      <c r="H35" s="42"/>
      <c r="M35" s="4"/>
      <c r="N35" s="2"/>
      <c r="Q35" s="42"/>
      <c r="S35" s="30">
        <f t="shared" si="0"/>
        <v>45254</v>
      </c>
      <c r="T35" s="28">
        <f>SUMIFS(Table442091[Amount],Table442091[Date],S35,Table442091[Category],Table13685[[#Headers],[Income]])+SUMIFS(Table4490[Amount],Table4490[Date],S35,Table4490[Category],Table13685[[#Headers],[Income]])</f>
        <v>0</v>
      </c>
      <c r="U35" s="28">
        <f>SUMIFS(Table484[Amount],Table484[Date],S35,Table484[Category],"&lt;&gt;"&amp;Table13685[[#Headers],[Income]])+SUMIFS(Table4490[Amount],Table4490[Date],S35,Table4490[Category],"&lt;&gt;"&amp;Table13685[[#Headers],[Income]])</f>
        <v>0</v>
      </c>
      <c r="V35" s="28">
        <f t="shared" si="1"/>
        <v>1156.74</v>
      </c>
      <c r="W35" s="1">
        <f t="shared" si="2"/>
        <v>1156.7400000000005</v>
      </c>
    </row>
    <row r="36" spans="2:23">
      <c r="B36" s="32"/>
      <c r="C36" s="11"/>
      <c r="D36" s="12"/>
      <c r="E36" s="13">
        <f>SUMIFS(Table484[Amount],Table484[Category],Table1383[[#Headers],[Transportation]],Table484[Sub-Category],Table1383[[#This Row],[Transportation]])+SUMIFS(Table4490[Amount],Table4490[Category],Table1383[[#Headers],[Transportation]],Table4490[Sub-Category],Table1383[[#This Row],[Transportation]])</f>
        <v>0</v>
      </c>
      <c r="F36" s="13">
        <f>Table1383[[#This Row],[Budget]]-Table1383[[#This Row],[Actual]]</f>
        <v>0</v>
      </c>
      <c r="G36" s="32"/>
      <c r="H36" s="42"/>
      <c r="M36" s="4"/>
      <c r="N36" s="2"/>
      <c r="Q36" s="42"/>
      <c r="S36" s="27">
        <f t="shared" si="0"/>
        <v>45255</v>
      </c>
      <c r="T36" s="29">
        <f>SUMIFS(Table442091[Amount],Table442091[Date],S36,Table442091[Category],Table13685[[#Headers],[Income]])+SUMIFS(Table4490[Amount],Table4490[Date],S36,Table4490[Category],Table13685[[#Headers],[Income]])</f>
        <v>0</v>
      </c>
      <c r="U36" s="29">
        <f>SUMIFS(Table484[Amount],Table484[Date],S36,Table484[Category],"&lt;&gt;"&amp;Table13685[[#Headers],[Income]])+SUMIFS(Table4490[Amount],Table4490[Date],S36,Table4490[Category],"&lt;&gt;"&amp;Table13685[[#Headers],[Income]])</f>
        <v>0</v>
      </c>
      <c r="V36" s="29">
        <f t="shared" si="1"/>
        <v>1156.74</v>
      </c>
      <c r="W36" s="1">
        <f t="shared" si="2"/>
        <v>1156.7400000000005</v>
      </c>
    </row>
    <row r="37" spans="2:23">
      <c r="B37" s="32"/>
      <c r="C37" s="9" t="s">
        <v>20</v>
      </c>
      <c r="D37" s="10">
        <f>SUBTOTAL(109,Table1383[Budget])</f>
        <v>0</v>
      </c>
      <c r="E37" s="10">
        <f>SUBTOTAL(109,Table1383[Actual])</f>
        <v>0</v>
      </c>
      <c r="F37" s="10">
        <f>SUBTOTAL(109,Table1383[Variance])</f>
        <v>0</v>
      </c>
      <c r="G37" s="32"/>
      <c r="H37" s="42"/>
      <c r="M37" s="4"/>
      <c r="N37" s="2"/>
      <c r="Q37" s="42"/>
      <c r="S37" s="30">
        <f t="shared" si="0"/>
        <v>45256</v>
      </c>
      <c r="T37" s="28">
        <f>SUMIFS(Table442091[Amount],Table442091[Date],S37,Table442091[Category],Table13685[[#Headers],[Income]])+SUMIFS(Table4490[Amount],Table4490[Date],S37,Table4490[Category],Table13685[[#Headers],[Income]])</f>
        <v>0</v>
      </c>
      <c r="U37" s="28">
        <f>SUMIFS(Table484[Amount],Table484[Date],S37,Table484[Category],"&lt;&gt;"&amp;Table13685[[#Headers],[Income]])+SUMIFS(Table4490[Amount],Table4490[Date],S37,Table4490[Category],"&lt;&gt;"&amp;Table13685[[#Headers],[Income]])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45257</v>
      </c>
      <c r="T38" s="29">
        <f>SUMIFS(Table442091[Amount],Table442091[Date],S38,Table442091[Category],Table13685[[#Headers],[Income]])+SUMIFS(Table4490[Amount],Table4490[Date],S38,Table4490[Category],Table13685[[#Headers],[Income]])</f>
        <v>0</v>
      </c>
      <c r="U38" s="29">
        <f>SUMIFS(Table484[Amount],Table484[Date],S38,Table484[Category],"&lt;&gt;"&amp;Table13685[[#Headers],[Income]])+SUMIFS(Table4490[Amount],Table4490[Date],S38,Table4490[Category],"&lt;&gt;"&amp;Table13685[[#Headers],[Income]])</f>
        <v>0</v>
      </c>
      <c r="V38" s="29">
        <f t="shared" si="1"/>
        <v>1156.74</v>
      </c>
      <c r="W38" s="1">
        <f t="shared" si="2"/>
        <v>1156.7400000000005</v>
      </c>
    </row>
    <row r="39" spans="2:23">
      <c r="B39" s="32"/>
      <c r="C39" s="37" t="str">
        <f>CONCATENATE(Table1391089[[#Headers],[Bills]]," - Budget &amp; Tracking")</f>
        <v>Bills - Budget &amp; Tracking</v>
      </c>
      <c r="D39" s="38"/>
      <c r="E39" s="38"/>
      <c r="F39" s="39"/>
      <c r="G39" s="32"/>
      <c r="H39" s="42"/>
      <c r="J39" s="11"/>
      <c r="K39" s="11"/>
      <c r="L39" s="11"/>
      <c r="M39" s="24"/>
      <c r="N39" s="12"/>
      <c r="O39" s="11"/>
      <c r="Q39" s="42"/>
      <c r="S39" s="30">
        <f t="shared" si="0"/>
        <v>45258</v>
      </c>
      <c r="T39" s="28">
        <f>SUMIFS(Table442091[Amount],Table442091[Date],S39,Table442091[Category],Table13685[[#Headers],[Income]])+SUMIFS(Table4490[Amount],Table4490[Date],S39,Table4490[Category],Table13685[[#Headers],[Income]])</f>
        <v>0</v>
      </c>
      <c r="U39" s="28">
        <f>SUMIFS(Table484[Amount],Table484[Date],S39,Table484[Category],"&lt;&gt;"&amp;Table13685[[#Headers],[Income]])+SUMIFS(Table4490[Amount],Table4490[Date],S39,Table4490[Category],"&lt;&gt;"&amp;Table13685[[#Headers],[Income]])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45259</v>
      </c>
      <c r="T40" s="29">
        <f>SUMIFS(Table442091[Amount],Table442091[Date],S40,Table442091[Category],Table13685[[#Headers],[Income]])+SUMIFS(Table4490[Amount],Table4490[Date],S40,Table4490[Category],Table13685[[#Headers],[Income]])</f>
        <v>0</v>
      </c>
      <c r="U40" s="29">
        <f>SUMIFS(Table484[Amount],Table484[Date],S40,Table484[Category],"&lt;&gt;"&amp;Table13685[[#Headers],[Income]])+SUMIFS(Table4490[Amount],Table4490[Date],S40,Table4490[Category],"&lt;&gt;"&amp;Table13685[[#Headers],[Income]])</f>
        <v>0</v>
      </c>
      <c r="V40" s="29">
        <f t="shared" si="1"/>
        <v>1156.74</v>
      </c>
      <c r="W40" s="1">
        <f t="shared" si="2"/>
        <v>1156.7400000000005</v>
      </c>
    </row>
    <row r="41" spans="2:23">
      <c r="B41" s="32"/>
      <c r="D41" s="2"/>
      <c r="E41" s="2">
        <f>SUMIFS(Table484[Amount],Table484[Category],Table1391089[[#Headers],[Bills]],Table484[Sub-Category],Table1391089[[#This Row],[Bills]])+SUMIFS(Table4490[Amount],Table4490[Category],Table1391089[[#Headers],[Bills]],Table4490[Sub-Category],Table1391089[[#This Row],[Bills]])</f>
        <v>0</v>
      </c>
      <c r="F41" s="3">
        <f>Table1391089[[#This Row],[Budget]]-Table1391089[[#This Row],[Actual]]</f>
        <v>0</v>
      </c>
      <c r="G41" s="32"/>
      <c r="H41" s="42"/>
      <c r="Q41" s="42"/>
      <c r="S41" s="30">
        <f t="shared" si="0"/>
        <v>45260</v>
      </c>
      <c r="T41" s="28">
        <f>SUMIFS(Table442091[Amount],Table442091[Date],S41,Table442091[Category],Table13685[[#Headers],[Income]])+SUMIFS(Table4490[Amount],Table4490[Date],S41,Table4490[Category],Table13685[[#Headers],[Income]])</f>
        <v>0</v>
      </c>
      <c r="U41" s="28">
        <f>SUMIFS(Table484[Amount],Table484[Date],S41,Table484[Category],"&lt;&gt;"&amp;Table13685[[#Headers],[Income]])+SUMIFS(Table4490[Amount],Table4490[Date],S41,Table4490[Category],"&lt;&gt;"&amp;Table13685[[#Headers],[Income]])</f>
        <v>0</v>
      </c>
      <c r="V41" s="28">
        <f t="shared" si="1"/>
        <v>1156.74</v>
      </c>
      <c r="W41" s="1">
        <f t="shared" si="2"/>
        <v>1156.7400000000005</v>
      </c>
    </row>
    <row r="42" spans="2:23">
      <c r="B42" s="32"/>
      <c r="D42" s="2"/>
      <c r="E42" s="2">
        <f>SUMIFS(Table484[Amount],Table484[Category],Table1391089[[#Headers],[Bills]],Table484[Sub-Category],Table1391089[[#This Row],[Bills]])+SUMIFS(Table4490[Amount],Table4490[Category],Table1391089[[#Headers],[Bills]],Table4490[Sub-Category],Table1391089[[#This Row],[Bills]])</f>
        <v>0</v>
      </c>
      <c r="F42" s="3">
        <f>Table1391089[[#This Row],[Budget]]-Table1391089[[#This Row],[Actual]]</f>
        <v>0</v>
      </c>
      <c r="G42" s="32"/>
      <c r="H42" s="42"/>
      <c r="Q42" s="42"/>
      <c r="S42" s="27">
        <f t="shared" si="0"/>
        <v>45261</v>
      </c>
      <c r="T42" s="29">
        <f>SUMIFS(Table442091[Amount],Table442091[Date],S42,Table442091[Category],Table13685[[#Headers],[Income]])+SUMIFS(Table4490[Amount],Table4490[Date],S42,Table4490[Category],Table13685[[#Headers],[Income]])</f>
        <v>0</v>
      </c>
      <c r="U42" s="29">
        <f>SUMIFS(Table484[Amount],Table484[Date],S42,Table484[Category],"&lt;&gt;"&amp;Table13685[[#Headers],[Income]])+SUMIFS(Table4490[Amount],Table4490[Date],S42,Table4490[Category],"&lt;&gt;"&amp;Table13685[[#Headers],[Income]])</f>
        <v>0</v>
      </c>
      <c r="V42" s="29">
        <f t="shared" si="1"/>
        <v>1156.74</v>
      </c>
      <c r="W42" s="1">
        <f t="shared" si="2"/>
        <v>1156.7400000000005</v>
      </c>
    </row>
    <row r="43" spans="2:23">
      <c r="B43" s="32"/>
      <c r="C43" s="11"/>
      <c r="D43" s="12"/>
      <c r="E43" s="13">
        <f>SUMIFS(Table484[Amount],Table484[Category],Table1391089[[#Headers],[Bills]],Table484[Sub-Category],Table1391089[[#This Row],[Bills]])+SUMIFS(Table4490[Amount],Table4490[Category],Table1391089[[#Headers],[Bills]],Table4490[Sub-Category],Table1391089[[#This Row],[Bills]])</f>
        <v>0</v>
      </c>
      <c r="F43" s="13">
        <f>Table1391089[[#This Row],[Budget]]-Table1391089[[#This Row],[Actual]]</f>
        <v>0</v>
      </c>
      <c r="G43" s="32"/>
      <c r="H43" s="42"/>
      <c r="Q43" s="42"/>
      <c r="S43" s="8"/>
    </row>
    <row r="44" spans="2:23">
      <c r="B44" s="32"/>
      <c r="C44" s="11"/>
      <c r="D44" s="12"/>
      <c r="E44" s="13">
        <f>SUMIFS(Table484[Amount],Table484[Category],Table1391089[[#Headers],[Bills]],Table484[Sub-Category],Table1391089[[#This Row],[Bills]])+SUMIFS(Table4490[Amount],Table4490[Category],Table1391089[[#Headers],[Bills]],Table4490[Sub-Category],Table1391089[[#This Row],[Bills]])</f>
        <v>0</v>
      </c>
      <c r="F44" s="13">
        <f>Table1391089[[#This Row],[Budget]]-Table1391089[[#This Row],[Actual]]</f>
        <v>0</v>
      </c>
      <c r="G44" s="32"/>
      <c r="H44" s="42"/>
      <c r="Q44" s="42"/>
      <c r="S44" s="8"/>
    </row>
    <row r="45" spans="2:23">
      <c r="B45" s="32"/>
      <c r="C45" s="11"/>
      <c r="D45" s="12"/>
      <c r="E45" s="13">
        <f>SUMIFS(Table484[Amount],Table484[Category],Table1391089[[#Headers],[Bills]],Table484[Sub-Category],Table1391089[[#This Row],[Bills]])+SUMIFS(Table4490[Amount],Table4490[Category],Table1391089[[#Headers],[Bills]],Table4490[Sub-Category],Table1391089[[#This Row],[Bills]])</f>
        <v>0</v>
      </c>
      <c r="F45" s="13">
        <f>Table1391089[[#This Row],[Budget]]-Table1391089[[#This Row],[Actual]]</f>
        <v>0</v>
      </c>
      <c r="G45" s="32"/>
      <c r="H45" s="42"/>
      <c r="Q45" s="42"/>
    </row>
    <row r="46" spans="2:23">
      <c r="B46" s="32"/>
      <c r="C46" s="9" t="s">
        <v>20</v>
      </c>
      <c r="D46" s="10">
        <f>SUBTOTAL(109,Table1391089[Budget])</f>
        <v>0</v>
      </c>
      <c r="E46" s="10">
        <f>SUBTOTAL(109,Table1391089[Actual])</f>
        <v>0</v>
      </c>
      <c r="F46" s="10">
        <f>SUBTOTAL(109,Table1391089[Variance])</f>
        <v>0</v>
      </c>
      <c r="G46" s="32"/>
      <c r="H46" s="42"/>
      <c r="Q46" s="42"/>
    </row>
    <row r="47" spans="2:23">
      <c r="B47" s="32"/>
      <c r="C47" s="20"/>
      <c r="D47" s="21"/>
      <c r="E47" s="21"/>
      <c r="F47" s="22"/>
      <c r="G47" s="32"/>
      <c r="H47" s="42"/>
      <c r="Q47" s="42"/>
    </row>
    <row r="48" spans="2:23">
      <c r="B48" s="32"/>
      <c r="C48" s="37" t="str">
        <f>CONCATENATE(Table13786[[#Headers],[Living]],"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SUMIFS(Table484[Amount],Table484[Category],Table13786[[#Headers],[Living]],Table484[Sub-Category],Table13786[[#This Row],[Living]])+SUMIFS(Table4490[Amount],Table4490[Category],Table13786[[#Headers],[Living]],Table4490[Sub-Category],Table13786[[#This Row],[Living]])</f>
        <v>0</v>
      </c>
      <c r="F50" s="3">
        <f>Table13786[[#This Row],[Budget]]-Table13786[[#This Row],[Actual]]</f>
        <v>0</v>
      </c>
      <c r="G50" s="32"/>
      <c r="H50" s="42"/>
      <c r="Q50" s="42"/>
    </row>
    <row r="51" spans="2:17">
      <c r="B51" s="32"/>
      <c r="D51" s="2"/>
      <c r="E51" s="2">
        <f>SUMIFS(Table484[Amount],Table484[Category],Table13786[[#Headers],[Living]],Table484[Sub-Category],Table13786[[#This Row],[Living]])+SUMIFS(Table4490[Amount],Table4490[Category],Table13786[[#Headers],[Living]],Table4490[Sub-Category],Table13786[[#This Row],[Living]])</f>
        <v>0</v>
      </c>
      <c r="F51" s="3">
        <f>Table13786[[#This Row],[Budget]]-Table13786[[#This Row],[Actual]]</f>
        <v>0</v>
      </c>
      <c r="G51" s="32"/>
      <c r="H51" s="42"/>
      <c r="Q51" s="42"/>
    </row>
    <row r="52" spans="2:17">
      <c r="B52" s="32"/>
      <c r="C52" s="11"/>
      <c r="D52" s="12"/>
      <c r="E52" s="13">
        <f>SUMIFS(Table484[Amount],Table484[Category],Table13786[[#Headers],[Living]],Table484[Sub-Category],Table13786[[#This Row],[Living]])+SUMIFS(Table4490[Amount],Table4490[Category],Table13786[[#Headers],[Living]],Table4490[Sub-Category],Table13786[[#This Row],[Living]])</f>
        <v>0</v>
      </c>
      <c r="F52" s="13">
        <f>Table13786[[#This Row],[Budget]]-Table13786[[#This Row],[Actual]]</f>
        <v>0</v>
      </c>
      <c r="G52" s="32"/>
      <c r="H52" s="42"/>
      <c r="Q52" s="42"/>
    </row>
    <row r="53" spans="2:17">
      <c r="B53" s="32"/>
      <c r="C53" s="11"/>
      <c r="D53" s="12"/>
      <c r="E53" s="13">
        <f>SUMIFS(Table484[Amount],Table484[Category],Table13786[[#Headers],[Living]],Table484[Sub-Category],Table13786[[#This Row],[Living]])+SUMIFS(Table4490[Amount],Table4490[Category],Table13786[[#Headers],[Living]],Table4490[Sub-Category],Table13786[[#This Row],[Living]])</f>
        <v>0</v>
      </c>
      <c r="F53" s="13">
        <f>Table13786[[#This Row],[Budget]]-Table13786[[#This Row],[Actual]]</f>
        <v>0</v>
      </c>
      <c r="G53" s="32"/>
      <c r="H53" s="42"/>
      <c r="Q53" s="42"/>
    </row>
    <row r="54" spans="2:17">
      <c r="B54" s="32"/>
      <c r="C54" s="9" t="s">
        <v>20</v>
      </c>
      <c r="D54" s="10">
        <f>SUBTOTAL(109,Table13786[Budget])</f>
        <v>0</v>
      </c>
      <c r="E54" s="10">
        <f>SUBTOTAL(109,Table13786[Actual])</f>
        <v>0</v>
      </c>
      <c r="F54" s="10">
        <f>SUBTOTAL(109,Table13786[Variance])</f>
        <v>0</v>
      </c>
      <c r="G54" s="32"/>
      <c r="H54" s="42"/>
      <c r="Q54" s="42"/>
    </row>
    <row r="55" spans="2:17">
      <c r="B55" s="32"/>
      <c r="C55" s="20"/>
      <c r="D55" s="21"/>
      <c r="E55" s="21"/>
      <c r="F55" s="22"/>
      <c r="G55" s="32"/>
      <c r="H55" s="42"/>
      <c r="Q55" s="42"/>
    </row>
    <row r="56" spans="2:17">
      <c r="B56" s="32"/>
      <c r="C56" s="37" t="str">
        <f>CONCATENATE(Table13887[[#Headers],[Entertainment]],"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SUMIFS(Table484[Amount],Table484[Category],Table13887[[#Headers],[Entertainment]],Table484[Sub-Category],Table13887[[#This Row],[Entertainment]])+SUMIFS(Table4490[Amount],Table4490[Category],Table13887[[#Headers],[Entertainment]],Table4490[Sub-Category],Table13887[[#This Row],[Entertainment]])</f>
        <v>0</v>
      </c>
      <c r="F58" s="3">
        <f>Table13887[[#This Row],[Budget]]-Table13887[[#This Row],[Actual]]</f>
        <v>0</v>
      </c>
      <c r="G58" s="32"/>
      <c r="H58" s="42"/>
      <c r="Q58" s="42"/>
    </row>
    <row r="59" spans="2:17">
      <c r="B59" s="33"/>
      <c r="D59" s="2"/>
      <c r="E59" s="2">
        <f>SUMIFS(Table484[Amount],Table484[Category],Table13887[[#Headers],[Entertainment]],Table484[Sub-Category],Table13887[[#This Row],[Entertainment]])+SUMIFS(Table4490[Amount],Table4490[Category],Table13887[[#Headers],[Entertainment]],Table4490[Sub-Category],Table13887[[#This Row],[Entertainment]])</f>
        <v>0</v>
      </c>
      <c r="F59" s="3">
        <f>Table13887[[#This Row],[Budget]]-Table13887[[#This Row],[Actual]]</f>
        <v>0</v>
      </c>
      <c r="G59" s="33"/>
      <c r="H59" s="42"/>
      <c r="Q59" s="42"/>
    </row>
    <row r="60" spans="2:17">
      <c r="C60" s="9" t="s">
        <v>20</v>
      </c>
      <c r="D60" s="10">
        <f>SUBTOTAL(109,Table13887[Budget])</f>
        <v>0</v>
      </c>
      <c r="E60" s="10">
        <f>SUBTOTAL(109,Table13887[Actual])</f>
        <v>0</v>
      </c>
      <c r="F60" s="10">
        <f>SUBTOTAL(109,Table13887[Variance])</f>
        <v>0</v>
      </c>
      <c r="H60" s="42"/>
      <c r="Q60" s="42"/>
    </row>
    <row r="61" spans="2:17">
      <c r="C61" s="26"/>
      <c r="D61" s="23"/>
      <c r="E61" s="23"/>
      <c r="F61" s="23"/>
      <c r="H61" s="42"/>
      <c r="Q61" s="42"/>
    </row>
    <row r="62" spans="2:17">
      <c r="C62" s="37" t="str">
        <f>CONCATENATE(Table13988[[#Headers],[Misc.]],"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SUMIFS(Table484[Amount],Table484[Category],Table13988[[#Headers],[Misc.]],Table484[Sub-Category],Table13988[[#This Row],[Misc.]])+SUMIFS(Table4490[Amount],Table4490[Category],Table13988[[#Headers],[Misc.]],Table4490[Sub-Category],Table13988[[#This Row],[Misc.]])</f>
        <v>0</v>
      </c>
      <c r="F64" s="13">
        <f>Table13988[[#This Row],[Budget]]-Table13988[[#This Row],[Actual]]</f>
        <v>0</v>
      </c>
      <c r="H64" s="42"/>
      <c r="Q64" s="42"/>
    </row>
    <row r="65" spans="3:17">
      <c r="C65" s="11"/>
      <c r="D65" s="12"/>
      <c r="E65" s="13">
        <f>SUMIFS(Table484[Amount],Table484[Category],Table13988[[#Headers],[Misc.]],Table484[Sub-Category],Table13988[[#This Row],[Misc.]])+SUMIFS(Table4490[Amount],Table4490[Category],Table13988[[#Headers],[Misc.]],Table4490[Sub-Category],Table13988[[#This Row],[Misc.]])</f>
        <v>0</v>
      </c>
      <c r="F65" s="13">
        <f>Table13988[[#This Row],[Budget]]-Table13988[[#This Row],[Actual]]</f>
        <v>0</v>
      </c>
      <c r="H65" s="42"/>
      <c r="Q65" s="42"/>
    </row>
    <row r="66" spans="3:17">
      <c r="C66" s="9" t="s">
        <v>20</v>
      </c>
      <c r="D66" s="10">
        <f>SUBTOTAL(109,Table13988[Budget])</f>
        <v>0</v>
      </c>
      <c r="E66" s="10">
        <f>SUBTOTAL(109,Table13988[Actual])</f>
        <v>0</v>
      </c>
      <c r="F66" s="10">
        <f>SUBTOTAL(109,Table13988[Variance])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79" priority="16" operator="equal">
      <formula>TODAY()</formula>
    </cfRule>
  </conditionalFormatting>
  <conditionalFormatting sqref="T12 T20:U42">
    <cfRule type="expression" dxfId="78" priority="15">
      <formula>IF($S12=TODAY(),TRUE)</formula>
    </cfRule>
  </conditionalFormatting>
  <conditionalFormatting sqref="U12">
    <cfRule type="expression" dxfId="77" priority="14">
      <formula>IF($S12=TODAY(),TRUE)</formula>
    </cfRule>
  </conditionalFormatting>
  <conditionalFormatting sqref="V12 V20:V42">
    <cfRule type="expression" dxfId="76" priority="13">
      <formula>IF($S12=TODAY(),TRUE)</formula>
    </cfRule>
  </conditionalFormatting>
  <conditionalFormatting sqref="S13:S15">
    <cfRule type="cellIs" dxfId="75" priority="12" operator="equal">
      <formula>TODAY()</formula>
    </cfRule>
  </conditionalFormatting>
  <conditionalFormatting sqref="T13:T15">
    <cfRule type="expression" dxfId="74" priority="11">
      <formula>IF($S13=TODAY(),TRUE)</formula>
    </cfRule>
  </conditionalFormatting>
  <conditionalFormatting sqref="U13:U15">
    <cfRule type="expression" dxfId="73" priority="10">
      <formula>IF($S13=TODAY(),TRUE)</formula>
    </cfRule>
  </conditionalFormatting>
  <conditionalFormatting sqref="V13:V15">
    <cfRule type="expression" dxfId="72" priority="9">
      <formula>IF($S13=TODAY(),TRUE)</formula>
    </cfRule>
  </conditionalFormatting>
  <conditionalFormatting sqref="S16 S20 S24 S28 S32 S36 S40">
    <cfRule type="cellIs" dxfId="71" priority="8" operator="equal">
      <formula>TODAY()</formula>
    </cfRule>
  </conditionalFormatting>
  <conditionalFormatting sqref="T16">
    <cfRule type="expression" dxfId="70" priority="7">
      <formula>IF($S16=TODAY(),TRUE)</formula>
    </cfRule>
  </conditionalFormatting>
  <conditionalFormatting sqref="U16">
    <cfRule type="expression" dxfId="69" priority="6">
      <formula>IF($S16=TODAY(),TRUE)</formula>
    </cfRule>
  </conditionalFormatting>
  <conditionalFormatting sqref="V16">
    <cfRule type="expression" dxfId="68" priority="5">
      <formula>IF($S16=TODAY(),TRUE)</formula>
    </cfRule>
  </conditionalFormatting>
  <conditionalFormatting sqref="S17:S19 S21:S23 S25:S27 S29:S31 S33:S35 S37:S39 S41:S42">
    <cfRule type="cellIs" dxfId="67" priority="4" operator="equal">
      <formula>TODAY()</formula>
    </cfRule>
  </conditionalFormatting>
  <conditionalFormatting sqref="T17:T19">
    <cfRule type="expression" dxfId="66" priority="3">
      <formula>IF($S17=TODAY(),TRUE)</formula>
    </cfRule>
  </conditionalFormatting>
  <conditionalFormatting sqref="U17:U19">
    <cfRule type="expression" dxfId="65" priority="2">
      <formula>IF($S17=TODAY(),TRUE)</formula>
    </cfRule>
  </conditionalFormatting>
  <conditionalFormatting sqref="V17:V19">
    <cfRule type="expression" dxfId="64"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700-000000000000}">
      <formula1>$U$2:$U$4</formula1>
    </dataValidation>
    <dataValidation type="list" allowBlank="1" showInputMessage="1" showErrorMessage="1" sqref="K35:K40 K19:K32 K12:K16" xr:uid="{00000000-0002-0000-0700-000001000000}">
      <formula1>$R$2:$R$8</formula1>
    </dataValidation>
    <dataValidation type="list" allowBlank="1" showInputMessage="1" showErrorMessage="1" sqref="L35:L40 L12:L16 L19:L32" xr:uid="{00000000-0002-0000-07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7CECDA5E-5AFB-4AB9-8BF4-DC9D56DD8E46}">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60325320-D344-499E-AF19-50704D235F02}">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68"/>
  <sheetViews>
    <sheetView showGridLines="0" zoomScaleNormal="100" workbookViewId="0">
      <selection activeCell="C1" sqref="C1:F1"/>
    </sheetView>
  </sheetViews>
  <sheetFormatPr defaultColWidth="0" defaultRowHeight="13.2"/>
  <cols>
    <col min="1" max="2" width="0.6640625" style="1" customWidth="1"/>
    <col min="3" max="3" width="15" style="1" bestFit="1" customWidth="1"/>
    <col min="4" max="6" width="12.88671875" style="1" customWidth="1"/>
    <col min="7" max="7" width="0.88671875" style="1" customWidth="1"/>
    <col min="8" max="8" width="0.33203125" style="1" customWidth="1"/>
    <col min="9" max="9" width="0.88671875" style="1" customWidth="1"/>
    <col min="10" max="10" width="24.44140625" style="1" bestFit="1" customWidth="1"/>
    <col min="11" max="11" width="12.109375" style="1" bestFit="1" customWidth="1"/>
    <col min="12" max="12" width="14.109375" style="1" bestFit="1" customWidth="1"/>
    <col min="13" max="13" width="8.5546875" style="1" bestFit="1" customWidth="1"/>
    <col min="14" max="14" width="9.6640625" style="1" bestFit="1" customWidth="1"/>
    <col min="15" max="15" width="8.33203125" style="1" bestFit="1" customWidth="1"/>
    <col min="16" max="16" width="0.88671875" style="1" customWidth="1"/>
    <col min="17" max="17" width="0.33203125" style="1" customWidth="1"/>
    <col min="18" max="18" width="0.88671875" style="1" customWidth="1"/>
    <col min="19" max="19" width="10.33203125" style="1" bestFit="1" customWidth="1"/>
    <col min="20" max="22" width="9.5546875" style="1" customWidth="1"/>
    <col min="23" max="23" width="0.6640625" style="1" customWidth="1"/>
    <col min="24" max="24" width="0.6640625" style="1" hidden="1" customWidth="1"/>
    <col min="25" max="25" width="12.109375" style="1" hidden="1" customWidth="1"/>
    <col min="26" max="27" width="4" style="1" hidden="1" customWidth="1"/>
    <col min="28" max="16384" width="9.109375" style="1" hidden="1"/>
  </cols>
  <sheetData>
    <row r="1" spans="2:23" ht="24.6">
      <c r="C1" s="61">
        <f>DATE(YEAR(Mo.8!C1),MONTH(Mo.8!C1)+1,DAY(Mo.8!C1))</f>
        <v>45261</v>
      </c>
      <c r="D1" s="61"/>
      <c r="E1" s="61"/>
      <c r="F1" s="61"/>
      <c r="R1" s="45" t="s">
        <v>0</v>
      </c>
      <c r="S1" s="45" t="s">
        <v>1</v>
      </c>
      <c r="T1" s="45" t="s">
        <v>2</v>
      </c>
      <c r="U1" s="45" t="s">
        <v>16</v>
      </c>
      <c r="V1" s="45" t="s">
        <v>45</v>
      </c>
    </row>
    <row r="2" spans="2:23">
      <c r="D2" s="18" t="s">
        <v>1</v>
      </c>
      <c r="E2" s="19" t="s">
        <v>2</v>
      </c>
      <c r="F2" s="19" t="s">
        <v>14</v>
      </c>
      <c r="R2" s="45" t="str">
        <f>Table13695[[#Headers],[Income]]</f>
        <v>Income</v>
      </c>
      <c r="S2" s="45">
        <f>SUM(Table13695[Budget])</f>
        <v>0</v>
      </c>
      <c r="T2" s="45">
        <f>SUM(Table13695[Actual])</f>
        <v>0</v>
      </c>
      <c r="U2" s="45" t="s">
        <v>19</v>
      </c>
      <c r="V2" s="45">
        <f>AVERAGE(V12:V42)</f>
        <v>1156.7400000000005</v>
      </c>
    </row>
    <row r="3" spans="2:23">
      <c r="C3" s="17" t="s">
        <v>35</v>
      </c>
      <c r="D3" s="5">
        <f>Mo.8!D6</f>
        <v>1156.74</v>
      </c>
      <c r="E3" s="14">
        <f>Mo.8!E6</f>
        <v>1156.74</v>
      </c>
      <c r="F3" s="14">
        <f>E3-D3</f>
        <v>0</v>
      </c>
      <c r="R3" s="45" t="str">
        <f>Table192[[#Headers],[Housing]]</f>
        <v>Housing</v>
      </c>
      <c r="S3" s="45">
        <f>SUM(Table192[Budget])</f>
        <v>0</v>
      </c>
      <c r="T3" s="45">
        <f>SUM(Table192[Actual])</f>
        <v>0</v>
      </c>
      <c r="U3" s="45" t="s">
        <v>17</v>
      </c>
      <c r="V3" s="45"/>
    </row>
    <row r="4" spans="2:23">
      <c r="C4" s="17" t="s">
        <v>32</v>
      </c>
      <c r="D4" s="5">
        <f>Table13695[[#Totals],[Budget]]</f>
        <v>0</v>
      </c>
      <c r="E4" s="5">
        <f>Table13695[[#Totals],[Actual]]</f>
        <v>0</v>
      </c>
      <c r="F4" s="5">
        <f>E4-D4</f>
        <v>0</v>
      </c>
      <c r="R4" s="45" t="str">
        <f>Table1393[[#Headers],[Transportation]]</f>
        <v>Transportation</v>
      </c>
      <c r="S4" s="45">
        <f>SUM(Table1393[Budget])</f>
        <v>0</v>
      </c>
      <c r="T4" s="45">
        <f>SUM(Table1393[Actual])</f>
        <v>0</v>
      </c>
      <c r="U4" s="45" t="s">
        <v>18</v>
      </c>
      <c r="V4" s="45"/>
    </row>
    <row r="5" spans="2:23">
      <c r="C5" s="17" t="s">
        <v>33</v>
      </c>
      <c r="D5" s="5">
        <f>Table192[[#Totals],[Budget]]+Table1393[[#Totals],[Budget]]+Table1391099[[#Totals],[Budget]]+Table13796[[#Totals],[Budget]]+Table13897[[#Totals],[Budget]]+Table13998[[#Totals],[Budget]]</f>
        <v>0</v>
      </c>
      <c r="E5" s="5">
        <f>Table192[[#Totals],[Actual]]+Table1393[[#Totals],[Actual]]+Table1391099[[#Totals],[Actual]]+Table13796[[#Totals],[Actual]]+Table13897[[#Totals],[Actual]]+Table13998[[#Totals],[Actual]]</f>
        <v>0</v>
      </c>
      <c r="F5" s="5">
        <f>E5-D5</f>
        <v>0</v>
      </c>
      <c r="R5" s="45" t="str">
        <f>Table1391099[[#Headers],[Bills]]</f>
        <v>Bills</v>
      </c>
      <c r="S5" s="45">
        <f>SUM(Table1391099[Budget])</f>
        <v>0</v>
      </c>
      <c r="T5" s="45">
        <f>SUM(Table1391099[Actual])</f>
        <v>0</v>
      </c>
      <c r="U5" s="45"/>
      <c r="V5" s="45"/>
    </row>
    <row r="6" spans="2:23">
      <c r="C6" s="15" t="s">
        <v>34</v>
      </c>
      <c r="D6" s="16">
        <f>D3+D4-D5</f>
        <v>1156.74</v>
      </c>
      <c r="E6" s="16">
        <f>E3+E4-E5</f>
        <v>1156.74</v>
      </c>
      <c r="F6" s="16">
        <f>F3+F4-F5</f>
        <v>0</v>
      </c>
      <c r="R6" s="45" t="str">
        <f>Table13796[[#Headers],[Living]]</f>
        <v>Living</v>
      </c>
      <c r="S6" s="45">
        <f>SUM(Table13796[Budget])</f>
        <v>0</v>
      </c>
      <c r="T6" s="45">
        <f>SUM(Table13796[Actual])</f>
        <v>0</v>
      </c>
      <c r="U6" s="45"/>
      <c r="V6" s="45"/>
    </row>
    <row r="7" spans="2:23" ht="3.75" customHeight="1">
      <c r="D7" s="2"/>
      <c r="R7" s="45" t="str">
        <f>Table13897[[#Headers],[Entertainment]]</f>
        <v>Entertainment</v>
      </c>
      <c r="S7" s="45">
        <f>SUM(Table13897[Budget])</f>
        <v>0</v>
      </c>
      <c r="T7" s="45">
        <f>SUM(Table13897[Actual])</f>
        <v>0</v>
      </c>
      <c r="U7" s="45"/>
      <c r="V7" s="45"/>
    </row>
    <row r="8" spans="2:23" ht="1.5" customHeight="1">
      <c r="C8" s="42"/>
      <c r="D8" s="43"/>
      <c r="E8" s="42"/>
      <c r="F8" s="42"/>
      <c r="G8" s="42"/>
      <c r="H8" s="42"/>
      <c r="I8" s="42"/>
      <c r="J8" s="42"/>
      <c r="K8" s="42"/>
      <c r="L8" s="42"/>
      <c r="M8" s="42"/>
      <c r="N8" s="42"/>
      <c r="O8" s="42"/>
      <c r="P8" s="42"/>
      <c r="Q8" s="42"/>
      <c r="R8" s="44" t="str">
        <f>Table13998[[#Headers],[Misc.]]</f>
        <v>Misc.</v>
      </c>
      <c r="S8" s="44">
        <f>SUM(Table13998[Budget])</f>
        <v>0</v>
      </c>
      <c r="T8" s="44">
        <f>SUM(Table13998[Actual])</f>
        <v>0</v>
      </c>
      <c r="U8" s="44"/>
      <c r="V8" s="44"/>
    </row>
    <row r="9" spans="2:23" ht="3.75" customHeight="1">
      <c r="D9" s="2"/>
      <c r="H9" s="42"/>
      <c r="Q9" s="42"/>
    </row>
    <row r="10" spans="2:23" s="25" customFormat="1">
      <c r="B10" s="35"/>
      <c r="C10" s="37" t="str">
        <f>CONCATENATE(Table13695[[#Headers],[Income]]," - Budget &amp; Tracking")</f>
        <v>Income - Budget &amp; Tracking</v>
      </c>
      <c r="D10" s="38"/>
      <c r="E10" s="38"/>
      <c r="F10" s="39"/>
      <c r="G10" s="35"/>
      <c r="H10" s="41"/>
      <c r="J10" s="37" t="s">
        <v>42</v>
      </c>
      <c r="K10" s="38"/>
      <c r="L10" s="38"/>
      <c r="M10" s="38"/>
      <c r="N10" s="38"/>
      <c r="O10" s="39"/>
      <c r="Q10" s="41"/>
      <c r="S10" s="37" t="s">
        <v>40</v>
      </c>
      <c r="T10" s="38"/>
      <c r="U10" s="38"/>
      <c r="V10" s="39"/>
    </row>
    <row r="11" spans="2:23" ht="13.8" thickBot="1">
      <c r="B11" s="32"/>
      <c r="C11" s="31" t="s">
        <v>15</v>
      </c>
      <c r="D11" s="31" t="s">
        <v>1</v>
      </c>
      <c r="E11" s="31" t="s">
        <v>2</v>
      </c>
      <c r="F11" s="31" t="s">
        <v>14</v>
      </c>
      <c r="G11" s="32"/>
      <c r="H11" s="42"/>
      <c r="J11" s="31" t="s">
        <v>9</v>
      </c>
      <c r="K11" s="31" t="s">
        <v>0</v>
      </c>
      <c r="L11" s="31" t="s">
        <v>13</v>
      </c>
      <c r="M11" s="31" t="s">
        <v>10</v>
      </c>
      <c r="N11" s="31" t="s">
        <v>11</v>
      </c>
      <c r="O11" s="31" t="s">
        <v>16</v>
      </c>
      <c r="Q11" s="42"/>
      <c r="S11" s="40" t="s">
        <v>10</v>
      </c>
      <c r="T11" s="40" t="s">
        <v>22</v>
      </c>
      <c r="U11" s="40" t="s">
        <v>21</v>
      </c>
      <c r="V11" s="40" t="s">
        <v>23</v>
      </c>
    </row>
    <row r="12" spans="2:23">
      <c r="B12" s="32"/>
      <c r="D12" s="2"/>
      <c r="E12" s="2">
        <f>SUMIFS(Table4420101[Amount],Table4420101[Category],Table13695[[#Headers],[Income]],Table4420101[Sub-Category],Table13695[[#This Row],[Income]])+SUMIFS(Table44100[Amount],Table44100[Category],Table13695[[#Headers],[Income]],Table44100[Sub-Category],Table13695[[#This Row],[Income]])</f>
        <v>0</v>
      </c>
      <c r="F12" s="3">
        <f>Table13695[[#This Row],[Actual]]-Table13695[[#This Row],[Budget]]</f>
        <v>0</v>
      </c>
      <c r="G12" s="32"/>
      <c r="H12" s="42"/>
      <c r="M12" s="4"/>
      <c r="N12" s="2"/>
      <c r="Q12" s="42"/>
      <c r="S12" s="27">
        <f>C1</f>
        <v>45261</v>
      </c>
      <c r="T12" s="29">
        <f>SUMIFS(Table4420101[Amount],Table4420101[Date],S12,Table4420101[Category],Table13695[[#Headers],[Income]])+SUMIFS(Table44100[Amount],Table44100[Date],S12,Table44100[Category],Table13695[[#Headers],[Income]])</f>
        <v>0</v>
      </c>
      <c r="U12" s="29">
        <f>SUMIFS(Table494[Amount],Table494[Date],S12,Table494[Category],"&lt;&gt;"&amp;Table13695[[#Headers],[Income]])+SUMIFS(Table44100[Amount],Table44100[Date],S12,Table44100[Category],"&lt;&gt;"&amp;Table13695[[#Headers],[Income]])</f>
        <v>0</v>
      </c>
      <c r="V12" s="29">
        <f>E3+T12-U12</f>
        <v>1156.74</v>
      </c>
      <c r="W12" s="1">
        <f>V2</f>
        <v>1156.7400000000005</v>
      </c>
    </row>
    <row r="13" spans="2:23">
      <c r="B13" s="32"/>
      <c r="D13" s="2"/>
      <c r="E13" s="2">
        <f>SUMIFS(Table4420101[Amount],Table4420101[Category],Table13695[[#Headers],[Income]],Table4420101[Sub-Category],Table13695[[#This Row],[Income]])+SUMIFS(Table44100[Amount],Table44100[Category],Table13695[[#Headers],[Income]],Table44100[Sub-Category],Table13695[[#This Row],[Income]])</f>
        <v>0</v>
      </c>
      <c r="F13" s="3">
        <f>Table13695[[#This Row],[Actual]]-Table13695[[#This Row],[Budget]]</f>
        <v>0</v>
      </c>
      <c r="G13" s="32"/>
      <c r="H13" s="42"/>
      <c r="M13" s="4"/>
      <c r="N13" s="2"/>
      <c r="Q13" s="42"/>
      <c r="S13" s="30">
        <f t="shared" ref="S13:S42" si="0">S12+1</f>
        <v>45262</v>
      </c>
      <c r="T13" s="28">
        <f>SUMIFS(Table4420101[Amount],Table4420101[Date],S13,Table4420101[Category],Table13695[[#Headers],[Income]])+SUMIFS(Table44100[Amount],Table44100[Date],S13,Table44100[Category],Table13695[[#Headers],[Income]])</f>
        <v>0</v>
      </c>
      <c r="U13" s="28">
        <f>SUMIFS(Table494[Amount],Table494[Date],S13,Table494[Category],"&lt;&gt;"&amp;Table13695[[#Headers],[Income]])+SUMIFS(Table44100[Amount],Table44100[Date],S13,Table44100[Category],"&lt;&gt;"&amp;Table13695[[#Headers],[Income]])</f>
        <v>0</v>
      </c>
      <c r="V13" s="28">
        <f>V12+T13-U13</f>
        <v>1156.74</v>
      </c>
      <c r="W13" s="1">
        <f>W12</f>
        <v>1156.7400000000005</v>
      </c>
    </row>
    <row r="14" spans="2:23">
      <c r="B14" s="32"/>
      <c r="D14" s="12"/>
      <c r="E14" s="12">
        <f>SUMIFS(Table4420101[Amount],Table4420101[Category],Table13695[[#Headers],[Income]],Table4420101[Sub-Category],Table13695[[#This Row],[Income]])+SUMIFS(Table44100[Amount],Table44100[Category],Table13695[[#Headers],[Income]],Table44100[Sub-Category],Table13695[[#This Row],[Income]])</f>
        <v>0</v>
      </c>
      <c r="F14" s="2">
        <f>Table13695[[#This Row],[Actual]]-Table13695[[#This Row],[Budget]]</f>
        <v>0</v>
      </c>
      <c r="G14" s="32"/>
      <c r="H14" s="42"/>
      <c r="M14" s="4"/>
      <c r="N14" s="2"/>
      <c r="Q14" s="42"/>
      <c r="S14" s="27">
        <f t="shared" si="0"/>
        <v>45263</v>
      </c>
      <c r="T14" s="29">
        <f>SUMIFS(Table4420101[Amount],Table4420101[Date],S14,Table4420101[Category],Table13695[[#Headers],[Income]])+SUMIFS(Table44100[Amount],Table44100[Date],S14,Table44100[Category],Table13695[[#Headers],[Income]])</f>
        <v>0</v>
      </c>
      <c r="U14" s="29">
        <f>SUMIFS(Table494[Amount],Table494[Date],S14,Table494[Category],"&lt;&gt;"&amp;Table13695[[#Headers],[Income]])+SUMIFS(Table44100[Amount],Table44100[Date],S14,Table44100[Category],"&lt;&gt;"&amp;Table13695[[#Headers],[Income]])</f>
        <v>0</v>
      </c>
      <c r="V14" s="29">
        <f t="shared" ref="V14:V42" si="1">V13+T14-U14</f>
        <v>1156.74</v>
      </c>
      <c r="W14" s="1">
        <f t="shared" ref="W14:W42" si="2">W13</f>
        <v>1156.7400000000005</v>
      </c>
    </row>
    <row r="15" spans="2:23">
      <c r="B15" s="32"/>
      <c r="D15" s="2"/>
      <c r="E15" s="3">
        <f>SUMIFS(Table4420101[Amount],Table4420101[Category],Table13695[[#Headers],[Income]],Table4420101[Sub-Category],Table13695[[#This Row],[Income]])+SUMIFS(Table44100[Amount],Table44100[Category],Table13695[[#Headers],[Income]],Table44100[Sub-Category],Table13695[[#This Row],[Income]])</f>
        <v>0</v>
      </c>
      <c r="F15" s="3">
        <f>Table13695[[#This Row],[Actual]]-Table13695[[#This Row],[Budget]]</f>
        <v>0</v>
      </c>
      <c r="G15" s="32"/>
      <c r="H15" s="42"/>
      <c r="J15" s="11"/>
      <c r="K15" s="11"/>
      <c r="L15" s="11"/>
      <c r="M15" s="24"/>
      <c r="N15" s="12"/>
      <c r="O15" s="11"/>
      <c r="Q15" s="42"/>
      <c r="S15" s="30">
        <f t="shared" si="0"/>
        <v>45264</v>
      </c>
      <c r="T15" s="28">
        <f>SUMIFS(Table4420101[Amount],Table4420101[Date],S15,Table4420101[Category],Table13695[[#Headers],[Income]])+SUMIFS(Table44100[Amount],Table44100[Date],S15,Table44100[Category],Table13695[[#Headers],[Income]])</f>
        <v>0</v>
      </c>
      <c r="U15" s="28">
        <f>SUMIFS(Table494[Amount],Table494[Date],S15,Table494[Category],"&lt;&gt;"&amp;Table13695[[#Headers],[Income]])+SUMIFS(Table44100[Amount],Table44100[Date],S15,Table44100[Category],"&lt;&gt;"&amp;Table13695[[#Headers],[Income]])</f>
        <v>0</v>
      </c>
      <c r="V15" s="28">
        <f t="shared" si="1"/>
        <v>1156.74</v>
      </c>
      <c r="W15" s="1">
        <f t="shared" si="2"/>
        <v>1156.7400000000005</v>
      </c>
    </row>
    <row r="16" spans="2:23">
      <c r="B16" s="32"/>
      <c r="C16" s="6" t="s">
        <v>20</v>
      </c>
      <c r="D16" s="7">
        <f>SUBTOTAL(109,Table13695[Budget])</f>
        <v>0</v>
      </c>
      <c r="E16" s="7">
        <f>SUBTOTAL(109,Table13695[Actual])</f>
        <v>0</v>
      </c>
      <c r="F16" s="7">
        <f>SUBTOTAL(109,Table13695[Variance])</f>
        <v>0</v>
      </c>
      <c r="G16" s="36"/>
      <c r="H16" s="43"/>
      <c r="I16" s="2"/>
      <c r="M16" s="4"/>
      <c r="N16" s="2"/>
      <c r="Q16" s="43"/>
      <c r="S16" s="27">
        <f t="shared" si="0"/>
        <v>45265</v>
      </c>
      <c r="T16" s="29">
        <f>SUMIFS(Table4420101[Amount],Table4420101[Date],S16,Table4420101[Category],Table13695[[#Headers],[Income]])+SUMIFS(Table44100[Amount],Table44100[Date],S16,Table44100[Category],Table13695[[#Headers],[Income]])</f>
        <v>0</v>
      </c>
      <c r="U16" s="29">
        <f>SUMIFS(Table494[Amount],Table494[Date],S16,Table494[Category],"&lt;&gt;"&amp;Table13695[[#Headers],[Income]])+SUMIFS(Table44100[Amount],Table44100[Date],S16,Table44100[Category],"&lt;&gt;"&amp;Table13695[[#Headers],[Income]])</f>
        <v>0</v>
      </c>
      <c r="V16" s="29">
        <f t="shared" si="1"/>
        <v>1156.74</v>
      </c>
      <c r="W16" s="1">
        <f t="shared" si="2"/>
        <v>1156.7400000000005</v>
      </c>
    </row>
    <row r="17" spans="2:23">
      <c r="B17" s="32"/>
      <c r="C17" s="20"/>
      <c r="D17" s="21"/>
      <c r="E17" s="21"/>
      <c r="F17" s="21"/>
      <c r="G17" s="36"/>
      <c r="H17" s="43"/>
      <c r="I17" s="2"/>
      <c r="J17" s="37" t="s">
        <v>43</v>
      </c>
      <c r="K17" s="38"/>
      <c r="L17" s="38"/>
      <c r="M17" s="38"/>
      <c r="N17" s="38"/>
      <c r="O17" s="39"/>
      <c r="Q17" s="43"/>
      <c r="S17" s="30">
        <f t="shared" si="0"/>
        <v>45266</v>
      </c>
      <c r="T17" s="28">
        <f>SUMIFS(Table4420101[Amount],Table4420101[Date],S17,Table4420101[Category],Table13695[[#Headers],[Income]])+SUMIFS(Table44100[Amount],Table44100[Date],S17,Table44100[Category],Table13695[[#Headers],[Income]])</f>
        <v>0</v>
      </c>
      <c r="U17" s="28">
        <f>SUMIFS(Table494[Amount],Table494[Date],S17,Table494[Category],"&lt;&gt;"&amp;Table13695[[#Headers],[Income]])+SUMIFS(Table44100[Amount],Table44100[Date],S17,Table44100[Category],"&lt;&gt;"&amp;Table13695[[#Headers],[Income]])</f>
        <v>0</v>
      </c>
      <c r="V17" s="28">
        <f t="shared" si="1"/>
        <v>1156.74</v>
      </c>
      <c r="W17" s="1">
        <f t="shared" si="2"/>
        <v>1156.7400000000005</v>
      </c>
    </row>
    <row r="18" spans="2:23">
      <c r="B18" s="32"/>
      <c r="C18" s="37" t="str">
        <f>CONCATENATE(Table192[[#Headers],[Housing]]," - Budget &amp; Tracking")</f>
        <v>Housing - Budget &amp; Tracking</v>
      </c>
      <c r="D18" s="38"/>
      <c r="E18" s="38"/>
      <c r="F18" s="39"/>
      <c r="G18" s="36"/>
      <c r="H18" s="43"/>
      <c r="I18" s="2"/>
      <c r="J18" s="31" t="s">
        <v>9</v>
      </c>
      <c r="K18" s="31" t="s">
        <v>0</v>
      </c>
      <c r="L18" s="31" t="s">
        <v>13</v>
      </c>
      <c r="M18" s="31" t="s">
        <v>10</v>
      </c>
      <c r="N18" s="31" t="s">
        <v>11</v>
      </c>
      <c r="O18" s="31" t="s">
        <v>16</v>
      </c>
      <c r="Q18" s="43"/>
      <c r="S18" s="27">
        <f t="shared" si="0"/>
        <v>45267</v>
      </c>
      <c r="T18" s="29">
        <f>SUMIFS(Table4420101[Amount],Table4420101[Date],S18,Table4420101[Category],Table13695[[#Headers],[Income]])+SUMIFS(Table44100[Amount],Table44100[Date],S18,Table44100[Category],Table13695[[#Headers],[Income]])</f>
        <v>0</v>
      </c>
      <c r="U18" s="29">
        <f>SUMIFS(Table494[Amount],Table494[Date],S18,Table494[Category],"&lt;&gt;"&amp;Table13695[[#Headers],[Income]])+SUMIFS(Table44100[Amount],Table44100[Date],S18,Table44100[Category],"&lt;&gt;"&amp;Table13695[[#Headers],[Income]])</f>
        <v>0</v>
      </c>
      <c r="V18" s="29">
        <f t="shared" si="1"/>
        <v>1156.74</v>
      </c>
      <c r="W18" s="1">
        <f t="shared" si="2"/>
        <v>1156.7400000000005</v>
      </c>
    </row>
    <row r="19" spans="2:23">
      <c r="B19" s="32"/>
      <c r="C19" s="31" t="s">
        <v>8</v>
      </c>
      <c r="D19" s="31" t="s">
        <v>1</v>
      </c>
      <c r="E19" s="31" t="s">
        <v>2</v>
      </c>
      <c r="F19" s="31" t="s">
        <v>14</v>
      </c>
      <c r="G19" s="36"/>
      <c r="H19" s="43"/>
      <c r="I19" s="2"/>
      <c r="M19" s="4"/>
      <c r="N19" s="2"/>
      <c r="Q19" s="43"/>
      <c r="S19" s="30">
        <f t="shared" si="0"/>
        <v>45268</v>
      </c>
      <c r="T19" s="28">
        <f>SUMIFS(Table4420101[Amount],Table4420101[Date],S19,Table4420101[Category],Table13695[[#Headers],[Income]])+SUMIFS(Table44100[Amount],Table44100[Date],S19,Table44100[Category],Table13695[[#Headers],[Income]])</f>
        <v>0</v>
      </c>
      <c r="U19" s="28">
        <f>SUMIFS(Table494[Amount],Table494[Date],S19,Table494[Category],"&lt;&gt;"&amp;Table13695[[#Headers],[Income]])+SUMIFS(Table44100[Amount],Table44100[Date],S19,Table44100[Category],"&lt;&gt;"&amp;Table13695[[#Headers],[Income]])</f>
        <v>0</v>
      </c>
      <c r="V19" s="28">
        <f t="shared" si="1"/>
        <v>1156.74</v>
      </c>
      <c r="W19" s="1">
        <f t="shared" si="2"/>
        <v>1156.7400000000005</v>
      </c>
    </row>
    <row r="20" spans="2:23">
      <c r="B20" s="32"/>
      <c r="D20" s="2"/>
      <c r="E20" s="2">
        <f>SUMIFS(Table494[Amount],Table494[Category],Table192[[#Headers],[Housing]],Table494[Sub-Category],Table192[[#This Row],[Housing]])+SUMIFS(Table44100[Amount],Table44100[Category],Table192[[#Headers],[Housing]],Table44100[Sub-Category],Table192[[#This Row],[Housing]])</f>
        <v>0</v>
      </c>
      <c r="F20" s="3">
        <f>Table192[[#This Row],[Budget]]-Table192[[#This Row],[Actual]]</f>
        <v>0</v>
      </c>
      <c r="G20" s="36"/>
      <c r="H20" s="43"/>
      <c r="I20" s="2"/>
      <c r="J20" s="11"/>
      <c r="K20" s="11"/>
      <c r="L20" s="11"/>
      <c r="M20" s="24"/>
      <c r="N20" s="12"/>
      <c r="O20" s="11"/>
      <c r="Q20" s="43"/>
      <c r="S20" s="27">
        <f t="shared" si="0"/>
        <v>45269</v>
      </c>
      <c r="T20" s="29">
        <f>SUMIFS(Table4420101[Amount],Table4420101[Date],S20,Table4420101[Category],Table13695[[#Headers],[Income]])+SUMIFS(Table44100[Amount],Table44100[Date],S20,Table44100[Category],Table13695[[#Headers],[Income]])</f>
        <v>0</v>
      </c>
      <c r="U20" s="29">
        <f>SUMIFS(Table494[Amount],Table494[Date],S20,Table494[Category],"&lt;&gt;"&amp;Table13695[[#Headers],[Income]])+SUMIFS(Table44100[Amount],Table44100[Date],S20,Table44100[Category],"&lt;&gt;"&amp;Table13695[[#Headers],[Income]])</f>
        <v>0</v>
      </c>
      <c r="V20" s="29">
        <f t="shared" si="1"/>
        <v>1156.74</v>
      </c>
      <c r="W20" s="1">
        <f t="shared" si="2"/>
        <v>1156.7400000000005</v>
      </c>
    </row>
    <row r="21" spans="2:23">
      <c r="B21" s="32"/>
      <c r="D21" s="2"/>
      <c r="E21" s="2">
        <f>SUMIFS(Table494[Amount],Table494[Category],Table192[[#Headers],[Housing]],Table494[Sub-Category],Table192[[#This Row],[Housing]])+SUMIFS(Table44100[Amount],Table44100[Category],Table192[[#Headers],[Housing]],Table44100[Sub-Category],Table192[[#This Row],[Housing]])</f>
        <v>0</v>
      </c>
      <c r="F21" s="3">
        <f>Table192[[#This Row],[Budget]]-Table192[[#This Row],[Actual]]</f>
        <v>0</v>
      </c>
      <c r="G21" s="36"/>
      <c r="H21" s="43"/>
      <c r="I21" s="2"/>
      <c r="J21" s="11"/>
      <c r="K21" s="11"/>
      <c r="L21" s="11"/>
      <c r="M21" s="24"/>
      <c r="N21" s="12"/>
      <c r="O21" s="11"/>
      <c r="Q21" s="43"/>
      <c r="S21" s="30">
        <f t="shared" si="0"/>
        <v>45270</v>
      </c>
      <c r="T21" s="28">
        <f>SUMIFS(Table4420101[Amount],Table4420101[Date],S21,Table4420101[Category],Table13695[[#Headers],[Income]])+SUMIFS(Table44100[Amount],Table44100[Date],S21,Table44100[Category],Table13695[[#Headers],[Income]])</f>
        <v>0</v>
      </c>
      <c r="U21" s="28">
        <f>SUMIFS(Table494[Amount],Table494[Date],S21,Table494[Category],"&lt;&gt;"&amp;Table13695[[#Headers],[Income]])+SUMIFS(Table44100[Amount],Table44100[Date],S21,Table44100[Category],"&lt;&gt;"&amp;Table13695[[#Headers],[Income]])</f>
        <v>0</v>
      </c>
      <c r="V21" s="28">
        <f t="shared" si="1"/>
        <v>1156.74</v>
      </c>
      <c r="W21" s="1">
        <f t="shared" si="2"/>
        <v>1156.7400000000005</v>
      </c>
    </row>
    <row r="22" spans="2:23">
      <c r="B22" s="32"/>
      <c r="D22" s="2"/>
      <c r="E22" s="2">
        <f>SUMIFS(Table494[Amount],Table494[Category],Table192[[#Headers],[Housing]],Table494[Sub-Category],Table192[[#This Row],[Housing]])+SUMIFS(Table44100[Amount],Table44100[Category],Table192[[#Headers],[Housing]],Table44100[Sub-Category],Table192[[#This Row],[Housing]])</f>
        <v>0</v>
      </c>
      <c r="F22" s="3">
        <f>Table192[[#This Row],[Budget]]-Table192[[#This Row],[Actual]]</f>
        <v>0</v>
      </c>
      <c r="G22" s="36"/>
      <c r="H22" s="43"/>
      <c r="I22" s="2"/>
      <c r="J22" s="11"/>
      <c r="K22" s="11"/>
      <c r="L22" s="11"/>
      <c r="M22" s="24"/>
      <c r="N22" s="12"/>
      <c r="O22" s="11"/>
      <c r="Q22" s="43"/>
      <c r="S22" s="27">
        <f t="shared" si="0"/>
        <v>45271</v>
      </c>
      <c r="T22" s="29">
        <f>SUMIFS(Table4420101[Amount],Table4420101[Date],S22,Table4420101[Category],Table13695[[#Headers],[Income]])+SUMIFS(Table44100[Amount],Table44100[Date],S22,Table44100[Category],Table13695[[#Headers],[Income]])</f>
        <v>0</v>
      </c>
      <c r="U22" s="29">
        <f>SUMIFS(Table494[Amount],Table494[Date],S22,Table494[Category],"&lt;&gt;"&amp;Table13695[[#Headers],[Income]])+SUMIFS(Table44100[Amount],Table44100[Date],S22,Table44100[Category],"&lt;&gt;"&amp;Table13695[[#Headers],[Income]])</f>
        <v>0</v>
      </c>
      <c r="V22" s="29">
        <f t="shared" si="1"/>
        <v>1156.74</v>
      </c>
      <c r="W22" s="1">
        <f t="shared" si="2"/>
        <v>1156.7400000000005</v>
      </c>
    </row>
    <row r="23" spans="2:23">
      <c r="B23" s="32"/>
      <c r="D23" s="2"/>
      <c r="E23" s="2">
        <f>SUMIFS(Table494[Amount],Table494[Category],Table192[[#Headers],[Housing]],Table494[Sub-Category],Table192[[#This Row],[Housing]])+SUMIFS(Table44100[Amount],Table44100[Category],Table192[[#Headers],[Housing]],Table44100[Sub-Category],Table192[[#This Row],[Housing]])</f>
        <v>0</v>
      </c>
      <c r="F23" s="3">
        <f>Table192[[#This Row],[Budget]]-Table192[[#This Row],[Actual]]</f>
        <v>0</v>
      </c>
      <c r="G23" s="36"/>
      <c r="H23" s="43"/>
      <c r="I23" s="2"/>
      <c r="J23" s="11"/>
      <c r="K23" s="11"/>
      <c r="L23" s="11"/>
      <c r="M23" s="24"/>
      <c r="N23" s="12"/>
      <c r="O23" s="11"/>
      <c r="Q23" s="43"/>
      <c r="S23" s="30">
        <f t="shared" si="0"/>
        <v>45272</v>
      </c>
      <c r="T23" s="28">
        <f>SUMIFS(Table4420101[Amount],Table4420101[Date],S23,Table4420101[Category],Table13695[[#Headers],[Income]])+SUMIFS(Table44100[Amount],Table44100[Date],S23,Table44100[Category],Table13695[[#Headers],[Income]])</f>
        <v>0</v>
      </c>
      <c r="U23" s="28">
        <f>SUMIFS(Table494[Amount],Table494[Date],S23,Table494[Category],"&lt;&gt;"&amp;Table13695[[#Headers],[Income]])+SUMIFS(Table44100[Amount],Table44100[Date],S23,Table44100[Category],"&lt;&gt;"&amp;Table13695[[#Headers],[Income]])</f>
        <v>0</v>
      </c>
      <c r="V23" s="28">
        <f t="shared" si="1"/>
        <v>1156.74</v>
      </c>
      <c r="W23" s="1">
        <f t="shared" si="2"/>
        <v>1156.7400000000005</v>
      </c>
    </row>
    <row r="24" spans="2:23">
      <c r="B24" s="32"/>
      <c r="D24" s="2"/>
      <c r="E24" s="2">
        <f>SUMIFS(Table494[Amount],Table494[Category],Table192[[#Headers],[Housing]],Table494[Sub-Category],Table192[[#This Row],[Housing]])+SUMIFS(Table44100[Amount],Table44100[Category],Table192[[#Headers],[Housing]],Table44100[Sub-Category],Table192[[#This Row],[Housing]])</f>
        <v>0</v>
      </c>
      <c r="F24" s="3">
        <f>Table192[[#This Row],[Budget]]-Table192[[#This Row],[Actual]]</f>
        <v>0</v>
      </c>
      <c r="G24" s="36"/>
      <c r="H24" s="43"/>
      <c r="I24" s="2"/>
      <c r="J24" s="11"/>
      <c r="K24" s="11"/>
      <c r="L24" s="11"/>
      <c r="M24" s="24"/>
      <c r="N24" s="12"/>
      <c r="O24" s="11"/>
      <c r="Q24" s="43"/>
      <c r="S24" s="27">
        <f t="shared" si="0"/>
        <v>45273</v>
      </c>
      <c r="T24" s="29">
        <f>SUMIFS(Table4420101[Amount],Table4420101[Date],S24,Table4420101[Category],Table13695[[#Headers],[Income]])+SUMIFS(Table44100[Amount],Table44100[Date],S24,Table44100[Category],Table13695[[#Headers],[Income]])</f>
        <v>0</v>
      </c>
      <c r="U24" s="29">
        <f>SUMIFS(Table494[Amount],Table494[Date],S24,Table494[Category],"&lt;&gt;"&amp;Table13695[[#Headers],[Income]])+SUMIFS(Table44100[Amount],Table44100[Date],S24,Table44100[Category],"&lt;&gt;"&amp;Table13695[[#Headers],[Income]])</f>
        <v>0</v>
      </c>
      <c r="V24" s="29">
        <f t="shared" si="1"/>
        <v>1156.74</v>
      </c>
      <c r="W24" s="1">
        <f t="shared" si="2"/>
        <v>1156.7400000000005</v>
      </c>
    </row>
    <row r="25" spans="2:23">
      <c r="B25" s="32"/>
      <c r="D25" s="2"/>
      <c r="E25" s="2">
        <f>SUMIFS(Table494[Amount],Table494[Category],Table192[[#Headers],[Housing]],Table494[Sub-Category],Table192[[#This Row],[Housing]])+SUMIFS(Table44100[Amount],Table44100[Category],Table192[[#Headers],[Housing]],Table44100[Sub-Category],Table192[[#This Row],[Housing]])</f>
        <v>0</v>
      </c>
      <c r="F25" s="3">
        <f>Table192[[#This Row],[Budget]]-Table192[[#This Row],[Actual]]</f>
        <v>0</v>
      </c>
      <c r="G25" s="32"/>
      <c r="H25" s="42"/>
      <c r="J25" s="11"/>
      <c r="K25" s="11"/>
      <c r="L25" s="11"/>
      <c r="M25" s="24"/>
      <c r="N25" s="12"/>
      <c r="O25" s="11"/>
      <c r="Q25" s="42"/>
      <c r="S25" s="30">
        <f t="shared" si="0"/>
        <v>45274</v>
      </c>
      <c r="T25" s="28">
        <f>SUMIFS(Table4420101[Amount],Table4420101[Date],S25,Table4420101[Category],Table13695[[#Headers],[Income]])+SUMIFS(Table44100[Amount],Table44100[Date],S25,Table44100[Category],Table13695[[#Headers],[Income]])</f>
        <v>0</v>
      </c>
      <c r="U25" s="28">
        <f>SUMIFS(Table494[Amount],Table494[Date],S25,Table494[Category],"&lt;&gt;"&amp;Table13695[[#Headers],[Income]])+SUMIFS(Table44100[Amount],Table44100[Date],S25,Table44100[Category],"&lt;&gt;"&amp;Table13695[[#Headers],[Income]])</f>
        <v>0</v>
      </c>
      <c r="V25" s="28">
        <f t="shared" si="1"/>
        <v>1156.74</v>
      </c>
      <c r="W25" s="1">
        <f t="shared" si="2"/>
        <v>1156.7400000000005</v>
      </c>
    </row>
    <row r="26" spans="2:23">
      <c r="B26" s="32"/>
      <c r="D26" s="2"/>
      <c r="E26" s="2">
        <f>SUMIFS(Table494[Amount],Table494[Category],Table192[[#Headers],[Housing]],Table494[Sub-Category],Table192[[#This Row],[Housing]])+SUMIFS(Table44100[Amount],Table44100[Category],Table192[[#Headers],[Housing]],Table44100[Sub-Category],Table192[[#This Row],[Housing]])</f>
        <v>0</v>
      </c>
      <c r="F26" s="3">
        <f>Table192[[#This Row],[Budget]]-Table192[[#This Row],[Actual]]</f>
        <v>0</v>
      </c>
      <c r="G26" s="32"/>
      <c r="H26" s="42"/>
      <c r="J26" s="11"/>
      <c r="K26" s="11"/>
      <c r="L26" s="11"/>
      <c r="M26" s="24"/>
      <c r="N26" s="12"/>
      <c r="O26" s="11"/>
      <c r="Q26" s="42"/>
      <c r="S26" s="27">
        <f t="shared" si="0"/>
        <v>45275</v>
      </c>
      <c r="T26" s="29">
        <f>SUMIFS(Table4420101[Amount],Table4420101[Date],S26,Table4420101[Category],Table13695[[#Headers],[Income]])+SUMIFS(Table44100[Amount],Table44100[Date],S26,Table44100[Category],Table13695[[#Headers],[Income]])</f>
        <v>0</v>
      </c>
      <c r="U26" s="29">
        <f>SUMIFS(Table494[Amount],Table494[Date],S26,Table494[Category],"&lt;&gt;"&amp;Table13695[[#Headers],[Income]])+SUMIFS(Table44100[Amount],Table44100[Date],S26,Table44100[Category],"&lt;&gt;"&amp;Table13695[[#Headers],[Income]])</f>
        <v>0</v>
      </c>
      <c r="V26" s="29">
        <f t="shared" si="1"/>
        <v>1156.74</v>
      </c>
      <c r="W26" s="1">
        <f t="shared" si="2"/>
        <v>1156.7400000000005</v>
      </c>
    </row>
    <row r="27" spans="2:23">
      <c r="B27" s="32"/>
      <c r="D27" s="2"/>
      <c r="E27" s="2">
        <f>SUMIFS(Table494[Amount],Table494[Category],Table192[[#Headers],[Housing]],Table494[Sub-Category],Table192[[#This Row],[Housing]])+SUMIFS(Table44100[Amount],Table44100[Category],Table192[[#Headers],[Housing]],Table44100[Sub-Category],Table192[[#This Row],[Housing]])</f>
        <v>0</v>
      </c>
      <c r="F27" s="3">
        <f>Table192[[#This Row],[Budget]]-Table192[[#This Row],[Actual]]</f>
        <v>0</v>
      </c>
      <c r="G27" s="36"/>
      <c r="H27" s="43"/>
      <c r="I27" s="2"/>
      <c r="J27" s="11"/>
      <c r="K27" s="11"/>
      <c r="L27" s="11"/>
      <c r="M27" s="24"/>
      <c r="N27" s="12"/>
      <c r="O27" s="11"/>
      <c r="Q27" s="43"/>
      <c r="S27" s="30">
        <f t="shared" si="0"/>
        <v>45276</v>
      </c>
      <c r="T27" s="28">
        <f>SUMIFS(Table4420101[Amount],Table4420101[Date],S27,Table4420101[Category],Table13695[[#Headers],[Income]])+SUMIFS(Table44100[Amount],Table44100[Date],S27,Table44100[Category],Table13695[[#Headers],[Income]])</f>
        <v>0</v>
      </c>
      <c r="U27" s="28">
        <f>SUMIFS(Table494[Amount],Table494[Date],S27,Table494[Category],"&lt;&gt;"&amp;Table13695[[#Headers],[Income]])+SUMIFS(Table44100[Amount],Table44100[Date],S27,Table44100[Category],"&lt;&gt;"&amp;Table13695[[#Headers],[Income]])</f>
        <v>0</v>
      </c>
      <c r="V27" s="28">
        <f t="shared" si="1"/>
        <v>1156.74</v>
      </c>
      <c r="W27" s="1">
        <f t="shared" si="2"/>
        <v>1156.7400000000005</v>
      </c>
    </row>
    <row r="28" spans="2:23">
      <c r="B28" s="32"/>
      <c r="C28" s="11"/>
      <c r="D28" s="12"/>
      <c r="E28" s="13">
        <f>SUMIFS(Table494[Amount],Table494[Category],Table192[[#Headers],[Housing]],Table494[Sub-Category],Table192[[#This Row],[Housing]])+SUMIFS(Table44100[Amount],Table44100[Category],Table192[[#Headers],[Housing]],Table44100[Sub-Category],Table192[[#This Row],[Housing]])</f>
        <v>0</v>
      </c>
      <c r="F28" s="13">
        <f>Table192[[#This Row],[Budget]]-Table192[[#This Row],[Actual]]</f>
        <v>0</v>
      </c>
      <c r="G28" s="36"/>
      <c r="H28" s="43"/>
      <c r="I28" s="2"/>
      <c r="J28" s="11"/>
      <c r="K28" s="11"/>
      <c r="L28" s="11"/>
      <c r="M28" s="24"/>
      <c r="N28" s="12"/>
      <c r="O28" s="11"/>
      <c r="Q28" s="43"/>
      <c r="S28" s="27">
        <f t="shared" si="0"/>
        <v>45277</v>
      </c>
      <c r="T28" s="29">
        <f>SUMIFS(Table4420101[Amount],Table4420101[Date],S28,Table4420101[Category],Table13695[[#Headers],[Income]])+SUMIFS(Table44100[Amount],Table44100[Date],S28,Table44100[Category],Table13695[[#Headers],[Income]])</f>
        <v>0</v>
      </c>
      <c r="U28" s="29">
        <f>SUMIFS(Table494[Amount],Table494[Date],S28,Table494[Category],"&lt;&gt;"&amp;Table13695[[#Headers],[Income]])+SUMIFS(Table44100[Amount],Table44100[Date],S28,Table44100[Category],"&lt;&gt;"&amp;Table13695[[#Headers],[Income]])</f>
        <v>0</v>
      </c>
      <c r="V28" s="29">
        <f t="shared" si="1"/>
        <v>1156.74</v>
      </c>
      <c r="W28" s="1">
        <f t="shared" si="2"/>
        <v>1156.7400000000005</v>
      </c>
    </row>
    <row r="29" spans="2:23">
      <c r="B29" s="32"/>
      <c r="C29" s="9" t="s">
        <v>20</v>
      </c>
      <c r="D29" s="10">
        <f>SUBTOTAL(109,Table192[Budget])</f>
        <v>0</v>
      </c>
      <c r="E29" s="10">
        <f>SUBTOTAL(109,Table192[Actual])</f>
        <v>0</v>
      </c>
      <c r="F29" s="10">
        <f>SUBTOTAL(109,Table192[Variance])</f>
        <v>0</v>
      </c>
      <c r="G29" s="32"/>
      <c r="H29" s="42"/>
      <c r="J29" s="11"/>
      <c r="K29" s="11"/>
      <c r="L29" s="11"/>
      <c r="M29" s="24"/>
      <c r="N29" s="12"/>
      <c r="O29" s="11"/>
      <c r="Q29" s="42"/>
      <c r="S29" s="30">
        <f t="shared" si="0"/>
        <v>45278</v>
      </c>
      <c r="T29" s="28">
        <f>SUMIFS(Table4420101[Amount],Table4420101[Date],S29,Table4420101[Category],Table13695[[#Headers],[Income]])+SUMIFS(Table44100[Amount],Table44100[Date],S29,Table44100[Category],Table13695[[#Headers],[Income]])</f>
        <v>0</v>
      </c>
      <c r="U29" s="28">
        <f>SUMIFS(Table494[Amount],Table494[Date],S29,Table494[Category],"&lt;&gt;"&amp;Table13695[[#Headers],[Income]])+SUMIFS(Table44100[Amount],Table44100[Date],S29,Table44100[Category],"&lt;&gt;"&amp;Table13695[[#Headers],[Income]])</f>
        <v>0</v>
      </c>
      <c r="V29" s="28">
        <f t="shared" si="1"/>
        <v>1156.74</v>
      </c>
      <c r="W29" s="1">
        <f t="shared" si="2"/>
        <v>1156.7400000000005</v>
      </c>
    </row>
    <row r="30" spans="2:23">
      <c r="B30" s="32"/>
      <c r="C30" s="26"/>
      <c r="D30" s="23"/>
      <c r="E30" s="23"/>
      <c r="F30" s="23"/>
      <c r="G30" s="32"/>
      <c r="H30" s="42"/>
      <c r="J30" s="11"/>
      <c r="K30" s="11"/>
      <c r="L30" s="11"/>
      <c r="M30" s="24"/>
      <c r="N30" s="12"/>
      <c r="O30" s="11"/>
      <c r="Q30" s="42"/>
      <c r="S30" s="27">
        <f t="shared" si="0"/>
        <v>45279</v>
      </c>
      <c r="T30" s="29">
        <f>SUMIFS(Table4420101[Amount],Table4420101[Date],S30,Table4420101[Category],Table13695[[#Headers],[Income]])+SUMIFS(Table44100[Amount],Table44100[Date],S30,Table44100[Category],Table13695[[#Headers],[Income]])</f>
        <v>0</v>
      </c>
      <c r="U30" s="29">
        <f>SUMIFS(Table494[Amount],Table494[Date],S30,Table494[Category],"&lt;&gt;"&amp;Table13695[[#Headers],[Income]])+SUMIFS(Table44100[Amount],Table44100[Date],S30,Table44100[Category],"&lt;&gt;"&amp;Table13695[[#Headers],[Income]])</f>
        <v>0</v>
      </c>
      <c r="V30" s="29">
        <f t="shared" si="1"/>
        <v>1156.74</v>
      </c>
      <c r="W30" s="1">
        <f t="shared" si="2"/>
        <v>1156.7400000000005</v>
      </c>
    </row>
    <row r="31" spans="2:23">
      <c r="B31" s="32"/>
      <c r="C31" s="37" t="str">
        <f>CONCATENATE(Table1393[[#Headers],[Transportation]]," - Budget &amp; Tracking")</f>
        <v>Transportation - Budget &amp; Tracking</v>
      </c>
      <c r="D31" s="38"/>
      <c r="E31" s="38"/>
      <c r="F31" s="39"/>
      <c r="G31" s="32"/>
      <c r="H31" s="42"/>
      <c r="J31" s="11"/>
      <c r="K31" s="11"/>
      <c r="L31" s="11"/>
      <c r="M31" s="24"/>
      <c r="N31" s="12"/>
      <c r="O31" s="11"/>
      <c r="Q31" s="42"/>
      <c r="S31" s="30">
        <f t="shared" si="0"/>
        <v>45280</v>
      </c>
      <c r="T31" s="28">
        <f>SUMIFS(Table4420101[Amount],Table4420101[Date],S31,Table4420101[Category],Table13695[[#Headers],[Income]])+SUMIFS(Table44100[Amount],Table44100[Date],S31,Table44100[Category],Table13695[[#Headers],[Income]])</f>
        <v>0</v>
      </c>
      <c r="U31" s="28">
        <f>SUMIFS(Table494[Amount],Table494[Date],S31,Table494[Category],"&lt;&gt;"&amp;Table13695[[#Headers],[Income]])+SUMIFS(Table44100[Amount],Table44100[Date],S31,Table44100[Category],"&lt;&gt;"&amp;Table13695[[#Headers],[Income]])</f>
        <v>0</v>
      </c>
      <c r="V31" s="28">
        <f t="shared" si="1"/>
        <v>1156.74</v>
      </c>
      <c r="W31" s="1">
        <f t="shared" si="2"/>
        <v>1156.7400000000005</v>
      </c>
    </row>
    <row r="32" spans="2:23">
      <c r="B32" s="32"/>
      <c r="C32" s="31" t="s">
        <v>12</v>
      </c>
      <c r="D32" s="31" t="s">
        <v>1</v>
      </c>
      <c r="E32" s="31" t="s">
        <v>2</v>
      </c>
      <c r="F32" s="31" t="s">
        <v>14</v>
      </c>
      <c r="G32" s="32"/>
      <c r="H32" s="42"/>
      <c r="J32" s="11"/>
      <c r="K32" s="11"/>
      <c r="L32" s="11"/>
      <c r="M32" s="24"/>
      <c r="N32" s="12"/>
      <c r="O32" s="11"/>
      <c r="Q32" s="42"/>
      <c r="S32" s="27">
        <f t="shared" si="0"/>
        <v>45281</v>
      </c>
      <c r="T32" s="29">
        <f>SUMIFS(Table4420101[Amount],Table4420101[Date],S32,Table4420101[Category],Table13695[[#Headers],[Income]])+SUMIFS(Table44100[Amount],Table44100[Date],S32,Table44100[Category],Table13695[[#Headers],[Income]])</f>
        <v>0</v>
      </c>
      <c r="U32" s="29">
        <f>SUMIFS(Table494[Amount],Table494[Date],S32,Table494[Category],"&lt;&gt;"&amp;Table13695[[#Headers],[Income]])+SUMIFS(Table44100[Amount],Table44100[Date],S32,Table44100[Category],"&lt;&gt;"&amp;Table13695[[#Headers],[Income]])</f>
        <v>0</v>
      </c>
      <c r="V32" s="29">
        <f t="shared" si="1"/>
        <v>1156.74</v>
      </c>
      <c r="W32" s="1">
        <f t="shared" si="2"/>
        <v>1156.7400000000005</v>
      </c>
    </row>
    <row r="33" spans="2:23">
      <c r="B33" s="32"/>
      <c r="D33" s="2"/>
      <c r="E33" s="2">
        <f>SUMIFS(Table494[Amount],Table494[Category],Table1393[[#Headers],[Transportation]],Table494[Sub-Category],Table1393[[#This Row],[Transportation]])+SUMIFS(Table44100[Amount],Table44100[Category],Table1393[[#Headers],[Transportation]],Table44100[Sub-Category],Table1393[[#This Row],[Transportation]])</f>
        <v>0</v>
      </c>
      <c r="F33" s="3">
        <f>Table1393[[#This Row],[Budget]]-Table1393[[#This Row],[Actual]]</f>
        <v>0</v>
      </c>
      <c r="G33" s="32"/>
      <c r="H33" s="42"/>
      <c r="J33" s="37" t="s">
        <v>44</v>
      </c>
      <c r="K33" s="38"/>
      <c r="L33" s="38"/>
      <c r="M33" s="38"/>
      <c r="N33" s="38"/>
      <c r="O33" s="39"/>
      <c r="Q33" s="42"/>
      <c r="S33" s="30">
        <f t="shared" si="0"/>
        <v>45282</v>
      </c>
      <c r="T33" s="28">
        <f>SUMIFS(Table4420101[Amount],Table4420101[Date],S33,Table4420101[Category],Table13695[[#Headers],[Income]])+SUMIFS(Table44100[Amount],Table44100[Date],S33,Table44100[Category],Table13695[[#Headers],[Income]])</f>
        <v>0</v>
      </c>
      <c r="U33" s="28">
        <f>SUMIFS(Table494[Amount],Table494[Date],S33,Table494[Category],"&lt;&gt;"&amp;Table13695[[#Headers],[Income]])+SUMIFS(Table44100[Amount],Table44100[Date],S33,Table44100[Category],"&lt;&gt;"&amp;Table13695[[#Headers],[Income]])</f>
        <v>0</v>
      </c>
      <c r="V33" s="28">
        <f t="shared" si="1"/>
        <v>1156.74</v>
      </c>
      <c r="W33" s="1">
        <f t="shared" si="2"/>
        <v>1156.7400000000005</v>
      </c>
    </row>
    <row r="34" spans="2:23">
      <c r="B34" s="32"/>
      <c r="D34" s="2"/>
      <c r="E34" s="2">
        <f>SUMIFS(Table494[Amount],Table494[Category],Table1393[[#Headers],[Transportation]],Table494[Sub-Category],Table1393[[#This Row],[Transportation]])+SUMIFS(Table44100[Amount],Table44100[Category],Table1393[[#Headers],[Transportation]],Table44100[Sub-Category],Table1393[[#This Row],[Transportation]])</f>
        <v>0</v>
      </c>
      <c r="F34" s="3">
        <f>Table1393[[#This Row],[Budget]]-Table1393[[#This Row],[Actual]]</f>
        <v>0</v>
      </c>
      <c r="G34" s="32"/>
      <c r="H34" s="42"/>
      <c r="J34" s="31" t="s">
        <v>9</v>
      </c>
      <c r="K34" s="31" t="s">
        <v>0</v>
      </c>
      <c r="L34" s="31" t="s">
        <v>13</v>
      </c>
      <c r="M34" s="31" t="s">
        <v>10</v>
      </c>
      <c r="N34" s="31" t="s">
        <v>11</v>
      </c>
      <c r="O34" s="31" t="s">
        <v>16</v>
      </c>
      <c r="Q34" s="42"/>
      <c r="S34" s="27">
        <f t="shared" si="0"/>
        <v>45283</v>
      </c>
      <c r="T34" s="29">
        <f>SUMIFS(Table4420101[Amount],Table4420101[Date],S34,Table4420101[Category],Table13695[[#Headers],[Income]])+SUMIFS(Table44100[Amount],Table44100[Date],S34,Table44100[Category],Table13695[[#Headers],[Income]])</f>
        <v>0</v>
      </c>
      <c r="U34" s="29">
        <f>SUMIFS(Table494[Amount],Table494[Date],S34,Table494[Category],"&lt;&gt;"&amp;Table13695[[#Headers],[Income]])+SUMIFS(Table44100[Amount],Table44100[Date],S34,Table44100[Category],"&lt;&gt;"&amp;Table13695[[#Headers],[Income]])</f>
        <v>0</v>
      </c>
      <c r="V34" s="29">
        <f t="shared" si="1"/>
        <v>1156.74</v>
      </c>
      <c r="W34" s="1">
        <f t="shared" si="2"/>
        <v>1156.7400000000005</v>
      </c>
    </row>
    <row r="35" spans="2:23">
      <c r="B35" s="32"/>
      <c r="C35" s="11"/>
      <c r="D35" s="12"/>
      <c r="E35" s="13">
        <f>SUMIFS(Table494[Amount],Table494[Category],Table1393[[#Headers],[Transportation]],Table494[Sub-Category],Table1393[[#This Row],[Transportation]])+SUMIFS(Table44100[Amount],Table44100[Category],Table1393[[#Headers],[Transportation]],Table44100[Sub-Category],Table1393[[#This Row],[Transportation]])</f>
        <v>0</v>
      </c>
      <c r="F35" s="13">
        <f>Table1393[[#This Row],[Budget]]-Table1393[[#This Row],[Actual]]</f>
        <v>0</v>
      </c>
      <c r="G35" s="32"/>
      <c r="H35" s="42"/>
      <c r="M35" s="4"/>
      <c r="N35" s="2"/>
      <c r="Q35" s="42"/>
      <c r="S35" s="30">
        <f t="shared" si="0"/>
        <v>45284</v>
      </c>
      <c r="T35" s="28">
        <f>SUMIFS(Table4420101[Amount],Table4420101[Date],S35,Table4420101[Category],Table13695[[#Headers],[Income]])+SUMIFS(Table44100[Amount],Table44100[Date],S35,Table44100[Category],Table13695[[#Headers],[Income]])</f>
        <v>0</v>
      </c>
      <c r="U35" s="28">
        <f>SUMIFS(Table494[Amount],Table494[Date],S35,Table494[Category],"&lt;&gt;"&amp;Table13695[[#Headers],[Income]])+SUMIFS(Table44100[Amount],Table44100[Date],S35,Table44100[Category],"&lt;&gt;"&amp;Table13695[[#Headers],[Income]])</f>
        <v>0</v>
      </c>
      <c r="V35" s="28">
        <f t="shared" si="1"/>
        <v>1156.74</v>
      </c>
      <c r="W35" s="1">
        <f t="shared" si="2"/>
        <v>1156.7400000000005</v>
      </c>
    </row>
    <row r="36" spans="2:23">
      <c r="B36" s="32"/>
      <c r="C36" s="11"/>
      <c r="D36" s="12"/>
      <c r="E36" s="13">
        <f>SUMIFS(Table494[Amount],Table494[Category],Table1393[[#Headers],[Transportation]],Table494[Sub-Category],Table1393[[#This Row],[Transportation]])+SUMIFS(Table44100[Amount],Table44100[Category],Table1393[[#Headers],[Transportation]],Table44100[Sub-Category],Table1393[[#This Row],[Transportation]])</f>
        <v>0</v>
      </c>
      <c r="F36" s="13">
        <f>Table1393[[#This Row],[Budget]]-Table1393[[#This Row],[Actual]]</f>
        <v>0</v>
      </c>
      <c r="G36" s="32"/>
      <c r="H36" s="42"/>
      <c r="M36" s="4"/>
      <c r="N36" s="2"/>
      <c r="Q36" s="42"/>
      <c r="S36" s="27">
        <f t="shared" si="0"/>
        <v>45285</v>
      </c>
      <c r="T36" s="29">
        <f>SUMIFS(Table4420101[Amount],Table4420101[Date],S36,Table4420101[Category],Table13695[[#Headers],[Income]])+SUMIFS(Table44100[Amount],Table44100[Date],S36,Table44100[Category],Table13695[[#Headers],[Income]])</f>
        <v>0</v>
      </c>
      <c r="U36" s="29">
        <f>SUMIFS(Table494[Amount],Table494[Date],S36,Table494[Category],"&lt;&gt;"&amp;Table13695[[#Headers],[Income]])+SUMIFS(Table44100[Amount],Table44100[Date],S36,Table44100[Category],"&lt;&gt;"&amp;Table13695[[#Headers],[Income]])</f>
        <v>0</v>
      </c>
      <c r="V36" s="29">
        <f t="shared" si="1"/>
        <v>1156.74</v>
      </c>
      <c r="W36" s="1">
        <f t="shared" si="2"/>
        <v>1156.7400000000005</v>
      </c>
    </row>
    <row r="37" spans="2:23">
      <c r="B37" s="32"/>
      <c r="C37" s="9" t="s">
        <v>20</v>
      </c>
      <c r="D37" s="10">
        <f>SUBTOTAL(109,Table1393[Budget])</f>
        <v>0</v>
      </c>
      <c r="E37" s="10">
        <f>SUBTOTAL(109,Table1393[Actual])</f>
        <v>0</v>
      </c>
      <c r="F37" s="10">
        <f>SUBTOTAL(109,Table1393[Variance])</f>
        <v>0</v>
      </c>
      <c r="G37" s="32"/>
      <c r="H37" s="42"/>
      <c r="M37" s="4"/>
      <c r="N37" s="2"/>
      <c r="Q37" s="42"/>
      <c r="S37" s="30">
        <f t="shared" si="0"/>
        <v>45286</v>
      </c>
      <c r="T37" s="28">
        <f>SUMIFS(Table4420101[Amount],Table4420101[Date],S37,Table4420101[Category],Table13695[[#Headers],[Income]])+SUMIFS(Table44100[Amount],Table44100[Date],S37,Table44100[Category],Table13695[[#Headers],[Income]])</f>
        <v>0</v>
      </c>
      <c r="U37" s="28">
        <f>SUMIFS(Table494[Amount],Table494[Date],S37,Table494[Category],"&lt;&gt;"&amp;Table13695[[#Headers],[Income]])+SUMIFS(Table44100[Amount],Table44100[Date],S37,Table44100[Category],"&lt;&gt;"&amp;Table13695[[#Headers],[Income]])</f>
        <v>0</v>
      </c>
      <c r="V37" s="28">
        <f t="shared" si="1"/>
        <v>1156.74</v>
      </c>
      <c r="W37" s="1">
        <f t="shared" si="2"/>
        <v>1156.7400000000005</v>
      </c>
    </row>
    <row r="38" spans="2:23">
      <c r="B38" s="32"/>
      <c r="C38" s="26"/>
      <c r="D38" s="23"/>
      <c r="E38" s="23"/>
      <c r="F38" s="23"/>
      <c r="G38" s="32"/>
      <c r="H38" s="42"/>
      <c r="J38" s="11"/>
      <c r="K38" s="11"/>
      <c r="L38" s="11"/>
      <c r="M38" s="24"/>
      <c r="N38" s="12"/>
      <c r="O38" s="11"/>
      <c r="Q38" s="42"/>
      <c r="S38" s="27">
        <f t="shared" si="0"/>
        <v>45287</v>
      </c>
      <c r="T38" s="29">
        <f>SUMIFS(Table4420101[Amount],Table4420101[Date],S38,Table4420101[Category],Table13695[[#Headers],[Income]])+SUMIFS(Table44100[Amount],Table44100[Date],S38,Table44100[Category],Table13695[[#Headers],[Income]])</f>
        <v>0</v>
      </c>
      <c r="U38" s="29">
        <f>SUMIFS(Table494[Amount],Table494[Date],S38,Table494[Category],"&lt;&gt;"&amp;Table13695[[#Headers],[Income]])+SUMIFS(Table44100[Amount],Table44100[Date],S38,Table44100[Category],"&lt;&gt;"&amp;Table13695[[#Headers],[Income]])</f>
        <v>0</v>
      </c>
      <c r="V38" s="29">
        <f t="shared" si="1"/>
        <v>1156.74</v>
      </c>
      <c r="W38" s="1">
        <f t="shared" si="2"/>
        <v>1156.7400000000005</v>
      </c>
    </row>
    <row r="39" spans="2:23">
      <c r="B39" s="32"/>
      <c r="C39" s="37" t="str">
        <f>CONCATENATE(Table1391099[[#Headers],[Bills]]," - Budget &amp; Tracking")</f>
        <v>Bills - Budget &amp; Tracking</v>
      </c>
      <c r="D39" s="38"/>
      <c r="E39" s="38"/>
      <c r="F39" s="39"/>
      <c r="G39" s="32"/>
      <c r="H39" s="42"/>
      <c r="J39" s="11"/>
      <c r="K39" s="11"/>
      <c r="L39" s="11"/>
      <c r="M39" s="24"/>
      <c r="N39" s="12"/>
      <c r="O39" s="11"/>
      <c r="Q39" s="42"/>
      <c r="S39" s="30">
        <f t="shared" si="0"/>
        <v>45288</v>
      </c>
      <c r="T39" s="28">
        <f>SUMIFS(Table4420101[Amount],Table4420101[Date],S39,Table4420101[Category],Table13695[[#Headers],[Income]])+SUMIFS(Table44100[Amount],Table44100[Date],S39,Table44100[Category],Table13695[[#Headers],[Income]])</f>
        <v>0</v>
      </c>
      <c r="U39" s="28">
        <f>SUMIFS(Table494[Amount],Table494[Date],S39,Table494[Category],"&lt;&gt;"&amp;Table13695[[#Headers],[Income]])+SUMIFS(Table44100[Amount],Table44100[Date],S39,Table44100[Category],"&lt;&gt;"&amp;Table13695[[#Headers],[Income]])</f>
        <v>0</v>
      </c>
      <c r="V39" s="28">
        <f t="shared" si="1"/>
        <v>1156.74</v>
      </c>
      <c r="W39" s="1">
        <f t="shared" si="2"/>
        <v>1156.7400000000005</v>
      </c>
    </row>
    <row r="40" spans="2:23">
      <c r="B40" s="32"/>
      <c r="C40" s="31" t="s">
        <v>30</v>
      </c>
      <c r="D40" s="31" t="s">
        <v>1</v>
      </c>
      <c r="E40" s="31" t="s">
        <v>2</v>
      </c>
      <c r="F40" s="31" t="s">
        <v>14</v>
      </c>
      <c r="G40" s="32"/>
      <c r="H40" s="42"/>
      <c r="J40" s="11"/>
      <c r="K40" s="11"/>
      <c r="L40" s="11"/>
      <c r="M40" s="24"/>
      <c r="N40" s="12"/>
      <c r="O40" s="11"/>
      <c r="Q40" s="42"/>
      <c r="S40" s="27">
        <f t="shared" si="0"/>
        <v>45289</v>
      </c>
      <c r="T40" s="29">
        <f>SUMIFS(Table4420101[Amount],Table4420101[Date],S40,Table4420101[Category],Table13695[[#Headers],[Income]])+SUMIFS(Table44100[Amount],Table44100[Date],S40,Table44100[Category],Table13695[[#Headers],[Income]])</f>
        <v>0</v>
      </c>
      <c r="U40" s="29">
        <f>SUMIFS(Table494[Amount],Table494[Date],S40,Table494[Category],"&lt;&gt;"&amp;Table13695[[#Headers],[Income]])+SUMIFS(Table44100[Amount],Table44100[Date],S40,Table44100[Category],"&lt;&gt;"&amp;Table13695[[#Headers],[Income]])</f>
        <v>0</v>
      </c>
      <c r="V40" s="29">
        <f t="shared" si="1"/>
        <v>1156.74</v>
      </c>
      <c r="W40" s="1">
        <f t="shared" si="2"/>
        <v>1156.7400000000005</v>
      </c>
    </row>
    <row r="41" spans="2:23">
      <c r="B41" s="32"/>
      <c r="D41" s="2"/>
      <c r="E41" s="2">
        <f>SUMIFS(Table494[Amount],Table494[Category],Table1391099[[#Headers],[Bills]],Table494[Sub-Category],Table1391099[[#This Row],[Bills]])+SUMIFS(Table44100[Amount],Table44100[Category],Table1391099[[#Headers],[Bills]],Table44100[Sub-Category],Table1391099[[#This Row],[Bills]])</f>
        <v>0</v>
      </c>
      <c r="F41" s="3">
        <f>Table1391099[[#This Row],[Budget]]-Table1391099[[#This Row],[Actual]]</f>
        <v>0</v>
      </c>
      <c r="G41" s="32"/>
      <c r="H41" s="42"/>
      <c r="Q41" s="42"/>
      <c r="S41" s="30">
        <f t="shared" si="0"/>
        <v>45290</v>
      </c>
      <c r="T41" s="28">
        <f>SUMIFS(Table4420101[Amount],Table4420101[Date],S41,Table4420101[Category],Table13695[[#Headers],[Income]])+SUMIFS(Table44100[Amount],Table44100[Date],S41,Table44100[Category],Table13695[[#Headers],[Income]])</f>
        <v>0</v>
      </c>
      <c r="U41" s="28">
        <f>SUMIFS(Table494[Amount],Table494[Date],S41,Table494[Category],"&lt;&gt;"&amp;Table13695[[#Headers],[Income]])+SUMIFS(Table44100[Amount],Table44100[Date],S41,Table44100[Category],"&lt;&gt;"&amp;Table13695[[#Headers],[Income]])</f>
        <v>0</v>
      </c>
      <c r="V41" s="28">
        <f t="shared" si="1"/>
        <v>1156.74</v>
      </c>
      <c r="W41" s="1">
        <f t="shared" si="2"/>
        <v>1156.7400000000005</v>
      </c>
    </row>
    <row r="42" spans="2:23">
      <c r="B42" s="32"/>
      <c r="D42" s="2"/>
      <c r="E42" s="2">
        <f>SUMIFS(Table494[Amount],Table494[Category],Table1391099[[#Headers],[Bills]],Table494[Sub-Category],Table1391099[[#This Row],[Bills]])+SUMIFS(Table44100[Amount],Table44100[Category],Table1391099[[#Headers],[Bills]],Table44100[Sub-Category],Table1391099[[#This Row],[Bills]])</f>
        <v>0</v>
      </c>
      <c r="F42" s="3">
        <f>Table1391099[[#This Row],[Budget]]-Table1391099[[#This Row],[Actual]]</f>
        <v>0</v>
      </c>
      <c r="G42" s="32"/>
      <c r="H42" s="42"/>
      <c r="Q42" s="42"/>
      <c r="S42" s="27">
        <f t="shared" si="0"/>
        <v>45291</v>
      </c>
      <c r="T42" s="29">
        <f>SUMIFS(Table4420101[Amount],Table4420101[Date],S42,Table4420101[Category],Table13695[[#Headers],[Income]])+SUMIFS(Table44100[Amount],Table44100[Date],S42,Table44100[Category],Table13695[[#Headers],[Income]])</f>
        <v>0</v>
      </c>
      <c r="U42" s="29">
        <f>SUMIFS(Table494[Amount],Table494[Date],S42,Table494[Category],"&lt;&gt;"&amp;Table13695[[#Headers],[Income]])+SUMIFS(Table44100[Amount],Table44100[Date],S42,Table44100[Category],"&lt;&gt;"&amp;Table13695[[#Headers],[Income]])</f>
        <v>0</v>
      </c>
      <c r="V42" s="29">
        <f t="shared" si="1"/>
        <v>1156.74</v>
      </c>
      <c r="W42" s="1">
        <f t="shared" si="2"/>
        <v>1156.7400000000005</v>
      </c>
    </row>
    <row r="43" spans="2:23">
      <c r="B43" s="32"/>
      <c r="C43" s="11"/>
      <c r="D43" s="12"/>
      <c r="E43" s="13">
        <f>SUMIFS(Table494[Amount],Table494[Category],Table1391099[[#Headers],[Bills]],Table494[Sub-Category],Table1391099[[#This Row],[Bills]])+SUMIFS(Table44100[Amount],Table44100[Category],Table1391099[[#Headers],[Bills]],Table44100[Sub-Category],Table1391099[[#This Row],[Bills]])</f>
        <v>0</v>
      </c>
      <c r="F43" s="13">
        <f>Table1391099[[#This Row],[Budget]]-Table1391099[[#This Row],[Actual]]</f>
        <v>0</v>
      </c>
      <c r="G43" s="32"/>
      <c r="H43" s="42"/>
      <c r="Q43" s="42"/>
      <c r="S43" s="8"/>
    </row>
    <row r="44" spans="2:23">
      <c r="B44" s="32"/>
      <c r="C44" s="11"/>
      <c r="D44" s="12"/>
      <c r="E44" s="13">
        <f>SUMIFS(Table494[Amount],Table494[Category],Table1391099[[#Headers],[Bills]],Table494[Sub-Category],Table1391099[[#This Row],[Bills]])+SUMIFS(Table44100[Amount],Table44100[Category],Table1391099[[#Headers],[Bills]],Table44100[Sub-Category],Table1391099[[#This Row],[Bills]])</f>
        <v>0</v>
      </c>
      <c r="F44" s="13">
        <f>Table1391099[[#This Row],[Budget]]-Table1391099[[#This Row],[Actual]]</f>
        <v>0</v>
      </c>
      <c r="G44" s="32"/>
      <c r="H44" s="42"/>
      <c r="Q44" s="42"/>
      <c r="S44" s="8"/>
    </row>
    <row r="45" spans="2:23">
      <c r="B45" s="32"/>
      <c r="C45" s="11"/>
      <c r="D45" s="12"/>
      <c r="E45" s="13">
        <f>SUMIFS(Table494[Amount],Table494[Category],Table1391099[[#Headers],[Bills]],Table494[Sub-Category],Table1391099[[#This Row],[Bills]])+SUMIFS(Table44100[Amount],Table44100[Category],Table1391099[[#Headers],[Bills]],Table44100[Sub-Category],Table1391099[[#This Row],[Bills]])</f>
        <v>0</v>
      </c>
      <c r="F45" s="13">
        <f>Table1391099[[#This Row],[Budget]]-Table1391099[[#This Row],[Actual]]</f>
        <v>0</v>
      </c>
      <c r="G45" s="32"/>
      <c r="H45" s="42"/>
      <c r="Q45" s="42"/>
    </row>
    <row r="46" spans="2:23">
      <c r="B46" s="32"/>
      <c r="C46" s="9" t="s">
        <v>20</v>
      </c>
      <c r="D46" s="10">
        <f>SUBTOTAL(109,Table1391099[Budget])</f>
        <v>0</v>
      </c>
      <c r="E46" s="10">
        <f>SUBTOTAL(109,Table1391099[Actual])</f>
        <v>0</v>
      </c>
      <c r="F46" s="10">
        <f>SUBTOTAL(109,Table1391099[Variance])</f>
        <v>0</v>
      </c>
      <c r="G46" s="32"/>
      <c r="H46" s="42"/>
      <c r="Q46" s="42"/>
    </row>
    <row r="47" spans="2:23">
      <c r="B47" s="32"/>
      <c r="C47" s="20"/>
      <c r="D47" s="21"/>
      <c r="E47" s="21"/>
      <c r="F47" s="22"/>
      <c r="G47" s="32"/>
      <c r="H47" s="42"/>
      <c r="Q47" s="42"/>
    </row>
    <row r="48" spans="2:23">
      <c r="B48" s="32"/>
      <c r="C48" s="37" t="str">
        <f>CONCATENATE(Table13796[[#Headers],[Living]]," - Budget &amp; Tracking")</f>
        <v>Living - Budget &amp; Tracking</v>
      </c>
      <c r="D48" s="38"/>
      <c r="E48" s="38"/>
      <c r="F48" s="39"/>
      <c r="G48" s="32"/>
      <c r="H48" s="42"/>
      <c r="Q48" s="42"/>
    </row>
    <row r="49" spans="2:17">
      <c r="B49" s="32"/>
      <c r="C49" s="31" t="s">
        <v>25</v>
      </c>
      <c r="D49" s="31" t="s">
        <v>1</v>
      </c>
      <c r="E49" s="31" t="s">
        <v>2</v>
      </c>
      <c r="F49" s="31" t="s">
        <v>14</v>
      </c>
      <c r="G49" s="32"/>
      <c r="H49" s="42"/>
      <c r="Q49" s="42"/>
    </row>
    <row r="50" spans="2:17">
      <c r="B50" s="32"/>
      <c r="D50" s="2"/>
      <c r="E50" s="2">
        <f>SUMIFS(Table494[Amount],Table494[Category],Table13796[[#Headers],[Living]],Table494[Sub-Category],Table13796[[#This Row],[Living]])+SUMIFS(Table44100[Amount],Table44100[Category],Table13796[[#Headers],[Living]],Table44100[Sub-Category],Table13796[[#This Row],[Living]])</f>
        <v>0</v>
      </c>
      <c r="F50" s="3">
        <f>Table13796[[#This Row],[Budget]]-Table13796[[#This Row],[Actual]]</f>
        <v>0</v>
      </c>
      <c r="G50" s="32"/>
      <c r="H50" s="42"/>
      <c r="Q50" s="42"/>
    </row>
    <row r="51" spans="2:17">
      <c r="B51" s="32"/>
      <c r="D51" s="2"/>
      <c r="E51" s="2">
        <f>SUMIFS(Table494[Amount],Table494[Category],Table13796[[#Headers],[Living]],Table494[Sub-Category],Table13796[[#This Row],[Living]])+SUMIFS(Table44100[Amount],Table44100[Category],Table13796[[#Headers],[Living]],Table44100[Sub-Category],Table13796[[#This Row],[Living]])</f>
        <v>0</v>
      </c>
      <c r="F51" s="3">
        <f>Table13796[[#This Row],[Budget]]-Table13796[[#This Row],[Actual]]</f>
        <v>0</v>
      </c>
      <c r="G51" s="32"/>
      <c r="H51" s="42"/>
      <c r="Q51" s="42"/>
    </row>
    <row r="52" spans="2:17">
      <c r="B52" s="32"/>
      <c r="C52" s="11"/>
      <c r="D52" s="12"/>
      <c r="E52" s="13">
        <f>SUMIFS(Table494[Amount],Table494[Category],Table13796[[#Headers],[Living]],Table494[Sub-Category],Table13796[[#This Row],[Living]])+SUMIFS(Table44100[Amount],Table44100[Category],Table13796[[#Headers],[Living]],Table44100[Sub-Category],Table13796[[#This Row],[Living]])</f>
        <v>0</v>
      </c>
      <c r="F52" s="13">
        <f>Table13796[[#This Row],[Budget]]-Table13796[[#This Row],[Actual]]</f>
        <v>0</v>
      </c>
      <c r="G52" s="32"/>
      <c r="H52" s="42"/>
      <c r="Q52" s="42"/>
    </row>
    <row r="53" spans="2:17">
      <c r="B53" s="32"/>
      <c r="C53" s="11"/>
      <c r="D53" s="12"/>
      <c r="E53" s="13">
        <f>SUMIFS(Table494[Amount],Table494[Category],Table13796[[#Headers],[Living]],Table494[Sub-Category],Table13796[[#This Row],[Living]])+SUMIFS(Table44100[Amount],Table44100[Category],Table13796[[#Headers],[Living]],Table44100[Sub-Category],Table13796[[#This Row],[Living]])</f>
        <v>0</v>
      </c>
      <c r="F53" s="13">
        <f>Table13796[[#This Row],[Budget]]-Table13796[[#This Row],[Actual]]</f>
        <v>0</v>
      </c>
      <c r="G53" s="32"/>
      <c r="H53" s="42"/>
      <c r="Q53" s="42"/>
    </row>
    <row r="54" spans="2:17">
      <c r="B54" s="32"/>
      <c r="C54" s="9" t="s">
        <v>20</v>
      </c>
      <c r="D54" s="10">
        <f>SUBTOTAL(109,Table13796[Budget])</f>
        <v>0</v>
      </c>
      <c r="E54" s="10">
        <f>SUBTOTAL(109,Table13796[Actual])</f>
        <v>0</v>
      </c>
      <c r="F54" s="10">
        <f>SUBTOTAL(109,Table13796[Variance])</f>
        <v>0</v>
      </c>
      <c r="G54" s="32"/>
      <c r="H54" s="42"/>
      <c r="Q54" s="42"/>
    </row>
    <row r="55" spans="2:17">
      <c r="B55" s="32"/>
      <c r="C55" s="20"/>
      <c r="D55" s="21"/>
      <c r="E55" s="21"/>
      <c r="F55" s="22"/>
      <c r="G55" s="32"/>
      <c r="H55" s="42"/>
      <c r="Q55" s="42"/>
    </row>
    <row r="56" spans="2:17">
      <c r="B56" s="32"/>
      <c r="C56" s="37" t="str">
        <f>CONCATENATE(Table13897[[#Headers],[Entertainment]]," - Budget &amp; Tracking")</f>
        <v>Entertainment - Budget &amp; Tracking</v>
      </c>
      <c r="D56" s="38"/>
      <c r="E56" s="38"/>
      <c r="F56" s="39"/>
      <c r="G56" s="32"/>
      <c r="H56" s="42"/>
      <c r="Q56" s="42"/>
    </row>
    <row r="57" spans="2:17">
      <c r="B57" s="32"/>
      <c r="C57" s="31" t="s">
        <v>24</v>
      </c>
      <c r="D57" s="31" t="s">
        <v>1</v>
      </c>
      <c r="E57" s="31" t="s">
        <v>2</v>
      </c>
      <c r="F57" s="31" t="s">
        <v>14</v>
      </c>
      <c r="G57" s="32"/>
      <c r="H57" s="42"/>
      <c r="Q57" s="42"/>
    </row>
    <row r="58" spans="2:17">
      <c r="B58" s="32"/>
      <c r="D58" s="2"/>
      <c r="E58" s="2">
        <f>SUMIFS(Table494[Amount],Table494[Category],Table13897[[#Headers],[Entertainment]],Table494[Sub-Category],Table13897[[#This Row],[Entertainment]])+SUMIFS(Table44100[Amount],Table44100[Category],Table13897[[#Headers],[Entertainment]],Table44100[Sub-Category],Table13897[[#This Row],[Entertainment]])</f>
        <v>0</v>
      </c>
      <c r="F58" s="3">
        <f>Table13897[[#This Row],[Budget]]-Table13897[[#This Row],[Actual]]</f>
        <v>0</v>
      </c>
      <c r="G58" s="32"/>
      <c r="H58" s="42"/>
      <c r="Q58" s="42"/>
    </row>
    <row r="59" spans="2:17">
      <c r="B59" s="33"/>
      <c r="D59" s="2"/>
      <c r="E59" s="2">
        <f>SUMIFS(Table494[Amount],Table494[Category],Table13897[[#Headers],[Entertainment]],Table494[Sub-Category],Table13897[[#This Row],[Entertainment]])+SUMIFS(Table44100[Amount],Table44100[Category],Table13897[[#Headers],[Entertainment]],Table44100[Sub-Category],Table13897[[#This Row],[Entertainment]])</f>
        <v>0</v>
      </c>
      <c r="F59" s="3">
        <f>Table13897[[#This Row],[Budget]]-Table13897[[#This Row],[Actual]]</f>
        <v>0</v>
      </c>
      <c r="G59" s="33"/>
      <c r="H59" s="42"/>
      <c r="Q59" s="42"/>
    </row>
    <row r="60" spans="2:17">
      <c r="C60" s="9" t="s">
        <v>20</v>
      </c>
      <c r="D60" s="10">
        <f>SUBTOTAL(109,Table13897[Budget])</f>
        <v>0</v>
      </c>
      <c r="E60" s="10">
        <f>SUBTOTAL(109,Table13897[Actual])</f>
        <v>0</v>
      </c>
      <c r="F60" s="10">
        <f>SUBTOTAL(109,Table13897[Variance])</f>
        <v>0</v>
      </c>
      <c r="H60" s="42"/>
      <c r="Q60" s="42"/>
    </row>
    <row r="61" spans="2:17">
      <c r="C61" s="26"/>
      <c r="D61" s="23"/>
      <c r="E61" s="23"/>
      <c r="F61" s="23"/>
      <c r="H61" s="42"/>
      <c r="Q61" s="42"/>
    </row>
    <row r="62" spans="2:17">
      <c r="C62" s="37" t="str">
        <f>CONCATENATE(Table13998[[#Headers],[Misc.]]," - Budget &amp; Tracking")</f>
        <v>Misc. - Budget &amp; Tracking</v>
      </c>
      <c r="D62" s="38"/>
      <c r="E62" s="38"/>
      <c r="F62" s="39"/>
      <c r="H62" s="42"/>
      <c r="Q62" s="42"/>
    </row>
    <row r="63" spans="2:17">
      <c r="C63" s="31" t="s">
        <v>27</v>
      </c>
      <c r="D63" s="31" t="s">
        <v>1</v>
      </c>
      <c r="E63" s="31" t="s">
        <v>2</v>
      </c>
      <c r="F63" s="31" t="s">
        <v>14</v>
      </c>
      <c r="H63" s="42"/>
      <c r="Q63" s="42"/>
    </row>
    <row r="64" spans="2:17">
      <c r="C64" s="11"/>
      <c r="D64" s="12"/>
      <c r="E64" s="13">
        <f>SUMIFS(Table494[Amount],Table494[Category],Table13998[[#Headers],[Misc.]],Table494[Sub-Category],Table13998[[#This Row],[Misc.]])+SUMIFS(Table44100[Amount],Table44100[Category],Table13998[[#Headers],[Misc.]],Table44100[Sub-Category],Table13998[[#This Row],[Misc.]])</f>
        <v>0</v>
      </c>
      <c r="F64" s="13">
        <f>Table13998[[#This Row],[Budget]]-Table13998[[#This Row],[Actual]]</f>
        <v>0</v>
      </c>
      <c r="H64" s="42"/>
      <c r="Q64" s="42"/>
    </row>
    <row r="65" spans="3:17">
      <c r="C65" s="11"/>
      <c r="D65" s="12"/>
      <c r="E65" s="13">
        <f>SUMIFS(Table494[Amount],Table494[Category],Table13998[[#Headers],[Misc.]],Table494[Sub-Category],Table13998[[#This Row],[Misc.]])+SUMIFS(Table44100[Amount],Table44100[Category],Table13998[[#Headers],[Misc.]],Table44100[Sub-Category],Table13998[[#This Row],[Misc.]])</f>
        <v>0</v>
      </c>
      <c r="F65" s="13">
        <f>Table13998[[#This Row],[Budget]]-Table13998[[#This Row],[Actual]]</f>
        <v>0</v>
      </c>
      <c r="H65" s="42"/>
      <c r="Q65" s="42"/>
    </row>
    <row r="66" spans="3:17">
      <c r="C66" s="9" t="s">
        <v>20</v>
      </c>
      <c r="D66" s="10">
        <f>SUBTOTAL(109,Table13998[Budget])</f>
        <v>0</v>
      </c>
      <c r="E66" s="10">
        <f>SUBTOTAL(109,Table13998[Actual])</f>
        <v>0</v>
      </c>
      <c r="F66" s="10">
        <f>SUBTOTAL(109,Table13998[Variance])</f>
        <v>0</v>
      </c>
      <c r="H66" s="42"/>
      <c r="Q66" s="42"/>
    </row>
    <row r="67" spans="3:17">
      <c r="C67" s="26"/>
      <c r="D67" s="23"/>
      <c r="E67" s="23"/>
      <c r="F67" s="23"/>
    </row>
    <row r="68" spans="3:17">
      <c r="C68" s="33"/>
      <c r="D68" s="34"/>
      <c r="E68" s="34"/>
      <c r="F68" s="34"/>
    </row>
  </sheetData>
  <mergeCells count="1">
    <mergeCell ref="C1:F1"/>
  </mergeCells>
  <conditionalFormatting sqref="F33:F36">
    <cfRule type="iconSet" priority="23">
      <iconSet iconSet="3Symbols">
        <cfvo type="percent" val="0"/>
        <cfvo type="num" val="0"/>
        <cfvo type="num" val="10"/>
      </iconSet>
    </cfRule>
  </conditionalFormatting>
  <conditionalFormatting sqref="F50:F53">
    <cfRule type="iconSet" priority="21">
      <iconSet iconSet="3Symbols">
        <cfvo type="percent" val="0"/>
        <cfvo type="num" val="0"/>
        <cfvo type="num" val="10"/>
      </iconSet>
    </cfRule>
  </conditionalFormatting>
  <conditionalFormatting sqref="F58:F59">
    <cfRule type="iconSet" priority="20">
      <iconSet iconSet="3Symbols">
        <cfvo type="percent" val="0"/>
        <cfvo type="num" val="0"/>
        <cfvo type="num" val="10"/>
      </iconSet>
    </cfRule>
  </conditionalFormatting>
  <conditionalFormatting sqref="F41:F45">
    <cfRule type="iconSet" priority="19">
      <iconSet iconSet="3Symbols">
        <cfvo type="percent" val="0"/>
        <cfvo type="num" val="0"/>
        <cfvo type="num" val="10"/>
      </iconSet>
    </cfRule>
  </conditionalFormatting>
  <conditionalFormatting sqref="D6:E6">
    <cfRule type="iconSet" priority="18">
      <iconSet iconSet="3Symbols">
        <cfvo type="percent" val="0"/>
        <cfvo type="num" val="0" gte="0"/>
        <cfvo type="num" val="10"/>
      </iconSet>
    </cfRule>
  </conditionalFormatting>
  <conditionalFormatting sqref="F3:F6">
    <cfRule type="iconSet" priority="17">
      <iconSet iconSet="3Arrows">
        <cfvo type="percent" val="0"/>
        <cfvo type="num" val="-50"/>
        <cfvo type="num" val="0" gte="0"/>
      </iconSet>
    </cfRule>
  </conditionalFormatting>
  <conditionalFormatting sqref="F20:F28">
    <cfRule type="iconSet" priority="24">
      <iconSet iconSet="3Symbols">
        <cfvo type="percent" val="0"/>
        <cfvo type="num" val="0"/>
        <cfvo type="num" val="10"/>
      </iconSet>
    </cfRule>
  </conditionalFormatting>
  <conditionalFormatting sqref="S12">
    <cfRule type="cellIs" dxfId="63" priority="16" operator="equal">
      <formula>TODAY()</formula>
    </cfRule>
  </conditionalFormatting>
  <conditionalFormatting sqref="T12 T20:U42">
    <cfRule type="expression" dxfId="62" priority="15">
      <formula>IF($S12=TODAY(),TRUE)</formula>
    </cfRule>
  </conditionalFormatting>
  <conditionalFormatting sqref="U12">
    <cfRule type="expression" dxfId="61" priority="14">
      <formula>IF($S12=TODAY(),TRUE)</formula>
    </cfRule>
  </conditionalFormatting>
  <conditionalFormatting sqref="V12 V20:V42">
    <cfRule type="expression" dxfId="60" priority="13">
      <formula>IF($S12=TODAY(),TRUE)</formula>
    </cfRule>
  </conditionalFormatting>
  <conditionalFormatting sqref="S13:S15">
    <cfRule type="cellIs" dxfId="59" priority="12" operator="equal">
      <formula>TODAY()</formula>
    </cfRule>
  </conditionalFormatting>
  <conditionalFormatting sqref="T13:T15">
    <cfRule type="expression" dxfId="58" priority="11">
      <formula>IF($S13=TODAY(),TRUE)</formula>
    </cfRule>
  </conditionalFormatting>
  <conditionalFormatting sqref="U13:U15">
    <cfRule type="expression" dxfId="57" priority="10">
      <formula>IF($S13=TODAY(),TRUE)</formula>
    </cfRule>
  </conditionalFormatting>
  <conditionalFormatting sqref="V13:V15">
    <cfRule type="expression" dxfId="56" priority="9">
      <formula>IF($S13=TODAY(),TRUE)</formula>
    </cfRule>
  </conditionalFormatting>
  <conditionalFormatting sqref="S16 S20 S24 S28 S32 S36 S40">
    <cfRule type="cellIs" dxfId="55" priority="8" operator="equal">
      <formula>TODAY()</formula>
    </cfRule>
  </conditionalFormatting>
  <conditionalFormatting sqref="T16">
    <cfRule type="expression" dxfId="54" priority="7">
      <formula>IF($S16=TODAY(),TRUE)</formula>
    </cfRule>
  </conditionalFormatting>
  <conditionalFormatting sqref="U16">
    <cfRule type="expression" dxfId="53" priority="6">
      <formula>IF($S16=TODAY(),TRUE)</formula>
    </cfRule>
  </conditionalFormatting>
  <conditionalFormatting sqref="V16">
    <cfRule type="expression" dxfId="52" priority="5">
      <formula>IF($S16=TODAY(),TRUE)</formula>
    </cfRule>
  </conditionalFormatting>
  <conditionalFormatting sqref="S17:S19 S21:S23 S25:S27 S29:S31 S33:S35 S37:S39 S41:S42">
    <cfRule type="cellIs" dxfId="51" priority="4" operator="equal">
      <formula>TODAY()</formula>
    </cfRule>
  </conditionalFormatting>
  <conditionalFormatting sqref="T17:T19">
    <cfRule type="expression" dxfId="50" priority="3">
      <formula>IF($S17=TODAY(),TRUE)</formula>
    </cfRule>
  </conditionalFormatting>
  <conditionalFormatting sqref="U17:U19">
    <cfRule type="expression" dxfId="49" priority="2">
      <formula>IF($S17=TODAY(),TRUE)</formula>
    </cfRule>
  </conditionalFormatting>
  <conditionalFormatting sqref="V17:V19">
    <cfRule type="expression" dxfId="48" priority="1">
      <formula>IF($S17=TODAY(),TRUE)</formula>
    </cfRule>
  </conditionalFormatting>
  <conditionalFormatting sqref="F66:F68">
    <cfRule type="iconSet" priority="25">
      <iconSet iconSet="3Symbols">
        <cfvo type="percent" val="0"/>
        <cfvo type="num" val="0" gte="0"/>
        <cfvo type="num" val="10"/>
      </iconSet>
    </cfRule>
  </conditionalFormatting>
  <conditionalFormatting sqref="F60:F61">
    <cfRule type="iconSet" priority="26">
      <iconSet iconSet="3Symbols">
        <cfvo type="percent" val="0"/>
        <cfvo type="num" val="0" gte="0"/>
        <cfvo type="num" val="10"/>
      </iconSet>
    </cfRule>
  </conditionalFormatting>
  <conditionalFormatting sqref="F54:F55">
    <cfRule type="iconSet" priority="27">
      <iconSet iconSet="3Symbols">
        <cfvo type="percent" val="0"/>
        <cfvo type="num" val="0" gte="0"/>
        <cfvo type="num" val="10" gte="0"/>
      </iconSet>
    </cfRule>
  </conditionalFormatting>
  <conditionalFormatting sqref="F46:F47">
    <cfRule type="iconSet" priority="28">
      <iconSet iconSet="3Symbols">
        <cfvo type="percent" val="0"/>
        <cfvo type="num" val="0" gte="0"/>
        <cfvo type="num" val="10"/>
      </iconSet>
    </cfRule>
  </conditionalFormatting>
  <conditionalFormatting sqref="F37:F38">
    <cfRule type="iconSet" priority="29">
      <iconSet iconSet="3Symbols">
        <cfvo type="percent" val="0"/>
        <cfvo type="num" val="0" gte="0"/>
        <cfvo type="num" val="10"/>
      </iconSet>
    </cfRule>
  </conditionalFormatting>
  <conditionalFormatting sqref="F29:F30">
    <cfRule type="iconSet" priority="30">
      <iconSet iconSet="3Symbols">
        <cfvo type="percent" val="0"/>
        <cfvo type="num" val="0" gte="0"/>
        <cfvo type="num" val="10"/>
      </iconSet>
    </cfRule>
  </conditionalFormatting>
  <conditionalFormatting sqref="F64:F65">
    <cfRule type="iconSet" priority="32">
      <iconSet iconSet="3Symbols">
        <cfvo type="percent" val="0"/>
        <cfvo type="num" val="0"/>
        <cfvo type="num" val="10"/>
      </iconSet>
    </cfRule>
  </conditionalFormatting>
  <dataValidations count="3">
    <dataValidation type="list" allowBlank="1" showInputMessage="1" showErrorMessage="1" sqref="O35:O40 O19:O32 O12:O16" xr:uid="{00000000-0002-0000-0800-000000000000}">
      <formula1>$U$2:$U$4</formula1>
    </dataValidation>
    <dataValidation type="list" allowBlank="1" showInputMessage="1" showErrorMessage="1" sqref="K35:K40 K19:K32 K12:K16" xr:uid="{00000000-0002-0000-0800-000001000000}">
      <formula1>$R$2:$R$8</formula1>
    </dataValidation>
    <dataValidation type="list" allowBlank="1" showInputMessage="1" showErrorMessage="1" sqref="L35:L40 L12:L16 L19:L32" xr:uid="{00000000-0002-0000-0800-000002000000}">
      <formula1>INDIRECT(K12)</formula1>
    </dataValidation>
  </dataValidations>
  <printOptions horizontalCentered="1"/>
  <pageMargins left="0.2" right="0.2" top="0.25" bottom="0.25" header="0.3" footer="0.3"/>
  <pageSetup scale="76" orientation="landscape" r:id="rId1"/>
  <drawing r:id="rId2"/>
  <tableParts count="10">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iconSet" priority="22" id="{4B42B3FF-EEE9-4C06-8614-64F4D3ADEDE3}">
            <x14:iconSet iconSet="3Symbols" custom="1">
              <x14:cfvo type="percent">
                <xm:f>0</xm:f>
              </x14:cfvo>
              <x14:cfvo type="num">
                <xm:f>0</xm:f>
              </x14:cfvo>
              <x14:cfvo type="num">
                <xm:f>10</xm:f>
              </x14:cfvo>
              <x14:cfIcon iconSet="3Symbols" iconId="0"/>
              <x14:cfIcon iconSet="3Symbols" iconId="1"/>
              <x14:cfIcon iconSet="3Symbols" iconId="2"/>
            </x14:iconSet>
          </x14:cfRule>
          <xm:sqref>F12:F15</xm:sqref>
        </x14:conditionalFormatting>
        <x14:conditionalFormatting xmlns:xm="http://schemas.microsoft.com/office/excel/2006/main">
          <x14:cfRule type="iconSet" priority="31" id="{D33FF984-543A-4AC5-AB1D-E961C9B551E2}">
            <x14:iconSet iconSet="3Symbols" custom="1">
              <x14:cfvo type="percent">
                <xm:f>0</xm:f>
              </x14:cfvo>
              <x14:cfvo type="num" gte="0">
                <xm:f>0</xm:f>
              </x14:cfvo>
              <x14:cfvo type="num">
                <xm:f>10</xm:f>
              </x14:cfvo>
              <x14:cfIcon iconSet="3Symbols" iconId="0"/>
              <x14:cfIcon iconSet="3Symbols" iconId="1"/>
              <x14:cfIcon iconSet="3Symbols" iconId="2"/>
            </x14:iconSet>
          </x14:cfRule>
          <xm:sqref>F16:F17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96</vt:i4>
      </vt:variant>
    </vt:vector>
  </HeadingPairs>
  <TitlesOfParts>
    <vt:vector size="108" baseType="lpstr">
      <vt:lpstr>Mo.1</vt:lpstr>
      <vt:lpstr>Mo.2</vt:lpstr>
      <vt:lpstr>Mo.3</vt:lpstr>
      <vt:lpstr>Mo.4</vt:lpstr>
      <vt:lpstr>Mo.5</vt:lpstr>
      <vt:lpstr>Mo.6</vt:lpstr>
      <vt:lpstr>Mo.7</vt:lpstr>
      <vt:lpstr>Mo.8</vt:lpstr>
      <vt:lpstr>Mo.9</vt:lpstr>
      <vt:lpstr>Mo.10</vt:lpstr>
      <vt:lpstr>Mo.11</vt:lpstr>
      <vt:lpstr>Mo.12</vt:lpstr>
      <vt:lpstr>Mo.10!Bills</vt:lpstr>
      <vt:lpstr>Mo.11!Bills</vt:lpstr>
      <vt:lpstr>Mo.12!Bills</vt:lpstr>
      <vt:lpstr>Mo.2!Bills</vt:lpstr>
      <vt:lpstr>Mo.3!Bills</vt:lpstr>
      <vt:lpstr>Mo.4!Bills</vt:lpstr>
      <vt:lpstr>Mo.5!Bills</vt:lpstr>
      <vt:lpstr>Mo.6!Bills</vt:lpstr>
      <vt:lpstr>Mo.7!Bills</vt:lpstr>
      <vt:lpstr>Mo.8!Bills</vt:lpstr>
      <vt:lpstr>Mo.9!Bills</vt:lpstr>
      <vt:lpstr>Bills</vt:lpstr>
      <vt:lpstr>Mo.10!Entertainment</vt:lpstr>
      <vt:lpstr>Mo.11!Entertainment</vt:lpstr>
      <vt:lpstr>Mo.12!Entertainment</vt:lpstr>
      <vt:lpstr>Mo.2!Entertainment</vt:lpstr>
      <vt:lpstr>Mo.3!Entertainment</vt:lpstr>
      <vt:lpstr>Mo.4!Entertainment</vt:lpstr>
      <vt:lpstr>Mo.5!Entertainment</vt:lpstr>
      <vt:lpstr>Mo.6!Entertainment</vt:lpstr>
      <vt:lpstr>Mo.7!Entertainment</vt:lpstr>
      <vt:lpstr>Mo.8!Entertainment</vt:lpstr>
      <vt:lpstr>Mo.9!Entertainment</vt:lpstr>
      <vt:lpstr>Entertainment</vt:lpstr>
      <vt:lpstr>Mo.10!Housing</vt:lpstr>
      <vt:lpstr>Mo.11!Housing</vt:lpstr>
      <vt:lpstr>Mo.12!Housing</vt:lpstr>
      <vt:lpstr>Mo.2!Housing</vt:lpstr>
      <vt:lpstr>Mo.3!Housing</vt:lpstr>
      <vt:lpstr>Mo.4!Housing</vt:lpstr>
      <vt:lpstr>Mo.5!Housing</vt:lpstr>
      <vt:lpstr>Mo.6!Housing</vt:lpstr>
      <vt:lpstr>Mo.7!Housing</vt:lpstr>
      <vt:lpstr>Mo.8!Housing</vt:lpstr>
      <vt:lpstr>Mo.9!Housing</vt:lpstr>
      <vt:lpstr>Housing</vt:lpstr>
      <vt:lpstr>Mo.10!Income</vt:lpstr>
      <vt:lpstr>Mo.11!Income</vt:lpstr>
      <vt:lpstr>Mo.12!Income</vt:lpstr>
      <vt:lpstr>Mo.2!Income</vt:lpstr>
      <vt:lpstr>Mo.3!Income</vt:lpstr>
      <vt:lpstr>Mo.4!Income</vt:lpstr>
      <vt:lpstr>Mo.5!Income</vt:lpstr>
      <vt:lpstr>Mo.6!Income</vt:lpstr>
      <vt:lpstr>Mo.7!Income</vt:lpstr>
      <vt:lpstr>Mo.8!Income</vt:lpstr>
      <vt:lpstr>Mo.9!Income</vt:lpstr>
      <vt:lpstr>Income</vt:lpstr>
      <vt:lpstr>Mo.10!Living</vt:lpstr>
      <vt:lpstr>Mo.11!Living</vt:lpstr>
      <vt:lpstr>Mo.12!Living</vt:lpstr>
      <vt:lpstr>Mo.2!Living</vt:lpstr>
      <vt:lpstr>Mo.3!Living</vt:lpstr>
      <vt:lpstr>Mo.4!Living</vt:lpstr>
      <vt:lpstr>Mo.5!Living</vt:lpstr>
      <vt:lpstr>Mo.6!Living</vt:lpstr>
      <vt:lpstr>Mo.7!Living</vt:lpstr>
      <vt:lpstr>Mo.8!Living</vt:lpstr>
      <vt:lpstr>Mo.9!Living</vt:lpstr>
      <vt:lpstr>Living</vt:lpstr>
      <vt:lpstr>Mo.10!Misc.</vt:lpstr>
      <vt:lpstr>Mo.11!Misc.</vt:lpstr>
      <vt:lpstr>Mo.12!Misc.</vt:lpstr>
      <vt:lpstr>Mo.2!Misc.</vt:lpstr>
      <vt:lpstr>Mo.3!Misc.</vt:lpstr>
      <vt:lpstr>Mo.4!Misc.</vt:lpstr>
      <vt:lpstr>Mo.5!Misc.</vt:lpstr>
      <vt:lpstr>Mo.6!Misc.</vt:lpstr>
      <vt:lpstr>Mo.7!Misc.</vt:lpstr>
      <vt:lpstr>Mo.8!Misc.</vt:lpstr>
      <vt:lpstr>Mo.9!Misc.</vt:lpstr>
      <vt:lpstr>Misc.</vt:lpstr>
      <vt:lpstr>Mo.1!Print_Area</vt:lpstr>
      <vt:lpstr>Mo.10!Print_Area</vt:lpstr>
      <vt:lpstr>Mo.11!Print_Area</vt:lpstr>
      <vt:lpstr>Mo.12!Print_Area</vt:lpstr>
      <vt:lpstr>Mo.2!Print_Area</vt:lpstr>
      <vt:lpstr>Mo.3!Print_Area</vt:lpstr>
      <vt:lpstr>Mo.4!Print_Area</vt:lpstr>
      <vt:lpstr>Mo.5!Print_Area</vt:lpstr>
      <vt:lpstr>Mo.6!Print_Area</vt:lpstr>
      <vt:lpstr>Mo.7!Print_Area</vt:lpstr>
      <vt:lpstr>Mo.8!Print_Area</vt:lpstr>
      <vt:lpstr>Mo.9!Print_Area</vt:lpstr>
      <vt:lpstr>Mo.10!Transportation</vt:lpstr>
      <vt:lpstr>Mo.11!Transportation</vt:lpstr>
      <vt:lpstr>Mo.12!Transportation</vt:lpstr>
      <vt:lpstr>Mo.2!Transportation</vt:lpstr>
      <vt:lpstr>Mo.3!Transportation</vt:lpstr>
      <vt:lpstr>Mo.4!Transportation</vt:lpstr>
      <vt:lpstr>Mo.5!Transportation</vt:lpstr>
      <vt:lpstr>Mo.6!Transportation</vt:lpstr>
      <vt:lpstr>Mo.7!Transportation</vt:lpstr>
      <vt:lpstr>Mo.8!Transportation</vt:lpstr>
      <vt:lpstr>Mo.9!Transportation</vt:lpstr>
      <vt:lpstr>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McQuaig</dc:creator>
  <cp:lastModifiedBy>Mayur Shrotriya</cp:lastModifiedBy>
  <cp:lastPrinted>2013-09-11T18:55:59Z</cp:lastPrinted>
  <dcterms:created xsi:type="dcterms:W3CDTF">2013-09-06T18:31:29Z</dcterms:created>
  <dcterms:modified xsi:type="dcterms:W3CDTF">2022-08-13T19:07:45Z</dcterms:modified>
</cp:coreProperties>
</file>