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uwin\Videos\Ruwinsh's Videos\The Best Unit Mathematically In Command &amp; Conquer Tiberian Dawn\"/>
    </mc:Choice>
  </mc:AlternateContent>
  <xr:revisionPtr revIDLastSave="0" documentId="13_ncr:1_{1A42EFF1-6BF6-454F-8B5A-2A517A1108A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Unit 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54" i="1"/>
  <c r="E202" i="1"/>
  <c r="B136" i="1"/>
  <c r="S53" i="1"/>
  <c r="R53" i="1"/>
  <c r="Q53" i="1"/>
  <c r="P53" i="1"/>
  <c r="O53" i="1"/>
  <c r="N53" i="1"/>
  <c r="M53" i="1"/>
  <c r="L53" i="1"/>
  <c r="S52" i="1"/>
  <c r="R52" i="1"/>
  <c r="Q52" i="1"/>
  <c r="P52" i="1"/>
  <c r="O52" i="1"/>
  <c r="N52" i="1"/>
  <c r="M52" i="1"/>
  <c r="L52" i="1"/>
  <c r="S51" i="1"/>
  <c r="R51" i="1"/>
  <c r="Q51" i="1"/>
  <c r="P51" i="1"/>
  <c r="O51" i="1"/>
  <c r="N51" i="1"/>
  <c r="M51" i="1"/>
  <c r="L51" i="1"/>
  <c r="S50" i="1"/>
  <c r="R50" i="1"/>
  <c r="Q50" i="1"/>
  <c r="P50" i="1"/>
  <c r="O50" i="1"/>
  <c r="N50" i="1"/>
  <c r="M50" i="1"/>
  <c r="L50" i="1"/>
  <c r="S49" i="1"/>
  <c r="R49" i="1"/>
  <c r="Q49" i="1"/>
  <c r="P49" i="1"/>
  <c r="O49" i="1"/>
  <c r="N49" i="1"/>
  <c r="M49" i="1"/>
  <c r="L49" i="1"/>
  <c r="S48" i="1"/>
  <c r="R48" i="1"/>
  <c r="Q48" i="1"/>
  <c r="P48" i="1"/>
  <c r="O48" i="1"/>
  <c r="N48" i="1"/>
  <c r="M48" i="1"/>
  <c r="L48" i="1"/>
  <c r="S47" i="1"/>
  <c r="R47" i="1"/>
  <c r="Q47" i="1"/>
  <c r="P47" i="1"/>
  <c r="O47" i="1"/>
  <c r="N47" i="1"/>
  <c r="M47" i="1"/>
  <c r="L47" i="1"/>
  <c r="S46" i="1"/>
  <c r="R46" i="1"/>
  <c r="Q46" i="1"/>
  <c r="P46" i="1"/>
  <c r="O46" i="1"/>
  <c r="N46" i="1"/>
  <c r="M46" i="1"/>
  <c r="L46" i="1"/>
  <c r="S45" i="1"/>
  <c r="R45" i="1"/>
  <c r="Q45" i="1"/>
  <c r="P45" i="1"/>
  <c r="O45" i="1"/>
  <c r="N45" i="1"/>
  <c r="M45" i="1"/>
  <c r="L45" i="1"/>
  <c r="S44" i="1"/>
  <c r="R44" i="1"/>
  <c r="Q44" i="1"/>
  <c r="P44" i="1"/>
  <c r="O44" i="1"/>
  <c r="N44" i="1"/>
  <c r="M44" i="1"/>
  <c r="L44" i="1"/>
  <c r="S43" i="1"/>
  <c r="R43" i="1"/>
  <c r="Q43" i="1"/>
  <c r="P43" i="1"/>
  <c r="O43" i="1"/>
  <c r="N43" i="1"/>
  <c r="M43" i="1"/>
  <c r="L43" i="1"/>
  <c r="S42" i="1"/>
  <c r="R42" i="1"/>
  <c r="Q42" i="1"/>
  <c r="P42" i="1"/>
  <c r="O42" i="1"/>
  <c r="N42" i="1"/>
  <c r="M42" i="1"/>
  <c r="L42" i="1"/>
  <c r="S41" i="1"/>
  <c r="R41" i="1"/>
  <c r="Q41" i="1"/>
  <c r="P41" i="1"/>
  <c r="O41" i="1"/>
  <c r="N41" i="1"/>
  <c r="M41" i="1"/>
  <c r="L41" i="1"/>
  <c r="S40" i="1"/>
  <c r="R40" i="1"/>
  <c r="Q40" i="1"/>
  <c r="P40" i="1"/>
  <c r="O40" i="1"/>
  <c r="N40" i="1"/>
  <c r="M40" i="1"/>
  <c r="L40" i="1"/>
  <c r="S39" i="1"/>
  <c r="R39" i="1"/>
  <c r="Q39" i="1"/>
  <c r="P39" i="1"/>
  <c r="O39" i="1"/>
  <c r="N39" i="1"/>
  <c r="M39" i="1"/>
  <c r="L39" i="1"/>
  <c r="S38" i="1"/>
  <c r="R38" i="1"/>
  <c r="Q38" i="1"/>
  <c r="P38" i="1"/>
  <c r="O38" i="1"/>
  <c r="N38" i="1"/>
  <c r="M38" i="1"/>
  <c r="L38" i="1"/>
  <c r="S37" i="1"/>
  <c r="R37" i="1"/>
  <c r="Q37" i="1"/>
  <c r="P37" i="1"/>
  <c r="O37" i="1"/>
  <c r="N37" i="1"/>
  <c r="M37" i="1"/>
  <c r="L37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S34" i="1"/>
  <c r="R34" i="1"/>
  <c r="Q34" i="1"/>
  <c r="P34" i="1"/>
  <c r="O34" i="1"/>
  <c r="N34" i="1"/>
  <c r="M34" i="1"/>
  <c r="L34" i="1"/>
  <c r="B217" i="1"/>
  <c r="E178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J68" i="1"/>
  <c r="J69" i="1"/>
  <c r="B247" i="1" s="1"/>
  <c r="J70" i="1"/>
  <c r="J71" i="1"/>
  <c r="J72" i="1"/>
  <c r="J73" i="1"/>
  <c r="J74" i="1"/>
  <c r="J75" i="1"/>
  <c r="J76" i="1"/>
  <c r="B188" i="1" s="1"/>
  <c r="J77" i="1"/>
  <c r="L60" i="1" s="1"/>
  <c r="J78" i="1"/>
  <c r="J79" i="1"/>
  <c r="B257" i="1" s="1"/>
  <c r="J80" i="1"/>
  <c r="J81" i="1"/>
  <c r="J82" i="1"/>
  <c r="B238" i="1" s="1"/>
  <c r="J83" i="1"/>
  <c r="J84" i="1"/>
  <c r="J85" i="1"/>
  <c r="J86" i="1"/>
  <c r="B242" i="1" s="1"/>
  <c r="E3" i="1"/>
  <c r="D132" i="1"/>
  <c r="A59" i="1"/>
  <c r="B5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F63" i="1"/>
  <c r="B262" i="1" s="1"/>
  <c r="W54" i="1"/>
  <c r="N23" i="1"/>
  <c r="C90" i="1"/>
  <c r="M67" i="1"/>
  <c r="J67" i="1"/>
  <c r="B223" i="1" s="1"/>
  <c r="D63" i="1"/>
  <c r="F62" i="1"/>
  <c r="B227" i="1" s="1"/>
  <c r="D62" i="1"/>
  <c r="F61" i="1"/>
  <c r="D61" i="1"/>
  <c r="B206" i="1" s="1"/>
  <c r="F60" i="1"/>
  <c r="B183" i="1" s="1"/>
  <c r="D60" i="1"/>
  <c r="E22" i="1"/>
  <c r="E21" i="1"/>
  <c r="Q20" i="1"/>
  <c r="E20" i="1"/>
  <c r="R19" i="1"/>
  <c r="E19" i="1"/>
  <c r="R18" i="1"/>
  <c r="E18" i="1"/>
  <c r="R17" i="1"/>
  <c r="E17" i="1"/>
  <c r="R16" i="1"/>
  <c r="E16" i="1"/>
  <c r="R15" i="1"/>
  <c r="E15" i="1"/>
  <c r="R14" i="1"/>
  <c r="E14" i="1"/>
  <c r="R13" i="1"/>
  <c r="E13" i="1"/>
  <c r="R12" i="1"/>
  <c r="E12" i="1"/>
  <c r="R11" i="1"/>
  <c r="E11" i="1"/>
  <c r="R10" i="1"/>
  <c r="E10" i="1"/>
  <c r="R9" i="1"/>
  <c r="E9" i="1"/>
  <c r="R8" i="1"/>
  <c r="E8" i="1"/>
  <c r="R7" i="1"/>
  <c r="E7" i="1"/>
  <c r="R6" i="1"/>
  <c r="E6" i="1"/>
  <c r="R5" i="1"/>
  <c r="E5" i="1"/>
  <c r="R4" i="1"/>
  <c r="E4" i="1"/>
  <c r="R3" i="1"/>
  <c r="B231" i="1" l="1"/>
  <c r="T35" i="1"/>
  <c r="B254" i="1"/>
  <c r="B210" i="1"/>
  <c r="B241" i="1"/>
  <c r="B251" i="1"/>
  <c r="B232" i="1"/>
  <c r="B216" i="1"/>
  <c r="B237" i="1"/>
  <c r="B252" i="1"/>
  <c r="B195" i="1"/>
  <c r="B249" i="1"/>
  <c r="B259" i="1"/>
  <c r="B248" i="1"/>
  <c r="B235" i="1"/>
  <c r="B225" i="1"/>
  <c r="B204" i="1"/>
  <c r="B234" i="1"/>
  <c r="B245" i="1"/>
  <c r="B239" i="1"/>
  <c r="B256" i="1"/>
  <c r="B224" i="1"/>
  <c r="B228" i="1"/>
  <c r="B198" i="1"/>
  <c r="B192" i="1"/>
  <c r="B186" i="1"/>
  <c r="B180" i="1"/>
  <c r="B263" i="1"/>
  <c r="B229" i="1"/>
  <c r="B246" i="1"/>
  <c r="B264" i="1"/>
  <c r="B250" i="1"/>
  <c r="B261" i="1"/>
  <c r="B240" i="1"/>
  <c r="B236" i="1"/>
  <c r="B260" i="1"/>
  <c r="B226" i="1"/>
  <c r="B230" i="1"/>
  <c r="B258" i="1"/>
  <c r="B253" i="1"/>
  <c r="B218" i="1"/>
  <c r="B212" i="1"/>
  <c r="B184" i="1"/>
  <c r="B207" i="1"/>
  <c r="B179" i="1"/>
  <c r="B182" i="1"/>
  <c r="B201" i="1"/>
  <c r="B205" i="1"/>
  <c r="B194" i="1"/>
  <c r="B193" i="1"/>
  <c r="B187" i="1"/>
  <c r="B181" i="1"/>
  <c r="B197" i="1"/>
  <c r="B202" i="1"/>
  <c r="B196" i="1"/>
  <c r="B190" i="1"/>
  <c r="B215" i="1"/>
  <c r="B208" i="1"/>
  <c r="B220" i="1"/>
  <c r="B214" i="1"/>
  <c r="B203" i="1"/>
  <c r="M5" i="1"/>
  <c r="M11" i="1"/>
  <c r="M17" i="1"/>
  <c r="B191" i="1"/>
  <c r="B185" i="1"/>
  <c r="B209" i="1"/>
  <c r="T34" i="1"/>
  <c r="V34" i="1" s="1"/>
  <c r="B219" i="1"/>
  <c r="B213" i="1"/>
  <c r="U39" i="1"/>
  <c r="M7" i="1"/>
  <c r="M19" i="1"/>
  <c r="M13" i="1"/>
  <c r="M9" i="1"/>
  <c r="M15" i="1"/>
  <c r="M21" i="1"/>
  <c r="I61" i="1"/>
  <c r="K60" i="1"/>
  <c r="M16" i="1"/>
  <c r="M22" i="1"/>
  <c r="M4" i="1"/>
  <c r="M10" i="1"/>
  <c r="M18" i="1"/>
  <c r="M12" i="1"/>
  <c r="M6" i="1"/>
  <c r="M8" i="1"/>
  <c r="M14" i="1"/>
  <c r="M20" i="1"/>
  <c r="J61" i="1"/>
  <c r="B211" i="1" s="1"/>
  <c r="K61" i="1"/>
  <c r="B233" i="1" s="1"/>
  <c r="J60" i="1"/>
  <c r="L61" i="1"/>
  <c r="B255" i="1" s="1"/>
  <c r="T39" i="1"/>
  <c r="T46" i="1"/>
  <c r="V46" i="1" s="1"/>
  <c r="U36" i="1"/>
  <c r="U43" i="1"/>
  <c r="U49" i="1"/>
  <c r="U50" i="1"/>
  <c r="U53" i="1"/>
  <c r="U34" i="1"/>
  <c r="U37" i="1"/>
  <c r="U41" i="1"/>
  <c r="U44" i="1"/>
  <c r="U47" i="1"/>
  <c r="U51" i="1"/>
  <c r="U40" i="1"/>
  <c r="U46" i="1"/>
  <c r="T41" i="1"/>
  <c r="V41" i="1" s="1"/>
  <c r="V35" i="1"/>
  <c r="T38" i="1"/>
  <c r="V38" i="1" s="1"/>
  <c r="T42" i="1"/>
  <c r="V42" i="1" s="1"/>
  <c r="T45" i="1"/>
  <c r="V45" i="1" s="1"/>
  <c r="T48" i="1"/>
  <c r="V48" i="1" s="1"/>
  <c r="U52" i="1"/>
  <c r="T52" i="1"/>
  <c r="V52" i="1" s="1"/>
  <c r="T36" i="1"/>
  <c r="V36" i="1" s="1"/>
  <c r="T40" i="1"/>
  <c r="V40" i="1" s="1"/>
  <c r="T43" i="1"/>
  <c r="V43" i="1" s="1"/>
  <c r="T49" i="1"/>
  <c r="V49" i="1" s="1"/>
  <c r="T37" i="1"/>
  <c r="V37" i="1" s="1"/>
  <c r="T47" i="1"/>
  <c r="V47" i="1" s="1"/>
  <c r="I60" i="1"/>
  <c r="T50" i="1"/>
  <c r="V50" i="1" s="1"/>
  <c r="T53" i="1"/>
  <c r="V53" i="1" s="1"/>
  <c r="U35" i="1"/>
  <c r="U38" i="1"/>
  <c r="U42" i="1"/>
  <c r="U45" i="1"/>
  <c r="U48" i="1"/>
  <c r="T51" i="1"/>
  <c r="V51" i="1" s="1"/>
  <c r="T44" i="1"/>
  <c r="R20" i="1"/>
  <c r="M3" i="1"/>
  <c r="V39" i="1" l="1"/>
  <c r="V44" i="1"/>
  <c r="B189" i="1"/>
  <c r="M23" i="1"/>
  <c r="N8" i="1" s="1"/>
  <c r="B140" i="1" l="1"/>
  <c r="V54" i="1"/>
  <c r="N9" i="1"/>
  <c r="N13" i="1"/>
  <c r="N5" i="1"/>
  <c r="N21" i="1"/>
  <c r="N10" i="1"/>
  <c r="N15" i="1"/>
  <c r="N14" i="1"/>
  <c r="N6" i="1"/>
  <c r="N16" i="1"/>
  <c r="N20" i="1"/>
  <c r="N22" i="1"/>
  <c r="N4" i="1"/>
  <c r="N7" i="1"/>
  <c r="N17" i="1"/>
  <c r="N18" i="1"/>
  <c r="N19" i="1"/>
  <c r="N12" i="1"/>
  <c r="N11" i="1"/>
  <c r="N3" i="1"/>
  <c r="B150" i="1" l="1"/>
  <c r="B149" i="1"/>
  <c r="B138" i="1"/>
  <c r="B145" i="1"/>
  <c r="B135" i="1"/>
  <c r="B139" i="1"/>
  <c r="B146" i="1"/>
  <c r="B141" i="1"/>
  <c r="B148" i="1"/>
  <c r="B147" i="1"/>
  <c r="B137" i="1"/>
  <c r="B143" i="1"/>
  <c r="B144" i="1"/>
  <c r="B142" i="1"/>
  <c r="B151" i="1"/>
  <c r="B152" i="1"/>
  <c r="B153" i="1"/>
  <c r="W47" i="1"/>
  <c r="W48" i="1"/>
  <c r="W36" i="1"/>
  <c r="W52" i="1"/>
  <c r="W42" i="1"/>
  <c r="W35" i="1"/>
  <c r="W37" i="1"/>
  <c r="W53" i="1"/>
  <c r="W40" i="1"/>
  <c r="W41" i="1"/>
  <c r="W50" i="1"/>
  <c r="W46" i="1"/>
  <c r="W51" i="1"/>
  <c r="W43" i="1"/>
  <c r="W38" i="1"/>
  <c r="W49" i="1"/>
  <c r="W45" i="1"/>
  <c r="W44" i="1"/>
  <c r="W39" i="1"/>
  <c r="W34" i="1"/>
  <c r="B123" i="1" l="1"/>
  <c r="B128" i="1"/>
  <c r="B120" i="1"/>
  <c r="B127" i="1"/>
  <c r="B119" i="1"/>
  <c r="B130" i="1"/>
  <c r="B116" i="1"/>
  <c r="B118" i="1"/>
  <c r="B114" i="1"/>
  <c r="B112" i="1"/>
  <c r="B121" i="1"/>
  <c r="B131" i="1"/>
  <c r="B126" i="1"/>
  <c r="B117" i="1"/>
  <c r="B129" i="1"/>
  <c r="B115" i="1"/>
  <c r="B125" i="1"/>
  <c r="B122" i="1"/>
  <c r="B124" i="1"/>
  <c r="B113" i="1"/>
  <c r="B172" i="1"/>
  <c r="B168" i="1"/>
  <c r="B163" i="1"/>
  <c r="B158" i="1"/>
  <c r="B165" i="1"/>
  <c r="B167" i="1"/>
  <c r="B173" i="1"/>
  <c r="B175" i="1"/>
  <c r="B161" i="1"/>
  <c r="B159" i="1"/>
  <c r="B157" i="1"/>
  <c r="B166" i="1"/>
  <c r="B176" i="1"/>
  <c r="B171" i="1"/>
  <c r="B162" i="1"/>
  <c r="B174" i="1"/>
  <c r="B160" i="1"/>
  <c r="B170" i="1"/>
  <c r="B169" i="1"/>
  <c r="B164" i="1"/>
  <c r="B132" i="1" l="1"/>
  <c r="C122" i="1" l="1"/>
  <c r="D122" i="1" s="1"/>
  <c r="C112" i="1"/>
  <c r="D112" i="1" s="1"/>
  <c r="C115" i="1"/>
  <c r="D115" i="1" s="1"/>
  <c r="C116" i="1"/>
  <c r="D116" i="1" s="1"/>
  <c r="C127" i="1"/>
  <c r="D127" i="1" s="1"/>
  <c r="C121" i="1"/>
  <c r="D121" i="1" s="1"/>
  <c r="C119" i="1"/>
  <c r="D119" i="1" s="1"/>
  <c r="C128" i="1"/>
  <c r="D128" i="1" s="1"/>
  <c r="C120" i="1"/>
  <c r="D120" i="1" s="1"/>
  <c r="C124" i="1"/>
  <c r="D124" i="1" s="1"/>
  <c r="C123" i="1"/>
  <c r="D123" i="1" s="1"/>
  <c r="C130" i="1"/>
  <c r="D130" i="1" s="1"/>
  <c r="C113" i="1"/>
  <c r="D113" i="1" s="1"/>
  <c r="C118" i="1"/>
  <c r="D118" i="1" s="1"/>
  <c r="C129" i="1"/>
  <c r="D129" i="1" s="1"/>
  <c r="C114" i="1"/>
  <c r="D114" i="1" s="1"/>
  <c r="C117" i="1"/>
  <c r="D117" i="1" s="1"/>
  <c r="C131" i="1"/>
  <c r="D131" i="1" s="1"/>
  <c r="C126" i="1"/>
  <c r="D126" i="1" s="1"/>
  <c r="C125" i="1"/>
  <c r="D125" i="1" s="1"/>
  <c r="C132" i="1" l="1"/>
</calcChain>
</file>

<file path=xl/sharedStrings.xml><?xml version="1.0" encoding="utf-8"?>
<sst xmlns="http://schemas.openxmlformats.org/spreadsheetml/2006/main" count="617" uniqueCount="134">
  <si>
    <t>HP data</t>
  </si>
  <si>
    <t>Unit</t>
  </si>
  <si>
    <t>HP</t>
  </si>
  <si>
    <t>Can crush?</t>
  </si>
  <si>
    <t>Is crushable?</t>
  </si>
  <si>
    <t>Crush multiplier</t>
  </si>
  <si>
    <t>Can fly?</t>
  </si>
  <si>
    <t>Can hit flying units?</t>
  </si>
  <si>
    <t>Flying multiplier</t>
  </si>
  <si>
    <t>Can it be stealth?</t>
  </si>
  <si>
    <t>Stealth multiplier</t>
  </si>
  <si>
    <t>Can it self heal?</t>
  </si>
  <si>
    <t>Self heal multiplier</t>
  </si>
  <si>
    <t>Building</t>
  </si>
  <si>
    <t>HP to damage</t>
  </si>
  <si>
    <t>Minigunner</t>
  </si>
  <si>
    <t>No</t>
  </si>
  <si>
    <t>Yes</t>
  </si>
  <si>
    <t>Power plant</t>
  </si>
  <si>
    <t>Grenadier</t>
  </si>
  <si>
    <t>Refinery</t>
  </si>
  <si>
    <t>Rocket Soldier</t>
  </si>
  <si>
    <t>Adv. power plant</t>
  </si>
  <si>
    <t>Flamethrower</t>
  </si>
  <si>
    <t>Barracks</t>
  </si>
  <si>
    <t>Chem. Warrior</t>
  </si>
  <si>
    <t>Repair facility</t>
  </si>
  <si>
    <t>Commando</t>
  </si>
  <si>
    <t>Guard tower</t>
  </si>
  <si>
    <t>Humvee</t>
  </si>
  <si>
    <t>Comm. center</t>
  </si>
  <si>
    <t>APC</t>
  </si>
  <si>
    <t>Silo</t>
  </si>
  <si>
    <t>Medium Tank</t>
  </si>
  <si>
    <t>Turret</t>
  </si>
  <si>
    <t>MLRS</t>
  </si>
  <si>
    <t>SAM site</t>
  </si>
  <si>
    <t>Mammoth Tank</t>
  </si>
  <si>
    <t>Airstrip</t>
  </si>
  <si>
    <t>Buggy</t>
  </si>
  <si>
    <t>Hand of Nod</t>
  </si>
  <si>
    <t>Recon Bike</t>
  </si>
  <si>
    <t>Obelisk</t>
  </si>
  <si>
    <t>Artillery</t>
  </si>
  <si>
    <t>Temple of Nod</t>
  </si>
  <si>
    <t>Light Tank</t>
  </si>
  <si>
    <t>Adv. guard tower</t>
  </si>
  <si>
    <t>Flame Tank</t>
  </si>
  <si>
    <t>Adv. Comm. Center</t>
  </si>
  <si>
    <t>Stealth Tank</t>
  </si>
  <si>
    <t>Construction yard</t>
  </si>
  <si>
    <t>SSM</t>
  </si>
  <si>
    <t>Average</t>
  </si>
  <si>
    <t>Orca</t>
  </si>
  <si>
    <t>Apache</t>
  </si>
  <si>
    <t>Total unit count:</t>
  </si>
  <si>
    <t>Can crush units:</t>
  </si>
  <si>
    <t>Crushable units:</t>
  </si>
  <si>
    <t>Can fly units:</t>
  </si>
  <si>
    <t>Can hit flying units:</t>
  </si>
  <si>
    <t>Can fly and hit flying units:</t>
  </si>
  <si>
    <t>Damage data</t>
  </si>
  <si>
    <t>Units</t>
  </si>
  <si>
    <t>Main weapon's damage</t>
  </si>
  <si>
    <t>Second weapon's damage</t>
  </si>
  <si>
    <t>Unit count:</t>
  </si>
  <si>
    <t>Building count:</t>
  </si>
  <si>
    <t>Buildings</t>
  </si>
  <si>
    <t>Unit count compared to building count (%)</t>
  </si>
  <si>
    <t>Can fly units</t>
  </si>
  <si>
    <t>Can fly unit count compared to ground unit count (%)</t>
  </si>
  <si>
    <t>No armour</t>
  </si>
  <si>
    <t>Wood armour</t>
  </si>
  <si>
    <t>Aluminium armour</t>
  </si>
  <si>
    <t>Steel armour</t>
  </si>
  <si>
    <t>Times shot</t>
  </si>
  <si>
    <t>-</t>
  </si>
  <si>
    <t>Cost</t>
  </si>
  <si>
    <t>Credit cost</t>
  </si>
  <si>
    <t>Final cost value</t>
  </si>
  <si>
    <t>Final value</t>
  </si>
  <si>
    <t>No armour effect (main weapon)</t>
  </si>
  <si>
    <t>Wood armour effect (main weapon)</t>
  </si>
  <si>
    <t>Aluminium armour effect (main weapon)</t>
  </si>
  <si>
    <t>Steel armour effect (main weapon)</t>
  </si>
  <si>
    <t>No armour effect (second weapon)</t>
  </si>
  <si>
    <t>Wood armour effect (second weapon)</t>
  </si>
  <si>
    <t>Aluminium armour effect (second weapon)</t>
  </si>
  <si>
    <t>Steel armour effect (second weapon)</t>
  </si>
  <si>
    <t>No armour damage done (main weapon)</t>
  </si>
  <si>
    <t>Wood armour damage done (main weapon)</t>
  </si>
  <si>
    <t>Aluminium armour damage done (main weapon)</t>
  </si>
  <si>
    <t>Steel armour damage done (main weapon)</t>
  </si>
  <si>
    <t>No armour damage done (second weapon)</t>
  </si>
  <si>
    <t>Wood armour damage done (second weapon)</t>
  </si>
  <si>
    <t>Aluminium armour damage done (second weapon)</t>
  </si>
  <si>
    <t>Steel armour damage done (second weapon)</t>
  </si>
  <si>
    <t>(Underlined values indicate special cases where the same formula cannot be applied.)</t>
  </si>
  <si>
    <t>Times shot with main weapon N.</t>
  </si>
  <si>
    <t>Times shot with main weapon NE.</t>
  </si>
  <si>
    <t>Times shot with main weapon E.</t>
  </si>
  <si>
    <t>Times shot with main weapon SE.</t>
  </si>
  <si>
    <t>Times shot with main weapon S.</t>
  </si>
  <si>
    <t>Times shot main with weapon SW.</t>
  </si>
  <si>
    <t>Times shot with main weapon W.</t>
  </si>
  <si>
    <t>Times shot with main weapon NW.</t>
  </si>
  <si>
    <t>Average main weapon shot count</t>
  </si>
  <si>
    <t>Times shot with second weapon N.</t>
  </si>
  <si>
    <t>Times shot with second weapon NW.</t>
  </si>
  <si>
    <t>Average second weapon shot count</t>
  </si>
  <si>
    <t>Mammoth Tank's weapon</t>
  </si>
  <si>
    <t>Damage to no armour</t>
  </si>
  <si>
    <t>Damage to wood armour</t>
  </si>
  <si>
    <t>Damage to aluminium armour</t>
  </si>
  <si>
    <t>Damage to steel armour</t>
  </si>
  <si>
    <t>Main weapon</t>
  </si>
  <si>
    <t>Second weapon</t>
  </si>
  <si>
    <t>Final value compared to average final value</t>
  </si>
  <si>
    <t>Final value compared to average final value rounded</t>
  </si>
  <si>
    <t>Final score</t>
  </si>
  <si>
    <t>GDI unit count:</t>
  </si>
  <si>
    <t>Nod unit count:</t>
  </si>
  <si>
    <t>GDI unit average score:</t>
  </si>
  <si>
    <t>Nod unit average score:</t>
  </si>
  <si>
    <t>Normalised HP value per 1 credit (rounded)</t>
  </si>
  <si>
    <t>Normalised attack value per 1 credit (rounded)</t>
  </si>
  <si>
    <t>Normalised no armour damage value per 1 credit (rounded)</t>
  </si>
  <si>
    <t>Normalised wood armour damage value per 1 credit (rounded)</t>
  </si>
  <si>
    <t>Normalised aluminium armour damage value per 1 credit (rounded)</t>
  </si>
  <si>
    <t>Normalised steel armour damage value per 1 credit (rounded)</t>
  </si>
  <si>
    <t>HP score</t>
  </si>
  <si>
    <t>Normalised HP score</t>
  </si>
  <si>
    <t>Damage score</t>
  </si>
  <si>
    <t>Normalised damage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</si>
</sst>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3">
    <font>
      <sz val="10"/>
      <color rgb="FF000000"/>
      <name val="Georgia"/>
      <scheme val="minor"/>
    </font>
    <font>
      <sz val="10"/>
      <color theme="1"/>
      <name val="Georgia"/>
    </font>
    <font>
      <b/>
      <sz val="18"/>
      <color rgb="FFFFFFFF"/>
      <name val="Cascadia Code"/>
      <family val="3"/>
    </font>
    <font>
      <sz val="10"/>
      <name val="Cascadia Code"/>
      <family val="3"/>
    </font>
    <font>
      <sz val="10"/>
      <color theme="1"/>
      <name val="Cascadia Code"/>
      <family val="3"/>
    </font>
    <font>
      <sz val="11"/>
      <color theme="1"/>
      <name val="Cascadia Code"/>
      <family val="3"/>
    </font>
    <font>
      <sz val="10"/>
      <color rgb="FF000000"/>
      <name val="Cascadia Code"/>
      <family val="3"/>
    </font>
    <font>
      <i/>
      <sz val="10"/>
      <color rgb="FFFFFFFF"/>
      <name val="Cascadia Code"/>
      <family val="3"/>
    </font>
    <font>
      <b/>
      <sz val="12"/>
      <color rgb="FFFFFFFF"/>
      <name val="Cascadia Code"/>
      <family val="3"/>
    </font>
    <font>
      <sz val="10"/>
      <color rgb="FFFFFFFF"/>
      <name val="Cascadia Code"/>
      <family val="3"/>
    </font>
    <font>
      <sz val="10"/>
      <color rgb="FF1A3438"/>
      <name val="Cascadia Code"/>
      <family val="3"/>
    </font>
    <font>
      <sz val="12"/>
      <color rgb="FFFFFFFF"/>
      <name val="Cascadia Code"/>
      <family val="3"/>
    </font>
    <font>
      <sz val="12"/>
      <color theme="1"/>
      <name val="Cascadia Code"/>
      <family val="3"/>
    </font>
    <font>
      <sz val="12"/>
      <color rgb="FF1A3438"/>
      <name val="Cascadia Code"/>
      <family val="3"/>
    </font>
    <font>
      <sz val="12"/>
      <color rgb="FF000000"/>
      <name val="Cascadia Code"/>
      <family val="3"/>
    </font>
    <font>
      <sz val="12"/>
      <name val="Cascadia Code"/>
      <family val="3"/>
    </font>
    <font>
      <b/>
      <sz val="12"/>
      <name val="Cascadia Code"/>
      <family val="3"/>
    </font>
    <font>
      <u/>
      <sz val="12"/>
      <color theme="1"/>
      <name val="Cascadia Code"/>
      <family val="3"/>
    </font>
    <font>
      <u/>
      <sz val="12"/>
      <color rgb="FF1A3438"/>
      <name val="Cascadia Code"/>
      <family val="3"/>
    </font>
    <font>
      <b/>
      <sz val="12"/>
      <color rgb="FF000000"/>
      <name val="Cascadia Code"/>
      <family val="3"/>
    </font>
    <font>
      <b/>
      <i/>
      <sz val="12"/>
      <color rgb="FFFFFFFF"/>
      <name val="Cascadia Code"/>
      <family val="3"/>
    </font>
    <font>
      <b/>
      <sz val="12"/>
      <color theme="0"/>
      <name val="Cascadia Code"/>
      <family val="3"/>
    </font>
    <font>
      <b/>
      <i/>
      <sz val="12"/>
      <color rgb="FF000000"/>
      <name val="Cascadia Code"/>
      <family val="3"/>
    </font>
    <font>
      <sz val="12"/>
      <color theme="0"/>
      <name val="Cascadia Code"/>
      <family val="3"/>
    </font>
    <font>
      <b/>
      <sz val="12"/>
      <color rgb="FFF3F3F3"/>
      <name val="Cascadia Code"/>
      <family val="3"/>
    </font>
    <font>
      <b/>
      <sz val="12"/>
      <color theme="1"/>
      <name val="Cascadia Code"/>
      <family val="3"/>
    </font>
    <font>
      <u/>
      <sz val="12"/>
      <color rgb="FF000000"/>
      <name val="Cascadia Code"/>
      <family val="3"/>
    </font>
    <font>
      <b/>
      <i/>
      <sz val="12"/>
      <color theme="0"/>
      <name val="Cascadia Code"/>
      <family val="3"/>
    </font>
    <font>
      <b/>
      <i/>
      <sz val="12"/>
      <color rgb="FFFFC000"/>
      <name val="Cascadia Code"/>
      <family val="3"/>
    </font>
    <font>
      <sz val="12"/>
      <color rgb="FFFFC000"/>
      <name val="Cascadia Code"/>
      <family val="3"/>
    </font>
    <font>
      <b/>
      <i/>
      <sz val="12"/>
      <color rgb="FFFF0000"/>
      <name val="Cascadia Code"/>
      <family val="3"/>
    </font>
    <font>
      <sz val="12"/>
      <color rgb="FFFF0000"/>
      <name val="Cascadia Code"/>
      <family val="3"/>
    </font>
    <font>
      <b/>
      <sz val="1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BF9000"/>
        <bgColor rgb="FFBF90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073763"/>
        <bgColor rgb="FF073763"/>
      </patternFill>
    </fill>
    <fill>
      <patternFill patternType="solid">
        <fgColor rgb="FF4A86E8"/>
        <bgColor rgb="FF4A86E8"/>
      </patternFill>
    </fill>
    <fill>
      <patternFill patternType="solid">
        <fgColor rgb="FF274E13"/>
        <bgColor rgb="FF274E13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  <fill>
      <patternFill patternType="solid">
        <fgColor rgb="FF7F6000"/>
        <bgColor rgb="FF7F6000"/>
      </patternFill>
    </fill>
    <fill>
      <patternFill patternType="solid">
        <fgColor rgb="FF0070C0"/>
        <bgColor rgb="FF3D85C6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theme="2" tint="-4.9989318521683403E-2"/>
        <bgColor theme="7"/>
      </patternFill>
    </fill>
    <fill>
      <patternFill patternType="solid">
        <fgColor rgb="FF666666"/>
        <bgColor rgb="FF434343"/>
      </patternFill>
    </fill>
    <fill>
      <patternFill patternType="solid">
        <fgColor rgb="FF434343"/>
        <bgColor rgb="FF666666"/>
      </patternFill>
    </fill>
    <fill>
      <patternFill patternType="solid">
        <fgColor rgb="FF666666"/>
        <bgColor rgb="FFEFEFEF"/>
      </patternFill>
    </fill>
    <fill>
      <patternFill patternType="solid">
        <fgColor rgb="FF666666"/>
        <bgColor indexed="64"/>
      </patternFill>
    </fill>
    <fill>
      <patternFill patternType="solid">
        <fgColor rgb="FF666666"/>
        <bgColor rgb="FFF3F3F3"/>
      </patternFill>
    </fill>
    <fill>
      <patternFill patternType="solid">
        <fgColor rgb="FF002060"/>
        <bgColor rgb="FF073763"/>
      </patternFill>
    </fill>
    <fill>
      <patternFill patternType="solid">
        <fgColor rgb="FFEFEFEF"/>
        <bgColor rgb="FFEA9999"/>
      </patternFill>
    </fill>
    <fill>
      <patternFill patternType="solid">
        <fgColor rgb="FFEFEFEF"/>
        <bgColor rgb="FF9FC5E8"/>
      </patternFill>
    </fill>
    <fill>
      <patternFill patternType="solid">
        <fgColor rgb="FFEFEFEF"/>
        <bgColor rgb="FFB6D7A8"/>
      </patternFill>
    </fill>
    <fill>
      <patternFill patternType="solid">
        <fgColor rgb="FFEFEFEF"/>
        <bgColor rgb="FF7F6000"/>
      </patternFill>
    </fill>
    <fill>
      <patternFill patternType="solid">
        <fgColor rgb="FF7F6000"/>
        <bgColor rgb="FFBF9000"/>
      </patternFill>
    </fill>
    <fill>
      <patternFill patternType="solid">
        <fgColor rgb="FF434343"/>
        <bgColor rgb="FF7F6000"/>
      </patternFill>
    </fill>
    <fill>
      <patternFill patternType="solid">
        <fgColor rgb="FF7F6000"/>
        <bgColor rgb="FF434343"/>
      </patternFill>
    </fill>
    <fill>
      <patternFill patternType="solid">
        <fgColor rgb="FF073763"/>
        <bgColor rgb="FFFF0000"/>
      </patternFill>
    </fill>
    <fill>
      <patternFill patternType="solid">
        <fgColor rgb="FF073763"/>
        <bgColor rgb="FFBF9000"/>
      </patternFill>
    </fill>
    <fill>
      <patternFill patternType="solid">
        <fgColor rgb="FF073763"/>
        <bgColor rgb="FF4A86E8"/>
      </patternFill>
    </fill>
    <fill>
      <patternFill patternType="solid">
        <fgColor rgb="FF073763"/>
        <bgColor rgb="FF274E13"/>
      </patternFill>
    </fill>
    <fill>
      <patternFill patternType="solid">
        <fgColor rgb="FF434343"/>
        <bgColor indexed="64"/>
      </patternFill>
    </fill>
    <fill>
      <patternFill patternType="solid">
        <fgColor rgb="FF073763"/>
        <bgColor indexed="64"/>
      </patternFill>
    </fill>
  </fills>
  <borders count="6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thick">
        <color rgb="FF000000"/>
      </right>
      <top/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ck">
        <color rgb="FF000000"/>
      </right>
      <top style="medium">
        <color rgb="FF999999"/>
      </top>
      <bottom style="medium">
        <color rgb="FF999999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999999"/>
      </right>
      <top style="medium">
        <color rgb="FF999999"/>
      </top>
      <bottom style="thick">
        <color rgb="FF000000"/>
      </bottom>
      <diagonal/>
    </border>
    <border>
      <left style="medium">
        <color rgb="FF999999"/>
      </left>
      <right style="thick">
        <color rgb="FF000000"/>
      </right>
      <top style="medium">
        <color rgb="FF999999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rgb="FF999999"/>
      </right>
      <top style="medium">
        <color rgb="FF999999"/>
      </top>
      <bottom style="thick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rgb="FF000000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thick">
        <color indexed="64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/>
      <right/>
      <top/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thick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13" fillId="25" borderId="15" xfId="0" applyFont="1" applyFill="1" applyBorder="1" applyAlignment="1">
      <alignment horizontal="center"/>
    </xf>
    <xf numFmtId="0" fontId="13" fillId="26" borderId="15" xfId="0" applyFont="1" applyFill="1" applyBorder="1" applyAlignment="1">
      <alignment horizontal="center"/>
    </xf>
    <xf numFmtId="0" fontId="12" fillId="24" borderId="11" xfId="0" applyFont="1" applyFill="1" applyBorder="1" applyAlignment="1">
      <alignment horizontal="center"/>
    </xf>
    <xf numFmtId="0" fontId="12" fillId="24" borderId="12" xfId="0" applyFont="1" applyFill="1" applyBorder="1" applyAlignment="1">
      <alignment horizontal="center"/>
    </xf>
    <xf numFmtId="0" fontId="12" fillId="24" borderId="14" xfId="0" applyFont="1" applyFill="1" applyBorder="1" applyAlignment="1">
      <alignment horizontal="center"/>
    </xf>
    <xf numFmtId="0" fontId="12" fillId="24" borderId="15" xfId="0" applyFont="1" applyFill="1" applyBorder="1" applyAlignment="1">
      <alignment horizontal="center"/>
    </xf>
    <xf numFmtId="0" fontId="13" fillId="25" borderId="14" xfId="0" applyFont="1" applyFill="1" applyBorder="1" applyAlignment="1">
      <alignment horizontal="center"/>
    </xf>
    <xf numFmtId="0" fontId="13" fillId="26" borderId="14" xfId="0" applyFont="1" applyFill="1" applyBorder="1" applyAlignment="1">
      <alignment horizontal="center"/>
    </xf>
    <xf numFmtId="0" fontId="13" fillId="26" borderId="46" xfId="0" applyFont="1" applyFill="1" applyBorder="1" applyAlignment="1">
      <alignment horizontal="center"/>
    </xf>
    <xf numFmtId="0" fontId="13" fillId="26" borderId="47" xfId="0" applyFont="1" applyFill="1" applyBorder="1" applyAlignment="1">
      <alignment horizontal="center"/>
    </xf>
    <xf numFmtId="0" fontId="14" fillId="26" borderId="47" xfId="0" applyFont="1" applyFill="1" applyBorder="1" applyAlignment="1">
      <alignment horizontal="center"/>
    </xf>
    <xf numFmtId="0" fontId="16" fillId="27" borderId="12" xfId="0" applyFont="1" applyFill="1" applyBorder="1" applyAlignment="1">
      <alignment horizontal="center"/>
    </xf>
    <xf numFmtId="0" fontId="16" fillId="27" borderId="15" xfId="0" applyFont="1" applyFill="1" applyBorder="1" applyAlignment="1">
      <alignment horizontal="center"/>
    </xf>
    <xf numFmtId="0" fontId="16" fillId="27" borderId="47" xfId="0" applyFont="1" applyFill="1" applyBorder="1" applyAlignment="1">
      <alignment horizontal="center"/>
    </xf>
    <xf numFmtId="0" fontId="14" fillId="6" borderId="15" xfId="0" applyFont="1" applyFill="1" applyBorder="1" applyAlignment="1">
      <alignment horizontal="center"/>
    </xf>
    <xf numFmtId="0" fontId="8" fillId="5" borderId="9" xfId="0" applyFont="1" applyFill="1" applyBorder="1"/>
    <xf numFmtId="0" fontId="14" fillId="6" borderId="11" xfId="0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0" fontId="8" fillId="5" borderId="10" xfId="0" applyFont="1" applyFill="1" applyBorder="1"/>
    <xf numFmtId="0" fontId="14" fillId="6" borderId="14" xfId="0" applyFont="1" applyFill="1" applyBorder="1" applyAlignment="1">
      <alignment horizontal="center"/>
    </xf>
    <xf numFmtId="0" fontId="8" fillId="8" borderId="9" xfId="0" applyFont="1" applyFill="1" applyBorder="1"/>
    <xf numFmtId="0" fontId="8" fillId="8" borderId="10" xfId="0" applyFont="1" applyFill="1" applyBorder="1"/>
    <xf numFmtId="0" fontId="8" fillId="8" borderId="17" xfId="0" applyFont="1" applyFill="1" applyBorder="1"/>
    <xf numFmtId="0" fontId="8" fillId="9" borderId="9" xfId="0" applyFont="1" applyFill="1" applyBorder="1"/>
    <xf numFmtId="0" fontId="8" fillId="9" borderId="23" xfId="0" applyFont="1" applyFill="1" applyBorder="1"/>
    <xf numFmtId="0" fontId="14" fillId="6" borderId="24" xfId="0" applyFont="1" applyFill="1" applyBorder="1" applyAlignment="1">
      <alignment horizontal="center"/>
    </xf>
    <xf numFmtId="0" fontId="14" fillId="6" borderId="25" xfId="0" applyFont="1" applyFill="1" applyBorder="1" applyAlignment="1">
      <alignment horizontal="center"/>
    </xf>
    <xf numFmtId="0" fontId="20" fillId="19" borderId="20" xfId="0" applyFont="1" applyFill="1" applyBorder="1"/>
    <xf numFmtId="0" fontId="22" fillId="6" borderId="20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24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7" borderId="9" xfId="0" applyFont="1" applyFill="1" applyBorder="1"/>
    <xf numFmtId="0" fontId="14" fillId="6" borderId="13" xfId="0" applyFont="1" applyFill="1" applyBorder="1" applyAlignment="1">
      <alignment horizontal="center"/>
    </xf>
    <xf numFmtId="0" fontId="8" fillId="7" borderId="10" xfId="0" applyFont="1" applyFill="1" applyBorder="1"/>
    <xf numFmtId="0" fontId="14" fillId="6" borderId="16" xfId="0" applyFont="1" applyFill="1" applyBorder="1" applyAlignment="1">
      <alignment horizontal="center"/>
    </xf>
    <xf numFmtId="0" fontId="8" fillId="7" borderId="17" xfId="0" applyFont="1" applyFill="1" applyBorder="1"/>
    <xf numFmtId="0" fontId="14" fillId="6" borderId="1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0" fontId="21" fillId="20" borderId="21" xfId="0" applyFont="1" applyFill="1" applyBorder="1"/>
    <xf numFmtId="0" fontId="25" fillId="6" borderId="22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21" fillId="28" borderId="26" xfId="0" applyFont="1" applyFill="1" applyBorder="1" applyAlignment="1">
      <alignment horizontal="center"/>
    </xf>
    <xf numFmtId="0" fontId="8" fillId="5" borderId="30" xfId="0" applyFont="1" applyFill="1" applyBorder="1"/>
    <xf numFmtId="0" fontId="12" fillId="10" borderId="11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4" fillId="11" borderId="12" xfId="0" applyFont="1" applyFill="1" applyBorder="1" applyAlignment="1">
      <alignment horizontal="center"/>
    </xf>
    <xf numFmtId="0" fontId="14" fillId="10" borderId="12" xfId="0" applyFont="1" applyFill="1" applyBorder="1" applyAlignment="1">
      <alignment horizontal="center"/>
    </xf>
    <xf numFmtId="0" fontId="8" fillId="5" borderId="28" xfId="0" applyFont="1" applyFill="1" applyBorder="1"/>
    <xf numFmtId="0" fontId="12" fillId="10" borderId="14" xfId="0" applyFont="1" applyFill="1" applyBorder="1" applyAlignment="1">
      <alignment horizontal="center"/>
    </xf>
    <xf numFmtId="0" fontId="12" fillId="11" borderId="15" xfId="0" applyFont="1" applyFill="1" applyBorder="1" applyAlignment="1">
      <alignment horizontal="center"/>
    </xf>
    <xf numFmtId="0" fontId="12" fillId="10" borderId="15" xfId="0" applyFont="1" applyFill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8" fillId="8" borderId="30" xfId="0" applyFont="1" applyFill="1" applyBorder="1"/>
    <xf numFmtId="0" fontId="8" fillId="8" borderId="28" xfId="0" applyFont="1" applyFill="1" applyBorder="1"/>
    <xf numFmtId="0" fontId="8" fillId="8" borderId="31" xfId="0" applyFont="1" applyFill="1" applyBorder="1"/>
    <xf numFmtId="0" fontId="8" fillId="9" borderId="30" xfId="0" applyFont="1" applyFill="1" applyBorder="1"/>
    <xf numFmtId="0" fontId="8" fillId="9" borderId="29" xfId="0" applyFont="1" applyFill="1" applyBorder="1"/>
    <xf numFmtId="0" fontId="12" fillId="10" borderId="24" xfId="0" applyFont="1" applyFill="1" applyBorder="1" applyAlignment="1">
      <alignment horizontal="center"/>
    </xf>
    <xf numFmtId="0" fontId="12" fillId="11" borderId="25" xfId="0" applyFont="1" applyFill="1" applyBorder="1" applyAlignment="1">
      <alignment horizontal="center"/>
    </xf>
    <xf numFmtId="0" fontId="12" fillId="10" borderId="25" xfId="0" applyFont="1" applyFill="1" applyBorder="1" applyAlignment="1">
      <alignment horizontal="center"/>
    </xf>
    <xf numFmtId="0" fontId="14" fillId="11" borderId="25" xfId="0" applyFont="1" applyFill="1" applyBorder="1" applyAlignment="1">
      <alignment horizontal="center"/>
    </xf>
    <xf numFmtId="0" fontId="20" fillId="19" borderId="26" xfId="0" applyFont="1" applyFill="1" applyBorder="1"/>
    <xf numFmtId="164" fontId="25" fillId="12" borderId="26" xfId="0" applyNumberFormat="1" applyFont="1" applyFill="1" applyBorder="1" applyAlignment="1">
      <alignment horizontal="center"/>
    </xf>
    <xf numFmtId="0" fontId="21" fillId="22" borderId="26" xfId="0" applyFont="1" applyFill="1" applyBorder="1" applyAlignment="1">
      <alignment wrapText="1"/>
    </xf>
    <xf numFmtId="0" fontId="8" fillId="19" borderId="26" xfId="0" applyFont="1" applyFill="1" applyBorder="1"/>
    <xf numFmtId="0" fontId="8" fillId="13" borderId="26" xfId="0" applyFont="1" applyFill="1" applyBorder="1" applyAlignment="1">
      <alignment horizontal="center"/>
    </xf>
    <xf numFmtId="0" fontId="8" fillId="13" borderId="34" xfId="0" applyFont="1" applyFill="1" applyBorder="1" applyAlignment="1">
      <alignment horizontal="center"/>
    </xf>
    <xf numFmtId="0" fontId="8" fillId="13" borderId="35" xfId="0" applyFont="1" applyFill="1" applyBorder="1"/>
    <xf numFmtId="0" fontId="8" fillId="13" borderId="26" xfId="0" applyFont="1" applyFill="1" applyBorder="1"/>
    <xf numFmtId="0" fontId="8" fillId="18" borderId="26" xfId="0" applyFont="1" applyFill="1" applyBorder="1" applyAlignment="1">
      <alignment horizontal="center"/>
    </xf>
    <xf numFmtId="0" fontId="8" fillId="30" borderId="26" xfId="0" applyFont="1" applyFill="1" applyBorder="1" applyAlignment="1">
      <alignment horizontal="center"/>
    </xf>
    <xf numFmtId="0" fontId="24" fillId="18" borderId="26" xfId="0" applyFont="1" applyFill="1" applyBorder="1" applyAlignment="1">
      <alignment horizontal="center"/>
    </xf>
    <xf numFmtId="0" fontId="8" fillId="9" borderId="31" xfId="0" applyFont="1" applyFill="1" applyBorder="1"/>
    <xf numFmtId="0" fontId="8" fillId="3" borderId="37" xfId="0" applyFont="1" applyFill="1" applyBorder="1" applyAlignment="1">
      <alignment horizontal="center"/>
    </xf>
    <xf numFmtId="0" fontId="8" fillId="14" borderId="26" xfId="0" applyFont="1" applyFill="1" applyBorder="1" applyAlignment="1">
      <alignment horizontal="center"/>
    </xf>
    <xf numFmtId="0" fontId="21" fillId="35" borderId="26" xfId="0" applyFont="1" applyFill="1" applyBorder="1" applyAlignment="1">
      <alignment horizontal="center"/>
    </xf>
    <xf numFmtId="0" fontId="21" fillId="35" borderId="26" xfId="0" applyFont="1" applyFill="1" applyBorder="1" applyAlignment="1">
      <alignment horizontal="left"/>
    </xf>
    <xf numFmtId="0" fontId="11" fillId="3" borderId="37" xfId="0" applyFont="1" applyFill="1" applyBorder="1"/>
    <xf numFmtId="0" fontId="11" fillId="3" borderId="31" xfId="0" applyFont="1" applyFill="1" applyBorder="1"/>
    <xf numFmtId="0" fontId="8" fillId="19" borderId="49" xfId="0" applyFont="1" applyFill="1" applyBorder="1"/>
    <xf numFmtId="0" fontId="8" fillId="19" borderId="50" xfId="0" applyFont="1" applyFill="1" applyBorder="1"/>
    <xf numFmtId="0" fontId="8" fillId="19" borderId="51" xfId="0" applyFont="1" applyFill="1" applyBorder="1"/>
    <xf numFmtId="0" fontId="8" fillId="19" borderId="35" xfId="0" applyFont="1" applyFill="1" applyBorder="1"/>
    <xf numFmtId="0" fontId="11" fillId="3" borderId="52" xfId="0" applyFont="1" applyFill="1" applyBorder="1" applyAlignment="1">
      <alignment horizontal="right"/>
    </xf>
    <xf numFmtId="0" fontId="11" fillId="3" borderId="53" xfId="0" applyFont="1" applyFill="1" applyBorder="1" applyAlignment="1">
      <alignment horizontal="right"/>
    </xf>
    <xf numFmtId="0" fontId="11" fillId="3" borderId="28" xfId="0" applyFont="1" applyFill="1" applyBorder="1" applyAlignment="1">
      <alignment horizontal="right"/>
    </xf>
    <xf numFmtId="0" fontId="8" fillId="19" borderId="54" xfId="0" applyFont="1" applyFill="1" applyBorder="1"/>
    <xf numFmtId="0" fontId="11" fillId="3" borderId="55" xfId="0" applyFont="1" applyFill="1" applyBorder="1" applyAlignment="1">
      <alignment horizontal="right"/>
    </xf>
    <xf numFmtId="0" fontId="23" fillId="21" borderId="58" xfId="0" applyFont="1" applyFill="1" applyBorder="1" applyAlignment="1">
      <alignment horizontal="center"/>
    </xf>
    <xf numFmtId="0" fontId="23" fillId="21" borderId="59" xfId="0" applyFont="1" applyFill="1" applyBorder="1" applyAlignment="1">
      <alignment horizontal="center"/>
    </xf>
    <xf numFmtId="0" fontId="23" fillId="21" borderId="44" xfId="0" applyFont="1" applyFill="1" applyBorder="1" applyAlignment="1">
      <alignment horizontal="center"/>
    </xf>
    <xf numFmtId="0" fontId="23" fillId="21" borderId="56" xfId="0" applyFont="1" applyFill="1" applyBorder="1" applyAlignment="1">
      <alignment horizontal="center"/>
    </xf>
    <xf numFmtId="0" fontId="23" fillId="21" borderId="57" xfId="0" applyFont="1" applyFill="1" applyBorder="1" applyAlignment="1">
      <alignment horizontal="center"/>
    </xf>
    <xf numFmtId="0" fontId="23" fillId="21" borderId="48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0" fontId="11" fillId="3" borderId="41" xfId="0" applyFont="1" applyFill="1" applyBorder="1" applyAlignment="1">
      <alignment horizontal="center"/>
    </xf>
    <xf numFmtId="0" fontId="11" fillId="3" borderId="42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1" fillId="3" borderId="36" xfId="0" applyFont="1" applyFill="1" applyBorder="1" applyAlignment="1">
      <alignment horizontal="center"/>
    </xf>
    <xf numFmtId="0" fontId="11" fillId="3" borderId="43" xfId="0" applyFont="1" applyFill="1" applyBorder="1" applyAlignment="1">
      <alignment horizontal="center"/>
    </xf>
    <xf numFmtId="0" fontId="11" fillId="3" borderId="45" xfId="0" applyFont="1" applyFill="1" applyBorder="1" applyAlignment="1">
      <alignment horizontal="center"/>
    </xf>
    <xf numFmtId="0" fontId="11" fillId="3" borderId="40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26" fillId="11" borderId="15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3" fillId="32" borderId="26" xfId="0" applyFont="1" applyFill="1" applyBorder="1" applyAlignment="1">
      <alignment horizontal="center"/>
    </xf>
    <xf numFmtId="0" fontId="23" fillId="35" borderId="26" xfId="0" applyFont="1" applyFill="1" applyBorder="1" applyAlignment="1">
      <alignment horizontal="center"/>
    </xf>
    <xf numFmtId="0" fontId="23" fillId="36" borderId="26" xfId="0" applyFont="1" applyFill="1" applyBorder="1" applyAlignment="1">
      <alignment horizontal="center"/>
    </xf>
    <xf numFmtId="0" fontId="20" fillId="31" borderId="26" xfId="0" applyFont="1" applyFill="1" applyBorder="1"/>
    <xf numFmtId="0" fontId="20" fillId="33" borderId="26" xfId="0" applyFont="1" applyFill="1" applyBorder="1"/>
    <xf numFmtId="0" fontId="20" fillId="34" borderId="26" xfId="0" applyFont="1" applyFill="1" applyBorder="1"/>
    <xf numFmtId="0" fontId="20" fillId="19" borderId="26" xfId="0" applyFont="1" applyFill="1" applyBorder="1" applyAlignment="1">
      <alignment horizontal="center"/>
    </xf>
    <xf numFmtId="0" fontId="20" fillId="29" borderId="26" xfId="0" applyFont="1" applyFill="1" applyBorder="1" applyAlignment="1">
      <alignment horizontal="center"/>
    </xf>
    <xf numFmtId="0" fontId="27" fillId="35" borderId="26" xfId="0" applyFont="1" applyFill="1" applyBorder="1" applyAlignment="1">
      <alignment horizontal="center"/>
    </xf>
    <xf numFmtId="0" fontId="24" fillId="18" borderId="32" xfId="0" applyFont="1" applyFill="1" applyBorder="1" applyAlignment="1">
      <alignment horizontal="center"/>
    </xf>
    <xf numFmtId="0" fontId="12" fillId="24" borderId="60" xfId="0" applyFont="1" applyFill="1" applyBorder="1" applyAlignment="1">
      <alignment horizontal="center"/>
    </xf>
    <xf numFmtId="0" fontId="12" fillId="24" borderId="61" xfId="0" applyFont="1" applyFill="1" applyBorder="1" applyAlignment="1">
      <alignment horizontal="center"/>
    </xf>
    <xf numFmtId="0" fontId="13" fillId="25" borderId="61" xfId="0" applyFont="1" applyFill="1" applyBorder="1" applyAlignment="1">
      <alignment horizontal="center"/>
    </xf>
    <xf numFmtId="0" fontId="13" fillId="26" borderId="61" xfId="0" applyFont="1" applyFill="1" applyBorder="1" applyAlignment="1">
      <alignment horizontal="center"/>
    </xf>
    <xf numFmtId="0" fontId="14" fillId="26" borderId="62" xfId="0" applyFont="1" applyFill="1" applyBorder="1" applyAlignment="1">
      <alignment horizontal="center"/>
    </xf>
    <xf numFmtId="0" fontId="16" fillId="27" borderId="26" xfId="0" applyFont="1" applyFill="1" applyBorder="1" applyAlignment="1">
      <alignment horizontal="center"/>
    </xf>
    <xf numFmtId="0" fontId="8" fillId="3" borderId="63" xfId="0" applyFont="1" applyFill="1" applyBorder="1" applyAlignment="1">
      <alignment horizontal="center"/>
    </xf>
    <xf numFmtId="0" fontId="14" fillId="6" borderId="60" xfId="0" applyFont="1" applyFill="1" applyBorder="1" applyAlignment="1">
      <alignment horizontal="center"/>
    </xf>
    <xf numFmtId="0" fontId="23" fillId="20" borderId="22" xfId="0" applyFont="1" applyFill="1" applyBorder="1" applyAlignment="1">
      <alignment horizontal="center" wrapText="1"/>
    </xf>
    <xf numFmtId="0" fontId="8" fillId="28" borderId="26" xfId="0" applyFon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0" fontId="21" fillId="3" borderId="32" xfId="0" applyFont="1" applyFill="1" applyBorder="1" applyAlignment="1">
      <alignment horizontal="center"/>
    </xf>
    <xf numFmtId="0" fontId="12" fillId="12" borderId="60" xfId="0" applyFont="1" applyFill="1" applyBorder="1" applyAlignment="1">
      <alignment horizontal="center"/>
    </xf>
    <xf numFmtId="0" fontId="12" fillId="12" borderId="61" xfId="0" applyFont="1" applyFill="1" applyBorder="1" applyAlignment="1">
      <alignment horizontal="center"/>
    </xf>
    <xf numFmtId="0" fontId="18" fillId="17" borderId="61" xfId="0" applyFont="1" applyFill="1" applyBorder="1" applyAlignment="1">
      <alignment horizontal="center"/>
    </xf>
    <xf numFmtId="0" fontId="17" fillId="17" borderId="61" xfId="0" applyFont="1" applyFill="1" applyBorder="1" applyAlignment="1">
      <alignment horizontal="center"/>
    </xf>
    <xf numFmtId="0" fontId="12" fillId="16" borderId="61" xfId="0" applyFont="1" applyFill="1" applyBorder="1" applyAlignment="1">
      <alignment horizontal="center"/>
    </xf>
    <xf numFmtId="0" fontId="12" fillId="12" borderId="65" xfId="0" applyFont="1" applyFill="1" applyBorder="1" applyAlignment="1">
      <alignment horizontal="center"/>
    </xf>
    <xf numFmtId="0" fontId="25" fillId="12" borderId="2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21" fillId="35" borderId="26" xfId="0" applyFont="1" applyFill="1" applyBorder="1" applyAlignment="1">
      <alignment horizontal="center" wrapText="1"/>
    </xf>
    <xf numFmtId="0" fontId="28" fillId="31" borderId="26" xfId="0" applyFont="1" applyFill="1" applyBorder="1"/>
    <xf numFmtId="0" fontId="29" fillId="36" borderId="26" xfId="0" applyFont="1" applyFill="1" applyBorder="1" applyAlignment="1">
      <alignment horizontal="center"/>
    </xf>
    <xf numFmtId="0" fontId="28" fillId="33" borderId="26" xfId="0" applyFont="1" applyFill="1" applyBorder="1"/>
    <xf numFmtId="0" fontId="28" fillId="34" borderId="26" xfId="0" applyFont="1" applyFill="1" applyBorder="1"/>
    <xf numFmtId="0" fontId="30" fillId="31" borderId="26" xfId="0" applyFont="1" applyFill="1" applyBorder="1"/>
    <xf numFmtId="0" fontId="31" fillId="36" borderId="26" xfId="0" applyFont="1" applyFill="1" applyBorder="1" applyAlignment="1">
      <alignment horizontal="center"/>
    </xf>
    <xf numFmtId="0" fontId="30" fillId="33" borderId="26" xfId="0" applyFont="1" applyFill="1" applyBorder="1"/>
    <xf numFmtId="0" fontId="30" fillId="34" borderId="26" xfId="0" applyFont="1" applyFill="1" applyBorder="1"/>
    <xf numFmtId="0" fontId="27" fillId="35" borderId="26" xfId="0" applyFont="1" applyFill="1" applyBorder="1"/>
    <xf numFmtId="0" fontId="32" fillId="0" borderId="26" xfId="0" applyFont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2" fillId="2" borderId="27" xfId="0" applyFont="1" applyFill="1" applyBorder="1" applyAlignment="1">
      <alignment horizontal="center"/>
    </xf>
    <xf numFmtId="0" fontId="3" fillId="0" borderId="2" xfId="0" applyFont="1" applyBorder="1"/>
    <xf numFmtId="0" fontId="3" fillId="0" borderId="64" xfId="0" applyFont="1" applyBorder="1"/>
    <xf numFmtId="0" fontId="3" fillId="0" borderId="4" xfId="0" applyFont="1" applyBorder="1"/>
    <xf numFmtId="0" fontId="3" fillId="0" borderId="5" xfId="0" applyFont="1" applyBorder="1"/>
    <xf numFmtId="0" fontId="21" fillId="20" borderId="1" xfId="0" applyFont="1" applyFill="1" applyBorder="1"/>
    <xf numFmtId="0" fontId="21" fillId="21" borderId="2" xfId="0" applyFont="1" applyFill="1" applyBorder="1"/>
    <xf numFmtId="0" fontId="21" fillId="21" borderId="3" xfId="0" applyFont="1" applyFill="1" applyBorder="1"/>
    <xf numFmtId="0" fontId="2" fillId="23" borderId="26" xfId="0" applyFont="1" applyFill="1" applyBorder="1" applyAlignment="1">
      <alignment horizontal="center"/>
    </xf>
    <xf numFmtId="0" fontId="2" fillId="15" borderId="26" xfId="0" applyFont="1" applyFill="1" applyBorder="1" applyAlignment="1">
      <alignment horizontal="center"/>
    </xf>
    <xf numFmtId="0" fontId="8" fillId="15" borderId="26" xfId="0" applyFont="1" applyFill="1" applyBorder="1" applyAlignment="1">
      <alignment horizontal="center"/>
    </xf>
    <xf numFmtId="0" fontId="21" fillId="22" borderId="32" xfId="0" applyFont="1" applyFill="1" applyBorder="1" applyAlignment="1">
      <alignment horizontal="center"/>
    </xf>
    <xf numFmtId="0" fontId="21" fillId="22" borderId="33" xfId="0" applyFont="1" applyFill="1" applyBorder="1" applyAlignment="1">
      <alignment horizontal="center"/>
    </xf>
    <xf numFmtId="0" fontId="21" fillId="22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6000"/>
      <color rgb="FF073763"/>
      <color rgb="FF434343"/>
      <color rgb="FF999999"/>
      <color rgb="FF000000"/>
      <color rgb="FF4CA3F2"/>
      <color rgb="FF0A4E8C"/>
      <color rgb="FF666666"/>
      <color rgb="FF1C4587"/>
      <color rgb="FFBF9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0"/>
  <sheetViews>
    <sheetView tabSelected="1" zoomScale="55" zoomScaleNormal="55" workbookViewId="0">
      <selection activeCell="D25" sqref="D25"/>
    </sheetView>
  </sheetViews>
  <sheetFormatPr defaultColWidth="12.6640625" defaultRowHeight="15" customHeight="1"/>
  <cols>
    <col min="1" max="1" width="32" customWidth="1"/>
    <col min="2" max="2" width="50.44140625" customWidth="1"/>
    <col min="3" max="3" width="47.21875" customWidth="1"/>
    <col min="4" max="4" width="55.6640625" customWidth="1"/>
    <col min="5" max="5" width="47.88671875" customWidth="1"/>
    <col min="6" max="6" width="67.88671875" customWidth="1"/>
    <col min="7" max="7" width="76.109375" customWidth="1"/>
    <col min="8" max="8" width="36.88671875" customWidth="1"/>
    <col min="9" max="9" width="38.44140625" customWidth="1"/>
    <col min="10" max="10" width="42.33203125" customWidth="1"/>
    <col min="11" max="11" width="37.88671875" customWidth="1"/>
    <col min="12" max="12" width="39.77734375" customWidth="1"/>
    <col min="13" max="13" width="42.44140625" customWidth="1"/>
    <col min="14" max="14" width="47" customWidth="1"/>
    <col min="15" max="15" width="43.6640625" customWidth="1"/>
    <col min="16" max="16" width="41.5546875" customWidth="1"/>
    <col min="17" max="17" width="42.44140625" customWidth="1"/>
    <col min="18" max="18" width="49.44140625" customWidth="1"/>
    <col min="19" max="19" width="44.109375" customWidth="1"/>
    <col min="20" max="20" width="40.109375" customWidth="1"/>
    <col min="21" max="21" width="36" customWidth="1"/>
    <col min="22" max="22" width="25.77734375" customWidth="1"/>
    <col min="23" max="23" width="25.33203125" customWidth="1"/>
    <col min="25" max="25" width="22.44140625" customWidth="1"/>
  </cols>
  <sheetData>
    <row r="1" spans="1:26" ht="30" customHeight="1" thickTop="1" thickBot="1">
      <c r="A1" s="166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8"/>
      <c r="O1" s="3"/>
      <c r="P1" s="166" t="s">
        <v>0</v>
      </c>
      <c r="Q1" s="169"/>
      <c r="R1" s="170"/>
      <c r="S1" s="3"/>
      <c r="T1" s="3"/>
      <c r="U1" s="3"/>
      <c r="V1" s="3"/>
      <c r="W1" s="3"/>
      <c r="X1" s="1"/>
      <c r="Y1" s="1"/>
      <c r="Z1" s="1"/>
    </row>
    <row r="2" spans="1:26" ht="15.75" customHeight="1" thickTop="1" thickBot="1">
      <c r="A2" s="39" t="s">
        <v>1</v>
      </c>
      <c r="B2" s="40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1" t="s">
        <v>8</v>
      </c>
      <c r="I2" s="42" t="s">
        <v>9</v>
      </c>
      <c r="J2" s="41" t="s">
        <v>10</v>
      </c>
      <c r="K2" s="41" t="s">
        <v>11</v>
      </c>
      <c r="L2" s="41" t="s">
        <v>12</v>
      </c>
      <c r="M2" s="135" t="s">
        <v>130</v>
      </c>
      <c r="N2" s="138" t="s">
        <v>131</v>
      </c>
      <c r="O2" s="3"/>
      <c r="P2" s="39" t="s">
        <v>13</v>
      </c>
      <c r="Q2" s="40" t="s">
        <v>2</v>
      </c>
      <c r="R2" s="43" t="s">
        <v>14</v>
      </c>
      <c r="S2" s="3"/>
      <c r="T2" s="3"/>
      <c r="U2" s="3"/>
      <c r="V2" s="3"/>
      <c r="W2" s="3"/>
      <c r="X2" s="1"/>
      <c r="Y2" s="1"/>
      <c r="Z2" s="1"/>
    </row>
    <row r="3" spans="1:26" ht="15.75" customHeight="1" thickTop="1" thickBot="1">
      <c r="A3" s="25" t="s">
        <v>15</v>
      </c>
      <c r="B3" s="26">
        <v>50</v>
      </c>
      <c r="C3" s="27" t="s">
        <v>16</v>
      </c>
      <c r="D3" s="27" t="s">
        <v>17</v>
      </c>
      <c r="E3" s="27">
        <f t="shared" ref="E3:E22" si="0">IF(AND(C3="No", D3="Yes"), 1 - $B$26/$B$25, IF(C3="Yes", 1 + $B$27/$B$25, 1))</f>
        <v>0.55000000000000004</v>
      </c>
      <c r="F3" s="27" t="s">
        <v>16</v>
      </c>
      <c r="G3" s="27" t="s">
        <v>16</v>
      </c>
      <c r="H3" s="27">
        <f t="shared" ref="H3:H22" si="1">IF(F3="No",1,1 + (($B$25-$B$29)/$B$25))</f>
        <v>1</v>
      </c>
      <c r="I3" s="27" t="s">
        <v>16</v>
      </c>
      <c r="J3" s="27">
        <v>1</v>
      </c>
      <c r="K3" s="27" t="s">
        <v>16</v>
      </c>
      <c r="L3" s="27">
        <v>1</v>
      </c>
      <c r="M3" s="136">
        <f t="shared" ref="M3:M22" si="2">B3*E3*H3*J3*L3</f>
        <v>27.500000000000004</v>
      </c>
      <c r="N3" s="139">
        <f>M3/$M$23</f>
        <v>0.12882824852140307</v>
      </c>
      <c r="O3" s="3"/>
      <c r="P3" s="44" t="s">
        <v>18</v>
      </c>
      <c r="Q3" s="26">
        <v>200</v>
      </c>
      <c r="R3" s="45">
        <f t="shared" ref="R3:R19" si="3">Q3*2</f>
        <v>400</v>
      </c>
      <c r="S3" s="3"/>
      <c r="T3" s="3"/>
      <c r="U3" s="3"/>
      <c r="V3" s="3"/>
      <c r="W3" s="3"/>
      <c r="X3" s="1"/>
      <c r="Y3" s="1"/>
      <c r="Z3" s="1"/>
    </row>
    <row r="4" spans="1:26" ht="15.75" customHeight="1" thickTop="1" thickBot="1">
      <c r="A4" s="28" t="s">
        <v>19</v>
      </c>
      <c r="B4" s="29">
        <v>50</v>
      </c>
      <c r="C4" s="24" t="s">
        <v>16</v>
      </c>
      <c r="D4" s="24" t="s">
        <v>17</v>
      </c>
      <c r="E4" s="24">
        <f t="shared" si="0"/>
        <v>0.55000000000000004</v>
      </c>
      <c r="F4" s="24" t="s">
        <v>16</v>
      </c>
      <c r="G4" s="24" t="s">
        <v>16</v>
      </c>
      <c r="H4" s="27">
        <f t="shared" si="1"/>
        <v>1</v>
      </c>
      <c r="I4" s="24" t="s">
        <v>16</v>
      </c>
      <c r="J4" s="24">
        <v>1</v>
      </c>
      <c r="K4" s="24" t="s">
        <v>16</v>
      </c>
      <c r="L4" s="24">
        <v>1</v>
      </c>
      <c r="M4" s="136">
        <f t="shared" si="2"/>
        <v>27.500000000000004</v>
      </c>
      <c r="N4" s="139">
        <f t="shared" ref="N4:N22" si="4">M4/$M$23</f>
        <v>0.12882824852140307</v>
      </c>
      <c r="O4" s="3"/>
      <c r="P4" s="46" t="s">
        <v>20</v>
      </c>
      <c r="Q4" s="29">
        <v>450</v>
      </c>
      <c r="R4" s="47">
        <f t="shared" si="3"/>
        <v>900</v>
      </c>
      <c r="S4" s="3"/>
      <c r="T4" s="3"/>
      <c r="U4" s="3"/>
      <c r="V4" s="3"/>
      <c r="W4" s="3"/>
      <c r="X4" s="1"/>
      <c r="Y4" s="1"/>
      <c r="Z4" s="1"/>
    </row>
    <row r="5" spans="1:26" ht="15.75" customHeight="1" thickTop="1" thickBot="1">
      <c r="A5" s="28" t="s">
        <v>21</v>
      </c>
      <c r="B5" s="29">
        <v>25</v>
      </c>
      <c r="C5" s="24" t="s">
        <v>16</v>
      </c>
      <c r="D5" s="24" t="s">
        <v>17</v>
      </c>
      <c r="E5" s="24">
        <f t="shared" si="0"/>
        <v>0.55000000000000004</v>
      </c>
      <c r="F5" s="24" t="s">
        <v>16</v>
      </c>
      <c r="G5" s="24" t="s">
        <v>17</v>
      </c>
      <c r="H5" s="27">
        <f t="shared" si="1"/>
        <v>1</v>
      </c>
      <c r="I5" s="24" t="s">
        <v>16</v>
      </c>
      <c r="J5" s="24">
        <v>1</v>
      </c>
      <c r="K5" s="24" t="s">
        <v>16</v>
      </c>
      <c r="L5" s="24">
        <v>1</v>
      </c>
      <c r="M5" s="136">
        <f t="shared" si="2"/>
        <v>13.750000000000002</v>
      </c>
      <c r="N5" s="139">
        <f t="shared" si="4"/>
        <v>6.4414124260701533E-2</v>
      </c>
      <c r="O5" s="3"/>
      <c r="P5" s="46" t="s">
        <v>22</v>
      </c>
      <c r="Q5" s="29">
        <v>300</v>
      </c>
      <c r="R5" s="47">
        <f t="shared" si="3"/>
        <v>600</v>
      </c>
      <c r="S5" s="3"/>
      <c r="T5" s="3"/>
      <c r="U5" s="3"/>
      <c r="V5" s="3"/>
      <c r="W5" s="3"/>
      <c r="X5" s="1"/>
      <c r="Y5" s="1"/>
      <c r="Z5" s="1"/>
    </row>
    <row r="6" spans="1:26" ht="15.75" customHeight="1" thickTop="1" thickBot="1">
      <c r="A6" s="28" t="s">
        <v>23</v>
      </c>
      <c r="B6" s="29">
        <v>70</v>
      </c>
      <c r="C6" s="24" t="s">
        <v>16</v>
      </c>
      <c r="D6" s="24" t="s">
        <v>17</v>
      </c>
      <c r="E6" s="24">
        <f t="shared" si="0"/>
        <v>0.55000000000000004</v>
      </c>
      <c r="F6" s="24" t="s">
        <v>16</v>
      </c>
      <c r="G6" s="24" t="s">
        <v>16</v>
      </c>
      <c r="H6" s="27">
        <f t="shared" si="1"/>
        <v>1</v>
      </c>
      <c r="I6" s="24" t="s">
        <v>16</v>
      </c>
      <c r="J6" s="24">
        <v>1</v>
      </c>
      <c r="K6" s="24" t="s">
        <v>16</v>
      </c>
      <c r="L6" s="24">
        <v>1</v>
      </c>
      <c r="M6" s="136">
        <f t="shared" si="2"/>
        <v>38.5</v>
      </c>
      <c r="N6" s="139">
        <f t="shared" si="4"/>
        <v>0.18035954792996428</v>
      </c>
      <c r="O6" s="3"/>
      <c r="P6" s="46" t="s">
        <v>24</v>
      </c>
      <c r="Q6" s="29">
        <v>400</v>
      </c>
      <c r="R6" s="47">
        <f t="shared" si="3"/>
        <v>800</v>
      </c>
      <c r="S6" s="3"/>
      <c r="T6" s="3"/>
      <c r="U6" s="3"/>
      <c r="V6" s="3"/>
      <c r="W6" s="3"/>
      <c r="X6" s="1"/>
      <c r="Y6" s="1"/>
      <c r="Z6" s="1"/>
    </row>
    <row r="7" spans="1:26" ht="15.75" customHeight="1" thickTop="1" thickBot="1">
      <c r="A7" s="28" t="s">
        <v>25</v>
      </c>
      <c r="B7" s="29">
        <v>70</v>
      </c>
      <c r="C7" s="24" t="s">
        <v>16</v>
      </c>
      <c r="D7" s="24" t="s">
        <v>17</v>
      </c>
      <c r="E7" s="24">
        <f t="shared" si="0"/>
        <v>0.55000000000000004</v>
      </c>
      <c r="F7" s="24" t="s">
        <v>16</v>
      </c>
      <c r="G7" s="24" t="s">
        <v>16</v>
      </c>
      <c r="H7" s="27">
        <f t="shared" si="1"/>
        <v>1</v>
      </c>
      <c r="I7" s="24" t="s">
        <v>16</v>
      </c>
      <c r="J7" s="24">
        <v>1</v>
      </c>
      <c r="K7" s="24" t="s">
        <v>16</v>
      </c>
      <c r="L7" s="24">
        <v>1</v>
      </c>
      <c r="M7" s="136">
        <f t="shared" si="2"/>
        <v>38.5</v>
      </c>
      <c r="N7" s="139">
        <f t="shared" si="4"/>
        <v>0.18035954792996428</v>
      </c>
      <c r="O7" s="3"/>
      <c r="P7" s="46" t="s">
        <v>26</v>
      </c>
      <c r="Q7" s="29">
        <v>400</v>
      </c>
      <c r="R7" s="47">
        <f t="shared" si="3"/>
        <v>800</v>
      </c>
      <c r="S7" s="3"/>
      <c r="T7" s="3"/>
      <c r="U7" s="3"/>
      <c r="V7" s="3"/>
      <c r="W7" s="3"/>
      <c r="X7" s="1"/>
      <c r="Y7" s="1"/>
      <c r="Z7" s="1"/>
    </row>
    <row r="8" spans="1:26" ht="15.75" customHeight="1" thickTop="1" thickBot="1">
      <c r="A8" s="28" t="s">
        <v>27</v>
      </c>
      <c r="B8" s="29">
        <v>80</v>
      </c>
      <c r="C8" s="24" t="s">
        <v>16</v>
      </c>
      <c r="D8" s="24" t="s">
        <v>17</v>
      </c>
      <c r="E8" s="24">
        <f t="shared" si="0"/>
        <v>0.55000000000000004</v>
      </c>
      <c r="F8" s="24" t="s">
        <v>16</v>
      </c>
      <c r="G8" s="24" t="s">
        <v>16</v>
      </c>
      <c r="H8" s="27">
        <f t="shared" si="1"/>
        <v>1</v>
      </c>
      <c r="I8" s="24" t="s">
        <v>16</v>
      </c>
      <c r="J8" s="24">
        <v>1</v>
      </c>
      <c r="K8" s="24" t="s">
        <v>16</v>
      </c>
      <c r="L8" s="24">
        <v>1</v>
      </c>
      <c r="M8" s="136">
        <f t="shared" si="2"/>
        <v>44</v>
      </c>
      <c r="N8" s="139">
        <f t="shared" si="4"/>
        <v>0.20612519763424489</v>
      </c>
      <c r="O8" s="3"/>
      <c r="P8" s="46" t="s">
        <v>28</v>
      </c>
      <c r="Q8" s="29">
        <v>200</v>
      </c>
      <c r="R8" s="47">
        <f t="shared" si="3"/>
        <v>400</v>
      </c>
      <c r="S8" s="3"/>
      <c r="T8" s="3"/>
      <c r="U8" s="3"/>
      <c r="V8" s="3"/>
      <c r="W8" s="3"/>
      <c r="X8" s="1"/>
      <c r="Y8" s="1"/>
      <c r="Z8" s="1"/>
    </row>
    <row r="9" spans="1:26" ht="15.75" customHeight="1" thickTop="1" thickBot="1">
      <c r="A9" s="30" t="s">
        <v>29</v>
      </c>
      <c r="B9" s="29">
        <v>150</v>
      </c>
      <c r="C9" s="24" t="s">
        <v>16</v>
      </c>
      <c r="D9" s="24" t="s">
        <v>16</v>
      </c>
      <c r="E9" s="24">
        <f t="shared" si="0"/>
        <v>1</v>
      </c>
      <c r="F9" s="24" t="s">
        <v>16</v>
      </c>
      <c r="G9" s="24" t="s">
        <v>16</v>
      </c>
      <c r="H9" s="27">
        <f t="shared" si="1"/>
        <v>1</v>
      </c>
      <c r="I9" s="24" t="s">
        <v>16</v>
      </c>
      <c r="J9" s="24">
        <v>1</v>
      </c>
      <c r="K9" s="24" t="s">
        <v>16</v>
      </c>
      <c r="L9" s="24">
        <v>1</v>
      </c>
      <c r="M9" s="136">
        <f t="shared" si="2"/>
        <v>150</v>
      </c>
      <c r="N9" s="139">
        <f t="shared" si="4"/>
        <v>0.70269953738947122</v>
      </c>
      <c r="O9" s="3"/>
      <c r="P9" s="46" t="s">
        <v>30</v>
      </c>
      <c r="Q9" s="29">
        <v>500</v>
      </c>
      <c r="R9" s="47">
        <f t="shared" si="3"/>
        <v>1000</v>
      </c>
      <c r="S9" s="3"/>
      <c r="T9" s="3"/>
      <c r="U9" s="3"/>
      <c r="V9" s="3"/>
      <c r="W9" s="3"/>
      <c r="X9" s="1"/>
      <c r="Y9" s="1"/>
      <c r="Z9" s="1"/>
    </row>
    <row r="10" spans="1:26" ht="15.75" customHeight="1" thickTop="1" thickBot="1">
      <c r="A10" s="31" t="s">
        <v>31</v>
      </c>
      <c r="B10" s="29">
        <v>200</v>
      </c>
      <c r="C10" s="24" t="s">
        <v>17</v>
      </c>
      <c r="D10" s="24" t="s">
        <v>16</v>
      </c>
      <c r="E10" s="24">
        <f t="shared" si="0"/>
        <v>1.3</v>
      </c>
      <c r="F10" s="24" t="s">
        <v>16</v>
      </c>
      <c r="G10" s="24" t="s">
        <v>16</v>
      </c>
      <c r="H10" s="27">
        <f t="shared" si="1"/>
        <v>1</v>
      </c>
      <c r="I10" s="24" t="s">
        <v>16</v>
      </c>
      <c r="J10" s="24">
        <v>1</v>
      </c>
      <c r="K10" s="24" t="s">
        <v>16</v>
      </c>
      <c r="L10" s="24">
        <v>1</v>
      </c>
      <c r="M10" s="136">
        <f t="shared" si="2"/>
        <v>260</v>
      </c>
      <c r="N10" s="139">
        <f t="shared" si="4"/>
        <v>1.2180125314750834</v>
      </c>
      <c r="O10" s="3"/>
      <c r="P10" s="46" t="s">
        <v>32</v>
      </c>
      <c r="Q10" s="29">
        <v>150</v>
      </c>
      <c r="R10" s="47">
        <f t="shared" si="3"/>
        <v>300</v>
      </c>
      <c r="S10" s="3"/>
      <c r="T10" s="3"/>
      <c r="U10" s="3"/>
      <c r="V10" s="3"/>
      <c r="W10" s="3"/>
      <c r="X10" s="1"/>
      <c r="Y10" s="1"/>
      <c r="Z10" s="1"/>
    </row>
    <row r="11" spans="1:26" ht="15.75" customHeight="1" thickTop="1" thickBot="1">
      <c r="A11" s="31" t="s">
        <v>33</v>
      </c>
      <c r="B11" s="29">
        <v>400</v>
      </c>
      <c r="C11" s="24" t="s">
        <v>17</v>
      </c>
      <c r="D11" s="24" t="s">
        <v>16</v>
      </c>
      <c r="E11" s="24">
        <f t="shared" si="0"/>
        <v>1.3</v>
      </c>
      <c r="F11" s="24" t="s">
        <v>16</v>
      </c>
      <c r="G11" s="24" t="s">
        <v>16</v>
      </c>
      <c r="H11" s="27">
        <f t="shared" si="1"/>
        <v>1</v>
      </c>
      <c r="I11" s="24" t="s">
        <v>16</v>
      </c>
      <c r="J11" s="24">
        <v>1</v>
      </c>
      <c r="K11" s="24" t="s">
        <v>16</v>
      </c>
      <c r="L11" s="24">
        <v>1</v>
      </c>
      <c r="M11" s="136">
        <f t="shared" si="2"/>
        <v>520</v>
      </c>
      <c r="N11" s="139">
        <f t="shared" si="4"/>
        <v>2.4360250629501667</v>
      </c>
      <c r="O11" s="3"/>
      <c r="P11" s="46" t="s">
        <v>34</v>
      </c>
      <c r="Q11" s="29">
        <v>200</v>
      </c>
      <c r="R11" s="47">
        <f t="shared" si="3"/>
        <v>400</v>
      </c>
      <c r="S11" s="3"/>
      <c r="T11" s="3"/>
      <c r="U11" s="3"/>
      <c r="V11" s="3"/>
      <c r="W11" s="3"/>
      <c r="X11" s="1"/>
      <c r="Y11" s="1"/>
      <c r="Z11" s="1"/>
    </row>
    <row r="12" spans="1:26" ht="15.75" customHeight="1" thickTop="1" thickBot="1">
      <c r="A12" s="31" t="s">
        <v>35</v>
      </c>
      <c r="B12" s="29">
        <v>100</v>
      </c>
      <c r="C12" s="24" t="s">
        <v>17</v>
      </c>
      <c r="D12" s="24" t="s">
        <v>16</v>
      </c>
      <c r="E12" s="24">
        <f t="shared" si="0"/>
        <v>1.3</v>
      </c>
      <c r="F12" s="24" t="s">
        <v>16</v>
      </c>
      <c r="G12" s="24" t="s">
        <v>17</v>
      </c>
      <c r="H12" s="27">
        <f t="shared" si="1"/>
        <v>1</v>
      </c>
      <c r="I12" s="24" t="s">
        <v>16</v>
      </c>
      <c r="J12" s="24">
        <v>1</v>
      </c>
      <c r="K12" s="24" t="s">
        <v>16</v>
      </c>
      <c r="L12" s="24">
        <v>1</v>
      </c>
      <c r="M12" s="136">
        <f t="shared" si="2"/>
        <v>130</v>
      </c>
      <c r="N12" s="139">
        <f t="shared" si="4"/>
        <v>0.60900626573754169</v>
      </c>
      <c r="O12" s="3"/>
      <c r="P12" s="46" t="s">
        <v>36</v>
      </c>
      <c r="Q12" s="29">
        <v>200</v>
      </c>
      <c r="R12" s="47">
        <f t="shared" si="3"/>
        <v>400</v>
      </c>
      <c r="S12" s="3"/>
      <c r="T12" s="3"/>
      <c r="U12" s="3"/>
      <c r="V12" s="3"/>
      <c r="W12" s="3"/>
      <c r="X12" s="1"/>
      <c r="Y12" s="1"/>
      <c r="Z12" s="1"/>
    </row>
    <row r="13" spans="1:26" ht="15.75" customHeight="1" thickTop="1" thickBot="1">
      <c r="A13" s="31" t="s">
        <v>37</v>
      </c>
      <c r="B13" s="29">
        <v>600</v>
      </c>
      <c r="C13" s="24" t="s">
        <v>17</v>
      </c>
      <c r="D13" s="24" t="s">
        <v>16</v>
      </c>
      <c r="E13" s="24">
        <f t="shared" si="0"/>
        <v>1.3</v>
      </c>
      <c r="F13" s="24" t="s">
        <v>16</v>
      </c>
      <c r="G13" s="24" t="s">
        <v>17</v>
      </c>
      <c r="H13" s="27">
        <f t="shared" si="1"/>
        <v>1</v>
      </c>
      <c r="I13" s="24" t="s">
        <v>16</v>
      </c>
      <c r="J13" s="24">
        <v>1</v>
      </c>
      <c r="K13" s="24" t="s">
        <v>17</v>
      </c>
      <c r="L13" s="24">
        <v>1.25</v>
      </c>
      <c r="M13" s="136">
        <f t="shared" si="2"/>
        <v>975</v>
      </c>
      <c r="N13" s="139">
        <f t="shared" si="4"/>
        <v>4.5675469930315629</v>
      </c>
      <c r="O13" s="3"/>
      <c r="P13" s="46" t="s">
        <v>38</v>
      </c>
      <c r="Q13" s="29">
        <v>500</v>
      </c>
      <c r="R13" s="47">
        <f t="shared" si="3"/>
        <v>1000</v>
      </c>
      <c r="S13" s="3"/>
      <c r="T13" s="3"/>
      <c r="U13" s="3"/>
      <c r="V13" s="3"/>
      <c r="W13" s="3"/>
      <c r="X13" s="1"/>
      <c r="Y13" s="1"/>
      <c r="Z13" s="1"/>
    </row>
    <row r="14" spans="1:26" ht="15.75" customHeight="1" thickTop="1" thickBot="1">
      <c r="A14" s="31" t="s">
        <v>39</v>
      </c>
      <c r="B14" s="29">
        <v>140</v>
      </c>
      <c r="C14" s="24" t="s">
        <v>16</v>
      </c>
      <c r="D14" s="24" t="s">
        <v>16</v>
      </c>
      <c r="E14" s="24">
        <f t="shared" si="0"/>
        <v>1</v>
      </c>
      <c r="F14" s="24" t="s">
        <v>16</v>
      </c>
      <c r="G14" s="24" t="s">
        <v>16</v>
      </c>
      <c r="H14" s="27">
        <f t="shared" si="1"/>
        <v>1</v>
      </c>
      <c r="I14" s="24" t="s">
        <v>16</v>
      </c>
      <c r="J14" s="24">
        <v>1</v>
      </c>
      <c r="K14" s="24" t="s">
        <v>16</v>
      </c>
      <c r="L14" s="24">
        <v>1</v>
      </c>
      <c r="M14" s="136">
        <f t="shared" si="2"/>
        <v>140</v>
      </c>
      <c r="N14" s="139">
        <f t="shared" si="4"/>
        <v>0.65585290156350651</v>
      </c>
      <c r="O14" s="3"/>
      <c r="P14" s="46" t="s">
        <v>40</v>
      </c>
      <c r="Q14" s="29">
        <v>400</v>
      </c>
      <c r="R14" s="47">
        <f t="shared" si="3"/>
        <v>800</v>
      </c>
      <c r="S14" s="3"/>
      <c r="T14" s="3"/>
      <c r="U14" s="3"/>
      <c r="V14" s="3"/>
      <c r="W14" s="3"/>
      <c r="X14" s="1"/>
      <c r="Y14" s="1"/>
      <c r="Z14" s="1"/>
    </row>
    <row r="15" spans="1:26" ht="15.75" customHeight="1" thickTop="1" thickBot="1">
      <c r="A15" s="31" t="s">
        <v>41</v>
      </c>
      <c r="B15" s="29">
        <v>160</v>
      </c>
      <c r="C15" s="24" t="s">
        <v>16</v>
      </c>
      <c r="D15" s="24" t="s">
        <v>16</v>
      </c>
      <c r="E15" s="24">
        <f t="shared" si="0"/>
        <v>1</v>
      </c>
      <c r="F15" s="24" t="s">
        <v>16</v>
      </c>
      <c r="G15" s="24" t="s">
        <v>17</v>
      </c>
      <c r="H15" s="27">
        <f t="shared" si="1"/>
        <v>1</v>
      </c>
      <c r="I15" s="24" t="s">
        <v>16</v>
      </c>
      <c r="J15" s="24">
        <v>1</v>
      </c>
      <c r="K15" s="24" t="s">
        <v>16</v>
      </c>
      <c r="L15" s="24">
        <v>1</v>
      </c>
      <c r="M15" s="136">
        <f t="shared" si="2"/>
        <v>160</v>
      </c>
      <c r="N15" s="139">
        <f t="shared" si="4"/>
        <v>0.74954617321543593</v>
      </c>
      <c r="O15" s="3"/>
      <c r="P15" s="46" t="s">
        <v>42</v>
      </c>
      <c r="Q15" s="29">
        <v>200</v>
      </c>
      <c r="R15" s="47">
        <f t="shared" si="3"/>
        <v>400</v>
      </c>
      <c r="S15" s="3"/>
      <c r="T15" s="3"/>
      <c r="U15" s="3"/>
      <c r="V15" s="3"/>
      <c r="W15" s="3"/>
      <c r="X15" s="1"/>
      <c r="Y15" s="1"/>
      <c r="Z15" s="1"/>
    </row>
    <row r="16" spans="1:26" ht="15.75" customHeight="1" thickTop="1" thickBot="1">
      <c r="A16" s="31" t="s">
        <v>43</v>
      </c>
      <c r="B16" s="29">
        <v>75</v>
      </c>
      <c r="C16" s="24" t="s">
        <v>17</v>
      </c>
      <c r="D16" s="24" t="s">
        <v>16</v>
      </c>
      <c r="E16" s="24">
        <f t="shared" si="0"/>
        <v>1.3</v>
      </c>
      <c r="F16" s="24" t="s">
        <v>16</v>
      </c>
      <c r="G16" s="24" t="s">
        <v>16</v>
      </c>
      <c r="H16" s="27">
        <f t="shared" si="1"/>
        <v>1</v>
      </c>
      <c r="I16" s="24" t="s">
        <v>16</v>
      </c>
      <c r="J16" s="24">
        <v>1</v>
      </c>
      <c r="K16" s="24" t="s">
        <v>16</v>
      </c>
      <c r="L16" s="24">
        <v>1</v>
      </c>
      <c r="M16" s="136">
        <f t="shared" si="2"/>
        <v>97.5</v>
      </c>
      <c r="N16" s="139">
        <f t="shared" si="4"/>
        <v>0.45675469930315626</v>
      </c>
      <c r="O16" s="3"/>
      <c r="P16" s="46" t="s">
        <v>44</v>
      </c>
      <c r="Q16" s="29">
        <v>1000</v>
      </c>
      <c r="R16" s="47">
        <f t="shared" si="3"/>
        <v>2000</v>
      </c>
      <c r="S16" s="3"/>
      <c r="T16" s="3"/>
      <c r="U16" s="3"/>
      <c r="V16" s="3"/>
      <c r="W16" s="3"/>
      <c r="X16" s="1"/>
      <c r="Y16" s="1"/>
      <c r="Z16" s="1"/>
    </row>
    <row r="17" spans="1:26" ht="15.75" customHeight="1" thickTop="1" thickBot="1">
      <c r="A17" s="31" t="s">
        <v>45</v>
      </c>
      <c r="B17" s="29">
        <v>300</v>
      </c>
      <c r="C17" s="24" t="s">
        <v>17</v>
      </c>
      <c r="D17" s="24" t="s">
        <v>16</v>
      </c>
      <c r="E17" s="24">
        <f t="shared" si="0"/>
        <v>1.3</v>
      </c>
      <c r="F17" s="24" t="s">
        <v>16</v>
      </c>
      <c r="G17" s="24" t="s">
        <v>16</v>
      </c>
      <c r="H17" s="27">
        <f t="shared" si="1"/>
        <v>1</v>
      </c>
      <c r="I17" s="24" t="s">
        <v>16</v>
      </c>
      <c r="J17" s="24">
        <v>1</v>
      </c>
      <c r="K17" s="24" t="s">
        <v>16</v>
      </c>
      <c r="L17" s="24">
        <v>1</v>
      </c>
      <c r="M17" s="136">
        <f t="shared" si="2"/>
        <v>390</v>
      </c>
      <c r="N17" s="139">
        <f t="shared" si="4"/>
        <v>1.8270187972126251</v>
      </c>
      <c r="O17" s="3"/>
      <c r="P17" s="46" t="s">
        <v>46</v>
      </c>
      <c r="Q17" s="29">
        <v>300</v>
      </c>
      <c r="R17" s="47">
        <f t="shared" si="3"/>
        <v>600</v>
      </c>
      <c r="S17" s="3"/>
      <c r="T17" s="3"/>
      <c r="U17" s="3"/>
      <c r="V17" s="3"/>
      <c r="W17" s="3"/>
      <c r="X17" s="1"/>
      <c r="Y17" s="1"/>
      <c r="Z17" s="1"/>
    </row>
    <row r="18" spans="1:26" ht="15.75" customHeight="1" thickTop="1" thickBot="1">
      <c r="A18" s="31" t="s">
        <v>47</v>
      </c>
      <c r="B18" s="29">
        <v>300</v>
      </c>
      <c r="C18" s="24" t="s">
        <v>17</v>
      </c>
      <c r="D18" s="24" t="s">
        <v>16</v>
      </c>
      <c r="E18" s="24">
        <f t="shared" si="0"/>
        <v>1.3</v>
      </c>
      <c r="F18" s="24" t="s">
        <v>16</v>
      </c>
      <c r="G18" s="24" t="s">
        <v>16</v>
      </c>
      <c r="H18" s="27">
        <f t="shared" si="1"/>
        <v>1</v>
      </c>
      <c r="I18" s="24" t="s">
        <v>16</v>
      </c>
      <c r="J18" s="24">
        <v>1</v>
      </c>
      <c r="K18" s="24" t="s">
        <v>16</v>
      </c>
      <c r="L18" s="24">
        <v>1</v>
      </c>
      <c r="M18" s="136">
        <f t="shared" si="2"/>
        <v>390</v>
      </c>
      <c r="N18" s="139">
        <f t="shared" si="4"/>
        <v>1.8270187972126251</v>
      </c>
      <c r="O18" s="3"/>
      <c r="P18" s="46" t="s">
        <v>48</v>
      </c>
      <c r="Q18" s="29">
        <v>500</v>
      </c>
      <c r="R18" s="47">
        <f t="shared" si="3"/>
        <v>1000</v>
      </c>
      <c r="S18" s="3"/>
      <c r="T18" s="3"/>
      <c r="U18" s="3"/>
      <c r="V18" s="3"/>
      <c r="W18" s="3"/>
      <c r="X18" s="1"/>
      <c r="Y18" s="1"/>
      <c r="Z18" s="1"/>
    </row>
    <row r="19" spans="1:26" ht="15.75" customHeight="1" thickTop="1" thickBot="1">
      <c r="A19" s="31" t="s">
        <v>49</v>
      </c>
      <c r="B19" s="29">
        <v>110</v>
      </c>
      <c r="C19" s="24" t="s">
        <v>17</v>
      </c>
      <c r="D19" s="24" t="s">
        <v>16</v>
      </c>
      <c r="E19" s="24">
        <f t="shared" si="0"/>
        <v>1.3</v>
      </c>
      <c r="F19" s="24" t="s">
        <v>16</v>
      </c>
      <c r="G19" s="24" t="s">
        <v>17</v>
      </c>
      <c r="H19" s="27">
        <f t="shared" si="1"/>
        <v>1</v>
      </c>
      <c r="I19" s="24" t="s">
        <v>17</v>
      </c>
      <c r="J19" s="24">
        <v>2</v>
      </c>
      <c r="K19" s="24" t="s">
        <v>16</v>
      </c>
      <c r="L19" s="24">
        <v>1</v>
      </c>
      <c r="M19" s="136">
        <f t="shared" si="2"/>
        <v>286</v>
      </c>
      <c r="N19" s="139">
        <f t="shared" si="4"/>
        <v>1.3398137846225917</v>
      </c>
      <c r="O19" s="3"/>
      <c r="P19" s="48" t="s">
        <v>50</v>
      </c>
      <c r="Q19" s="49">
        <v>400</v>
      </c>
      <c r="R19" s="50">
        <f t="shared" si="3"/>
        <v>800</v>
      </c>
      <c r="S19" s="3"/>
      <c r="T19" s="3"/>
      <c r="U19" s="3"/>
      <c r="V19" s="3"/>
      <c r="W19" s="3"/>
      <c r="X19" s="1"/>
      <c r="Y19" s="1"/>
      <c r="Z19" s="1"/>
    </row>
    <row r="20" spans="1:26" ht="15.75" customHeight="1" thickTop="1" thickBot="1">
      <c r="A20" s="32" t="s">
        <v>51</v>
      </c>
      <c r="B20" s="29">
        <v>120</v>
      </c>
      <c r="C20" s="24" t="s">
        <v>17</v>
      </c>
      <c r="D20" s="24" t="s">
        <v>16</v>
      </c>
      <c r="E20" s="24">
        <f t="shared" si="0"/>
        <v>1.3</v>
      </c>
      <c r="F20" s="24" t="s">
        <v>16</v>
      </c>
      <c r="G20" s="24" t="s">
        <v>16</v>
      </c>
      <c r="H20" s="27">
        <f t="shared" si="1"/>
        <v>1</v>
      </c>
      <c r="I20" s="24" t="s">
        <v>16</v>
      </c>
      <c r="J20" s="24">
        <v>1</v>
      </c>
      <c r="K20" s="24" t="s">
        <v>16</v>
      </c>
      <c r="L20" s="24">
        <v>1</v>
      </c>
      <c r="M20" s="136">
        <f t="shared" si="2"/>
        <v>156</v>
      </c>
      <c r="N20" s="139">
        <f t="shared" si="4"/>
        <v>0.73080751888505002</v>
      </c>
      <c r="O20" s="3"/>
      <c r="P20" s="37" t="s">
        <v>52</v>
      </c>
      <c r="Q20" s="51" t="str">
        <f>REPT("/", 500)</f>
        <v>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</v>
      </c>
      <c r="R20" s="52">
        <f>AVERAGE(R3:R19)</f>
        <v>741.17647058823525</v>
      </c>
      <c r="S20" s="3"/>
      <c r="T20" s="3"/>
      <c r="U20" s="3"/>
      <c r="V20" s="3"/>
      <c r="W20" s="3"/>
      <c r="X20" s="1"/>
      <c r="Y20" s="1"/>
      <c r="Z20" s="1"/>
    </row>
    <row r="21" spans="1:26" ht="15.75" customHeight="1" thickTop="1" thickBot="1">
      <c r="A21" s="33" t="s">
        <v>53</v>
      </c>
      <c r="B21" s="29">
        <v>125</v>
      </c>
      <c r="C21" s="24" t="s">
        <v>16</v>
      </c>
      <c r="D21" s="24" t="s">
        <v>16</v>
      </c>
      <c r="E21" s="24">
        <f t="shared" si="0"/>
        <v>1</v>
      </c>
      <c r="F21" s="24" t="s">
        <v>17</v>
      </c>
      <c r="G21" s="24" t="s">
        <v>17</v>
      </c>
      <c r="H21" s="27">
        <f t="shared" si="1"/>
        <v>1.7</v>
      </c>
      <c r="I21" s="24" t="s">
        <v>16</v>
      </c>
      <c r="J21" s="24">
        <v>1</v>
      </c>
      <c r="K21" s="24" t="s">
        <v>16</v>
      </c>
      <c r="L21" s="24">
        <v>1</v>
      </c>
      <c r="M21" s="136">
        <f t="shared" si="2"/>
        <v>212.5</v>
      </c>
      <c r="N21" s="139">
        <f t="shared" si="4"/>
        <v>0.99549101130175088</v>
      </c>
      <c r="O21" s="3"/>
      <c r="P21" s="4"/>
      <c r="Q21" s="4"/>
      <c r="R21" s="4"/>
      <c r="S21" s="3"/>
      <c r="T21" s="3"/>
      <c r="U21" s="3"/>
      <c r="V21" s="3"/>
      <c r="W21" s="3"/>
      <c r="X21" s="1"/>
      <c r="Y21" s="1"/>
      <c r="Z21" s="1"/>
    </row>
    <row r="22" spans="1:26" ht="15.75" customHeight="1" thickTop="1" thickBot="1">
      <c r="A22" s="34" t="s">
        <v>54</v>
      </c>
      <c r="B22" s="35">
        <v>125</v>
      </c>
      <c r="C22" s="36" t="s">
        <v>16</v>
      </c>
      <c r="D22" s="36" t="s">
        <v>16</v>
      </c>
      <c r="E22" s="36">
        <f t="shared" si="0"/>
        <v>1</v>
      </c>
      <c r="F22" s="36" t="s">
        <v>17</v>
      </c>
      <c r="G22" s="36" t="s">
        <v>16</v>
      </c>
      <c r="H22" s="27">
        <f t="shared" si="1"/>
        <v>1.7</v>
      </c>
      <c r="I22" s="36" t="s">
        <v>16</v>
      </c>
      <c r="J22" s="36">
        <v>1</v>
      </c>
      <c r="K22" s="36" t="s">
        <v>16</v>
      </c>
      <c r="L22" s="36">
        <v>1</v>
      </c>
      <c r="M22" s="136">
        <f t="shared" si="2"/>
        <v>212.5</v>
      </c>
      <c r="N22" s="139">
        <f t="shared" si="4"/>
        <v>0.99549101130175088</v>
      </c>
      <c r="O22" s="3"/>
      <c r="P22" s="4"/>
      <c r="Q22" s="4"/>
      <c r="R22" s="4"/>
      <c r="S22" s="3"/>
      <c r="T22" s="3"/>
      <c r="U22" s="3"/>
      <c r="V22" s="3"/>
      <c r="W22" s="3"/>
      <c r="X22" s="1"/>
      <c r="Y22" s="1"/>
      <c r="Z22" s="1"/>
    </row>
    <row r="23" spans="1:26" ht="15.75" customHeight="1" thickTop="1" thickBot="1">
      <c r="A23" s="37" t="s">
        <v>52</v>
      </c>
      <c r="B23" s="171" t="str">
        <f>REPT("/", 700)</f>
        <v>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</v>
      </c>
      <c r="C23" s="172"/>
      <c r="D23" s="172"/>
      <c r="E23" s="172"/>
      <c r="F23" s="172"/>
      <c r="G23" s="172"/>
      <c r="H23" s="172"/>
      <c r="I23" s="172"/>
      <c r="J23" s="172"/>
      <c r="K23" s="172"/>
      <c r="L23" s="173"/>
      <c r="M23" s="38">
        <f>AVERAGE(M3:M22)</f>
        <v>213.46250000000001</v>
      </c>
      <c r="N23" s="137" t="str">
        <f>REPT("/", 500)</f>
        <v>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</v>
      </c>
      <c r="O23" s="3"/>
      <c r="P23" s="4"/>
      <c r="Q23" s="4"/>
      <c r="R23" s="4"/>
      <c r="S23" s="3"/>
      <c r="T23" s="3"/>
      <c r="U23" s="3"/>
      <c r="V23" s="3"/>
      <c r="W23" s="3"/>
      <c r="X23" s="1"/>
      <c r="Y23" s="1"/>
      <c r="Z23" s="1"/>
    </row>
    <row r="24" spans="1:26" ht="15.75" customHeight="1" thickTop="1" thickBot="1">
      <c r="A24" s="5"/>
      <c r="B24" s="6"/>
      <c r="C24" s="3"/>
      <c r="D24" s="3"/>
      <c r="E24" s="3"/>
      <c r="F24" s="3"/>
      <c r="G24" s="3"/>
      <c r="H24" s="3"/>
      <c r="I24" s="3"/>
      <c r="J24" s="3"/>
      <c r="K24" s="3"/>
      <c r="L24" s="7"/>
      <c r="M24" s="3"/>
      <c r="N24" s="3"/>
      <c r="O24" s="3"/>
      <c r="P24" s="4"/>
      <c r="Q24" s="4"/>
      <c r="R24" s="4"/>
      <c r="S24" s="3"/>
      <c r="T24" s="3"/>
      <c r="U24" s="3"/>
      <c r="V24" s="3"/>
      <c r="W24" s="3"/>
      <c r="X24" s="1"/>
      <c r="Y24" s="1"/>
      <c r="Z24" s="1"/>
    </row>
    <row r="25" spans="1:26" ht="15.75" customHeight="1" thickTop="1" thickBot="1">
      <c r="A25" s="93" t="s">
        <v>55</v>
      </c>
      <c r="B25" s="98">
        <v>20</v>
      </c>
      <c r="C25" s="3"/>
      <c r="D25" s="3"/>
      <c r="E25" s="3"/>
      <c r="F25" s="3"/>
      <c r="G25" s="3"/>
      <c r="H25" s="3"/>
      <c r="I25" s="3"/>
      <c r="J25" s="3"/>
      <c r="K25" s="3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1"/>
      <c r="Y25" s="1"/>
      <c r="Z25" s="1"/>
    </row>
    <row r="26" spans="1:26" ht="15.75" customHeight="1" thickTop="1" thickBot="1">
      <c r="A26" s="94" t="s">
        <v>56</v>
      </c>
      <c r="B26" s="99">
        <v>9</v>
      </c>
      <c r="C26" s="3"/>
      <c r="D26" s="3"/>
      <c r="E26" s="3"/>
      <c r="F26" s="3"/>
      <c r="G26" s="3"/>
      <c r="H26" s="3"/>
      <c r="I26" s="3"/>
      <c r="J26" s="3"/>
      <c r="K26" s="3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6"/>
    </row>
    <row r="27" spans="1:26" ht="15.75" customHeight="1" thickTop="1" thickBot="1">
      <c r="A27" s="94" t="s">
        <v>57</v>
      </c>
      <c r="B27" s="101">
        <v>6</v>
      </c>
      <c r="C27" s="3"/>
      <c r="D27" s="3"/>
      <c r="E27" s="3"/>
      <c r="F27" s="3"/>
      <c r="G27" s="3"/>
      <c r="H27" s="3"/>
      <c r="I27" s="3"/>
      <c r="J27" s="3"/>
      <c r="K27" s="3"/>
      <c r="L27" s="7"/>
      <c r="M27" s="3"/>
      <c r="N27" s="3"/>
      <c r="O27" s="6"/>
      <c r="P27" s="3"/>
      <c r="Q27" s="3"/>
      <c r="R27" s="3"/>
      <c r="S27" s="3"/>
      <c r="T27" s="3"/>
      <c r="U27" s="3"/>
      <c r="V27" s="3"/>
      <c r="W27" s="6"/>
    </row>
    <row r="28" spans="1:26" ht="15.75" customHeight="1" thickTop="1" thickBot="1">
      <c r="A28" s="100" t="s">
        <v>58</v>
      </c>
      <c r="B28" s="99">
        <v>2</v>
      </c>
      <c r="C28" s="3"/>
      <c r="D28" s="3"/>
      <c r="E28" s="3"/>
      <c r="F28" s="3"/>
      <c r="G28" s="3"/>
      <c r="H28" s="3"/>
      <c r="I28" s="3"/>
      <c r="J28" s="3"/>
      <c r="K28" s="3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6"/>
    </row>
    <row r="29" spans="1:26" ht="15.75" customHeight="1" thickTop="1" thickBot="1">
      <c r="A29" s="95" t="s">
        <v>59</v>
      </c>
      <c r="B29" s="99">
        <v>6</v>
      </c>
      <c r="C29" s="3"/>
      <c r="D29" s="3"/>
      <c r="E29" s="3"/>
      <c r="F29" s="3"/>
      <c r="G29" s="3"/>
      <c r="H29" s="3"/>
      <c r="I29" s="3"/>
      <c r="J29" s="3"/>
      <c r="K29" s="3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6"/>
    </row>
    <row r="30" spans="1:26" ht="15.75" customHeight="1" thickTop="1" thickBot="1">
      <c r="A30" s="96" t="s">
        <v>60</v>
      </c>
      <c r="B30" s="97">
        <v>1</v>
      </c>
      <c r="C30" s="3"/>
      <c r="D30" s="3"/>
      <c r="E30" s="3"/>
      <c r="F30" s="3"/>
      <c r="G30" s="3"/>
      <c r="H30" s="3"/>
      <c r="I30" s="3"/>
      <c r="J30" s="3"/>
      <c r="K30" s="3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6"/>
    </row>
    <row r="31" spans="1:26" ht="15.75" customHeight="1" thickTop="1" thickBo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6"/>
      <c r="N31" s="6"/>
      <c r="O31" s="3"/>
      <c r="P31" s="3"/>
      <c r="Q31" s="3"/>
      <c r="R31" s="3"/>
      <c r="S31" s="3"/>
      <c r="T31" s="3"/>
      <c r="U31" s="3"/>
      <c r="V31" s="3"/>
      <c r="W31" s="3"/>
      <c r="X31" s="1"/>
      <c r="Y31" s="1"/>
      <c r="Z31" s="1"/>
    </row>
    <row r="32" spans="1:26" ht="30" customHeight="1" thickTop="1" thickBot="1">
      <c r="A32" s="175" t="s">
        <v>61</v>
      </c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"/>
    </row>
    <row r="33" spans="1:24" ht="15.75" customHeight="1" thickTop="1" thickBot="1">
      <c r="A33" s="53" t="s">
        <v>1</v>
      </c>
      <c r="B33" s="53" t="s">
        <v>63</v>
      </c>
      <c r="C33" s="53" t="s">
        <v>64</v>
      </c>
      <c r="D33" s="53" t="s">
        <v>81</v>
      </c>
      <c r="E33" s="53" t="s">
        <v>82</v>
      </c>
      <c r="F33" s="53" t="s">
        <v>83</v>
      </c>
      <c r="G33" s="53" t="s">
        <v>84</v>
      </c>
      <c r="H33" s="53" t="s">
        <v>85</v>
      </c>
      <c r="I33" s="53" t="s">
        <v>86</v>
      </c>
      <c r="J33" s="53" t="s">
        <v>87</v>
      </c>
      <c r="K33" s="53" t="s">
        <v>88</v>
      </c>
      <c r="L33" s="53" t="s">
        <v>89</v>
      </c>
      <c r="M33" s="53" t="s">
        <v>90</v>
      </c>
      <c r="N33" s="53" t="s">
        <v>91</v>
      </c>
      <c r="O33" s="53" t="s">
        <v>92</v>
      </c>
      <c r="P33" s="53" t="s">
        <v>93</v>
      </c>
      <c r="Q33" s="53" t="s">
        <v>94</v>
      </c>
      <c r="R33" s="53" t="s">
        <v>95</v>
      </c>
      <c r="S33" s="53" t="s">
        <v>96</v>
      </c>
      <c r="T33" s="53" t="s">
        <v>63</v>
      </c>
      <c r="U33" s="53" t="s">
        <v>64</v>
      </c>
      <c r="V33" s="140" t="s">
        <v>132</v>
      </c>
      <c r="W33" s="54" t="s">
        <v>133</v>
      </c>
      <c r="X33" s="1"/>
    </row>
    <row r="34" spans="1:24" ht="15.75" customHeight="1" thickTop="1" thickBot="1">
      <c r="A34" s="55" t="s">
        <v>15</v>
      </c>
      <c r="B34" s="56">
        <v>15</v>
      </c>
      <c r="C34" s="57">
        <v>0</v>
      </c>
      <c r="D34" s="58">
        <v>255</v>
      </c>
      <c r="E34" s="58">
        <v>128</v>
      </c>
      <c r="F34" s="58">
        <v>144</v>
      </c>
      <c r="G34" s="58">
        <v>64</v>
      </c>
      <c r="H34" s="57">
        <v>0</v>
      </c>
      <c r="I34" s="57">
        <v>0</v>
      </c>
      <c r="J34" s="57">
        <v>0</v>
      </c>
      <c r="K34" s="57">
        <v>0</v>
      </c>
      <c r="L34" s="58">
        <f t="shared" ref="L34:L53" si="5">ROUND(B34*D34/256,0)</f>
        <v>15</v>
      </c>
      <c r="M34" s="58">
        <f t="shared" ref="M34:M53" si="6">ROUND(B34*E34/256,0)</f>
        <v>8</v>
      </c>
      <c r="N34" s="58">
        <f t="shared" ref="N34:N53" si="7">ROUND(B34*F34/256,0)</f>
        <v>8</v>
      </c>
      <c r="O34" s="58">
        <f t="shared" ref="O34:O53" si="8">ROUND(B34*G34/256,0)</f>
        <v>4</v>
      </c>
      <c r="P34" s="59">
        <f t="shared" ref="P34:P53" si="9">ROUND(C34*H34/256,0)</f>
        <v>0</v>
      </c>
      <c r="Q34" s="59">
        <f t="shared" ref="Q34:Q53" si="10">ROUND(C34*I34/256,0)</f>
        <v>0</v>
      </c>
      <c r="R34" s="59">
        <f t="shared" ref="R34:R53" si="11">ROUND(C34*J34/256,0)</f>
        <v>0</v>
      </c>
      <c r="S34" s="59">
        <f t="shared" ref="S34:S53" si="12">ROUND(C34*K34/256,0)</f>
        <v>0</v>
      </c>
      <c r="T34" s="60">
        <f t="shared" ref="T34:T53" si="13">IF(G3="Yes",J67*(L34+M34+N34+O34) / 4,J67*((L34*(1-($F$60/100))) + (M34*(1-($F$61/100))) + (N34*(1-($F$62/100))) + (O34*(1-($F$63/100)))) / 4)</f>
        <v>53.959821428571423</v>
      </c>
      <c r="U34" s="59">
        <f>IF(G3="Yes",M67*(P34+Q34+R34+S34) / 4,M67*((P34*(1-($F$60/100))) + (Q34*(1-($F$61/100))) + (R34*(1-($F$62/100))) + (S34*(1-($F$63/100)))) / 4)</f>
        <v>0</v>
      </c>
      <c r="V34" s="141">
        <f>T34</f>
        <v>53.959821428571423</v>
      </c>
      <c r="W34" s="147">
        <f>V34/$V$54</f>
        <v>0.22604835280593299</v>
      </c>
      <c r="X34" s="1"/>
    </row>
    <row r="35" spans="1:24" ht="15.75" customHeight="1" thickTop="1" thickBot="1">
      <c r="A35" s="61" t="s">
        <v>19</v>
      </c>
      <c r="B35" s="62">
        <v>50</v>
      </c>
      <c r="C35" s="63">
        <v>0</v>
      </c>
      <c r="D35" s="64">
        <v>224</v>
      </c>
      <c r="E35" s="64">
        <v>192</v>
      </c>
      <c r="F35" s="64">
        <v>144</v>
      </c>
      <c r="G35" s="64">
        <v>64</v>
      </c>
      <c r="H35" s="63">
        <v>0</v>
      </c>
      <c r="I35" s="63">
        <v>0</v>
      </c>
      <c r="J35" s="63">
        <v>0</v>
      </c>
      <c r="K35" s="63">
        <v>0</v>
      </c>
      <c r="L35" s="64">
        <f t="shared" si="5"/>
        <v>44</v>
      </c>
      <c r="M35" s="64">
        <f t="shared" si="6"/>
        <v>38</v>
      </c>
      <c r="N35" s="64">
        <f t="shared" si="7"/>
        <v>28</v>
      </c>
      <c r="O35" s="64">
        <f t="shared" si="8"/>
        <v>13</v>
      </c>
      <c r="P35" s="65">
        <f t="shared" si="9"/>
        <v>0</v>
      </c>
      <c r="Q35" s="65">
        <f t="shared" si="10"/>
        <v>0</v>
      </c>
      <c r="R35" s="65">
        <f t="shared" si="11"/>
        <v>0</v>
      </c>
      <c r="S35" s="65">
        <f t="shared" si="12"/>
        <v>0</v>
      </c>
      <c r="T35" s="60">
        <f t="shared" si="13"/>
        <v>115.55803571428572</v>
      </c>
      <c r="U35" s="59">
        <f>IF(G4="Yes",M68*(P35+Q35+R35+S35) / 4,M68*((P35*(1-($F$60/100))) + (Q35*(1-($F$61/100))) + (R35*(1-($F$62/100))) + (S35*(1-($F$63/100)))) / 4)</f>
        <v>0</v>
      </c>
      <c r="V35" s="142">
        <f>T35</f>
        <v>115.55803571428572</v>
      </c>
      <c r="W35" s="147">
        <f t="shared" ref="W35:W53" si="14">V35/$V$54</f>
        <v>0.48409544240767571</v>
      </c>
      <c r="X35" s="1"/>
    </row>
    <row r="36" spans="1:24" ht="15.75" customHeight="1" thickTop="1" thickBot="1">
      <c r="A36" s="61" t="s">
        <v>21</v>
      </c>
      <c r="B36" s="62">
        <v>30</v>
      </c>
      <c r="C36" s="63">
        <v>0</v>
      </c>
      <c r="D36" s="64">
        <v>64</v>
      </c>
      <c r="E36" s="64">
        <v>192</v>
      </c>
      <c r="F36" s="64">
        <v>192</v>
      </c>
      <c r="G36" s="64">
        <v>255</v>
      </c>
      <c r="H36" s="63">
        <v>0</v>
      </c>
      <c r="I36" s="63">
        <v>0</v>
      </c>
      <c r="J36" s="63">
        <v>0</v>
      </c>
      <c r="K36" s="63">
        <v>0</v>
      </c>
      <c r="L36" s="64">
        <f t="shared" si="5"/>
        <v>8</v>
      </c>
      <c r="M36" s="64">
        <f t="shared" si="6"/>
        <v>23</v>
      </c>
      <c r="N36" s="64">
        <f t="shared" si="7"/>
        <v>23</v>
      </c>
      <c r="O36" s="64">
        <f t="shared" si="8"/>
        <v>30</v>
      </c>
      <c r="P36" s="65">
        <f t="shared" si="9"/>
        <v>0</v>
      </c>
      <c r="Q36" s="65">
        <f t="shared" si="10"/>
        <v>0</v>
      </c>
      <c r="R36" s="65">
        <f t="shared" si="11"/>
        <v>0</v>
      </c>
      <c r="S36" s="65">
        <f t="shared" si="12"/>
        <v>0</v>
      </c>
      <c r="T36" s="60">
        <f t="shared" si="13"/>
        <v>36.75</v>
      </c>
      <c r="U36" s="59">
        <f>IF(G5="Yes",M69*(P36+Q36+R36+S36) / 4,M69*((P36*(1-($F$60/100))) + (Q36*(1-($F$61/100))) + (R36*(1-($F$62/100))) + (S36*(1-($F$63/100)))) / 4)</f>
        <v>0</v>
      </c>
      <c r="V36" s="142">
        <f>T36</f>
        <v>36.75</v>
      </c>
      <c r="W36" s="147">
        <f t="shared" si="14"/>
        <v>0.15395301069731451</v>
      </c>
      <c r="X36" s="1"/>
    </row>
    <row r="37" spans="1:24" ht="15.75" customHeight="1" thickTop="1" thickBot="1">
      <c r="A37" s="61" t="s">
        <v>23</v>
      </c>
      <c r="B37" s="62">
        <v>35</v>
      </c>
      <c r="C37" s="63">
        <v>0</v>
      </c>
      <c r="D37" s="64">
        <v>224</v>
      </c>
      <c r="E37" s="64">
        <v>255</v>
      </c>
      <c r="F37" s="64">
        <v>176</v>
      </c>
      <c r="G37" s="64">
        <v>64</v>
      </c>
      <c r="H37" s="63">
        <v>0</v>
      </c>
      <c r="I37" s="63">
        <v>0</v>
      </c>
      <c r="J37" s="63">
        <v>0</v>
      </c>
      <c r="K37" s="63">
        <v>0</v>
      </c>
      <c r="L37" s="64">
        <f t="shared" si="5"/>
        <v>31</v>
      </c>
      <c r="M37" s="64">
        <f t="shared" si="6"/>
        <v>35</v>
      </c>
      <c r="N37" s="64">
        <f t="shared" si="7"/>
        <v>24</v>
      </c>
      <c r="O37" s="64">
        <f t="shared" si="8"/>
        <v>9</v>
      </c>
      <c r="P37" s="65">
        <f t="shared" si="9"/>
        <v>0</v>
      </c>
      <c r="Q37" s="65">
        <f t="shared" si="10"/>
        <v>0</v>
      </c>
      <c r="R37" s="65">
        <f t="shared" si="11"/>
        <v>0</v>
      </c>
      <c r="S37" s="65">
        <f t="shared" si="12"/>
        <v>0</v>
      </c>
      <c r="T37" s="60">
        <f t="shared" si="13"/>
        <v>123.54910714285714</v>
      </c>
      <c r="U37" s="59">
        <f>IF(G6="Yes",M70*(P37+Q37+R37+S37) / 4,M70*((P37*(1-($F$60/100))) + (Q37*(1-($F$61/100))) + (R37*(1-($F$62/100))) + (S37*(1-($F$63/100)))) / 4)</f>
        <v>0</v>
      </c>
      <c r="V37" s="142">
        <f>T37</f>
        <v>123.54910714285714</v>
      </c>
      <c r="W37" s="147">
        <f t="shared" si="14"/>
        <v>0.51757161941790319</v>
      </c>
      <c r="X37" s="1"/>
    </row>
    <row r="38" spans="1:24" ht="15.75" customHeight="1" thickTop="1" thickBot="1">
      <c r="A38" s="61" t="s">
        <v>25</v>
      </c>
      <c r="B38" s="62">
        <v>80</v>
      </c>
      <c r="C38" s="63">
        <v>0</v>
      </c>
      <c r="D38" s="64">
        <v>224</v>
      </c>
      <c r="E38" s="64">
        <v>192</v>
      </c>
      <c r="F38" s="64">
        <v>144</v>
      </c>
      <c r="G38" s="64">
        <v>64</v>
      </c>
      <c r="H38" s="63">
        <v>0</v>
      </c>
      <c r="I38" s="63">
        <v>0</v>
      </c>
      <c r="J38" s="63">
        <v>0</v>
      </c>
      <c r="K38" s="63">
        <v>0</v>
      </c>
      <c r="L38" s="64">
        <f t="shared" si="5"/>
        <v>70</v>
      </c>
      <c r="M38" s="64">
        <f t="shared" si="6"/>
        <v>60</v>
      </c>
      <c r="N38" s="64">
        <f t="shared" si="7"/>
        <v>45</v>
      </c>
      <c r="O38" s="64">
        <f t="shared" si="8"/>
        <v>20</v>
      </c>
      <c r="P38" s="65">
        <f t="shared" si="9"/>
        <v>0</v>
      </c>
      <c r="Q38" s="65">
        <f t="shared" si="10"/>
        <v>0</v>
      </c>
      <c r="R38" s="65">
        <f t="shared" si="11"/>
        <v>0</v>
      </c>
      <c r="S38" s="65">
        <f t="shared" si="12"/>
        <v>0</v>
      </c>
      <c r="T38" s="60">
        <f t="shared" si="13"/>
        <v>118.30357142857142</v>
      </c>
      <c r="U38" s="59">
        <f>IF(G7="Yes",M71*(P38+Q38+R38+S38) / 4,M71*((P38*(1-($F$60/100))) + (Q38*(1-($F$61/100))) + (R38*(1-($F$62/100))) + (S38*(1-($F$63/100)))) / 4)</f>
        <v>0</v>
      </c>
      <c r="V38" s="142">
        <f>T38</f>
        <v>118.30357142857142</v>
      </c>
      <c r="W38" s="147">
        <f t="shared" si="14"/>
        <v>0.4955970339502957</v>
      </c>
      <c r="X38" s="1"/>
    </row>
    <row r="39" spans="1:24" ht="15.75" customHeight="1" thickTop="1" thickBot="1">
      <c r="A39" s="61" t="s">
        <v>27</v>
      </c>
      <c r="B39" s="62">
        <v>125</v>
      </c>
      <c r="C39" s="63">
        <v>2000</v>
      </c>
      <c r="D39" s="64">
        <v>255</v>
      </c>
      <c r="E39" s="64">
        <v>8</v>
      </c>
      <c r="F39" s="64">
        <v>8</v>
      </c>
      <c r="G39" s="64">
        <v>8</v>
      </c>
      <c r="H39" s="63">
        <v>255</v>
      </c>
      <c r="I39" s="63">
        <v>255</v>
      </c>
      <c r="J39" s="63">
        <v>255</v>
      </c>
      <c r="K39" s="63">
        <v>255</v>
      </c>
      <c r="L39" s="64">
        <f t="shared" si="5"/>
        <v>125</v>
      </c>
      <c r="M39" s="64">
        <f t="shared" si="6"/>
        <v>4</v>
      </c>
      <c r="N39" s="64">
        <f t="shared" si="7"/>
        <v>4</v>
      </c>
      <c r="O39" s="64">
        <f t="shared" si="8"/>
        <v>4</v>
      </c>
      <c r="P39" s="117">
        <f t="shared" si="9"/>
        <v>1992</v>
      </c>
      <c r="Q39" s="117">
        <f t="shared" si="10"/>
        <v>1992</v>
      </c>
      <c r="R39" s="117">
        <f t="shared" si="11"/>
        <v>1992</v>
      </c>
      <c r="S39" s="117">
        <f t="shared" si="12"/>
        <v>1992</v>
      </c>
      <c r="T39" s="60">
        <f t="shared" si="13"/>
        <v>271.71428571428572</v>
      </c>
      <c r="U39" s="118">
        <f>M72*((P39+Q39+R39+S39)/4)</f>
        <v>3984</v>
      </c>
      <c r="V39" s="143">
        <f>((T39 * (D60 / 100) + U39 * (1 - (D60 / 100))) + (T39 * (D61 / 100) + U39 * (1 - (D61 / 100))) + (T39 * (D62 / 100) + U39 * (1 - (D62 / 100))) + (T39 * (D63 / 100) + U39 * (1 - (D63 / 100))))/ 4</f>
        <v>1778.0456043956046</v>
      </c>
      <c r="W39" s="147">
        <f t="shared" si="14"/>
        <v>7.4485843252742736</v>
      </c>
      <c r="X39" s="1"/>
    </row>
    <row r="40" spans="1:24" ht="15.75" customHeight="1" thickTop="1" thickBot="1">
      <c r="A40" s="66" t="s">
        <v>29</v>
      </c>
      <c r="B40" s="62">
        <v>15</v>
      </c>
      <c r="C40" s="63">
        <v>0</v>
      </c>
      <c r="D40" s="64">
        <v>255</v>
      </c>
      <c r="E40" s="64">
        <v>128</v>
      </c>
      <c r="F40" s="64">
        <v>144</v>
      </c>
      <c r="G40" s="64">
        <v>64</v>
      </c>
      <c r="H40" s="63">
        <v>0</v>
      </c>
      <c r="I40" s="63">
        <v>0</v>
      </c>
      <c r="J40" s="63">
        <v>0</v>
      </c>
      <c r="K40" s="63">
        <v>0</v>
      </c>
      <c r="L40" s="64">
        <f t="shared" si="5"/>
        <v>15</v>
      </c>
      <c r="M40" s="64">
        <f t="shared" si="6"/>
        <v>8</v>
      </c>
      <c r="N40" s="64">
        <f t="shared" si="7"/>
        <v>8</v>
      </c>
      <c r="O40" s="64">
        <f t="shared" si="8"/>
        <v>4</v>
      </c>
      <c r="P40" s="65">
        <f t="shared" si="9"/>
        <v>0</v>
      </c>
      <c r="Q40" s="65">
        <f t="shared" si="10"/>
        <v>0</v>
      </c>
      <c r="R40" s="65">
        <f t="shared" si="11"/>
        <v>0</v>
      </c>
      <c r="S40" s="65">
        <f t="shared" si="12"/>
        <v>0</v>
      </c>
      <c r="T40" s="60">
        <f t="shared" si="13"/>
        <v>135.42857142857142</v>
      </c>
      <c r="U40" s="59">
        <f t="shared" ref="U40:U53" si="15">IF(G9="Yes",M73*(P40+Q40+R40+S40) / 4,M73*((P40*(1-($F$60/100))) + (Q40*(1-($F$61/100))) + (R40*(1-($F$62/100))) + (S40*(1-($F$63/100)))) / 4)</f>
        <v>0</v>
      </c>
      <c r="V40" s="142">
        <f>T40</f>
        <v>135.42857142857142</v>
      </c>
      <c r="W40" s="147">
        <f t="shared" si="14"/>
        <v>0.56733704233645921</v>
      </c>
      <c r="X40" s="1"/>
    </row>
    <row r="41" spans="1:24" ht="15.75" customHeight="1" thickTop="1" thickBot="1">
      <c r="A41" s="67" t="s">
        <v>31</v>
      </c>
      <c r="B41" s="62">
        <v>15</v>
      </c>
      <c r="C41" s="63">
        <v>0</v>
      </c>
      <c r="D41" s="64">
        <v>255</v>
      </c>
      <c r="E41" s="64">
        <v>128</v>
      </c>
      <c r="F41" s="64">
        <v>144</v>
      </c>
      <c r="G41" s="64">
        <v>64</v>
      </c>
      <c r="H41" s="63">
        <v>0</v>
      </c>
      <c r="I41" s="63">
        <v>0</v>
      </c>
      <c r="J41" s="63">
        <v>0</v>
      </c>
      <c r="K41" s="63">
        <v>0</v>
      </c>
      <c r="L41" s="64">
        <f t="shared" si="5"/>
        <v>15</v>
      </c>
      <c r="M41" s="64">
        <f t="shared" si="6"/>
        <v>8</v>
      </c>
      <c r="N41" s="64">
        <f t="shared" si="7"/>
        <v>8</v>
      </c>
      <c r="O41" s="64">
        <f t="shared" si="8"/>
        <v>4</v>
      </c>
      <c r="P41" s="65">
        <f t="shared" si="9"/>
        <v>0</v>
      </c>
      <c r="Q41" s="65">
        <f t="shared" si="10"/>
        <v>0</v>
      </c>
      <c r="R41" s="65">
        <f t="shared" si="11"/>
        <v>0</v>
      </c>
      <c r="S41" s="65">
        <f t="shared" si="12"/>
        <v>0</v>
      </c>
      <c r="T41" s="60">
        <f t="shared" si="13"/>
        <v>122.73214285714285</v>
      </c>
      <c r="U41" s="59">
        <f t="shared" si="15"/>
        <v>0</v>
      </c>
      <c r="V41" s="142">
        <f>T41</f>
        <v>122.73214285714285</v>
      </c>
      <c r="W41" s="147">
        <f t="shared" si="14"/>
        <v>0.51414919461741626</v>
      </c>
      <c r="X41" s="1"/>
    </row>
    <row r="42" spans="1:24" ht="15.75" customHeight="1" thickTop="1" thickBot="1">
      <c r="A42" s="67" t="s">
        <v>33</v>
      </c>
      <c r="B42" s="62">
        <v>30</v>
      </c>
      <c r="C42" s="63">
        <v>0</v>
      </c>
      <c r="D42" s="64">
        <v>64</v>
      </c>
      <c r="E42" s="64">
        <v>192</v>
      </c>
      <c r="F42" s="64">
        <v>192</v>
      </c>
      <c r="G42" s="64">
        <v>255</v>
      </c>
      <c r="H42" s="63">
        <v>0</v>
      </c>
      <c r="I42" s="63">
        <v>0</v>
      </c>
      <c r="J42" s="63">
        <v>0</v>
      </c>
      <c r="K42" s="63">
        <v>0</v>
      </c>
      <c r="L42" s="64">
        <f t="shared" si="5"/>
        <v>8</v>
      </c>
      <c r="M42" s="64">
        <f t="shared" si="6"/>
        <v>23</v>
      </c>
      <c r="N42" s="64">
        <f t="shared" si="7"/>
        <v>23</v>
      </c>
      <c r="O42" s="64">
        <f t="shared" si="8"/>
        <v>30</v>
      </c>
      <c r="P42" s="65">
        <f t="shared" si="9"/>
        <v>0</v>
      </c>
      <c r="Q42" s="65">
        <f t="shared" si="10"/>
        <v>0</v>
      </c>
      <c r="R42" s="65">
        <f t="shared" si="11"/>
        <v>0</v>
      </c>
      <c r="S42" s="65">
        <f t="shared" si="12"/>
        <v>0</v>
      </c>
      <c r="T42" s="60">
        <f t="shared" si="13"/>
        <v>122.57142857142857</v>
      </c>
      <c r="U42" s="59">
        <f t="shared" si="15"/>
        <v>0</v>
      </c>
      <c r="V42" s="142">
        <f>T42</f>
        <v>122.57142857142857</v>
      </c>
      <c r="W42" s="147">
        <f t="shared" si="14"/>
        <v>0.51347593072223852</v>
      </c>
      <c r="X42" s="1"/>
    </row>
    <row r="43" spans="1:24" ht="15.75" customHeight="1" thickTop="1" thickBot="1">
      <c r="A43" s="67" t="s">
        <v>35</v>
      </c>
      <c r="B43" s="62">
        <v>75</v>
      </c>
      <c r="C43" s="63">
        <v>0</v>
      </c>
      <c r="D43" s="64">
        <v>224</v>
      </c>
      <c r="E43" s="64">
        <v>192</v>
      </c>
      <c r="F43" s="64">
        <v>144</v>
      </c>
      <c r="G43" s="64">
        <v>64</v>
      </c>
      <c r="H43" s="63">
        <v>0</v>
      </c>
      <c r="I43" s="63">
        <v>0</v>
      </c>
      <c r="J43" s="63">
        <v>0</v>
      </c>
      <c r="K43" s="63">
        <v>0</v>
      </c>
      <c r="L43" s="64">
        <f t="shared" si="5"/>
        <v>66</v>
      </c>
      <c r="M43" s="64">
        <f t="shared" si="6"/>
        <v>56</v>
      </c>
      <c r="N43" s="64">
        <f t="shared" si="7"/>
        <v>42</v>
      </c>
      <c r="O43" s="64">
        <f t="shared" si="8"/>
        <v>19</v>
      </c>
      <c r="P43" s="65">
        <f t="shared" si="9"/>
        <v>0</v>
      </c>
      <c r="Q43" s="65">
        <f t="shared" si="10"/>
        <v>0</v>
      </c>
      <c r="R43" s="65">
        <f t="shared" si="11"/>
        <v>0</v>
      </c>
      <c r="S43" s="65">
        <f t="shared" si="12"/>
        <v>0</v>
      </c>
      <c r="T43" s="60">
        <f t="shared" si="13"/>
        <v>366</v>
      </c>
      <c r="U43" s="59">
        <f t="shared" si="15"/>
        <v>0</v>
      </c>
      <c r="V43" s="142">
        <f>T43</f>
        <v>366</v>
      </c>
      <c r="W43" s="147">
        <f t="shared" si="14"/>
        <v>1.5332463106181526</v>
      </c>
      <c r="X43" s="1"/>
    </row>
    <row r="44" spans="1:24" ht="15.75" customHeight="1" thickTop="1" thickBot="1">
      <c r="A44" s="67" t="s">
        <v>37</v>
      </c>
      <c r="B44" s="62">
        <v>40</v>
      </c>
      <c r="C44" s="63">
        <v>75</v>
      </c>
      <c r="D44" s="64">
        <v>64</v>
      </c>
      <c r="E44" s="64">
        <v>192</v>
      </c>
      <c r="F44" s="64">
        <v>192</v>
      </c>
      <c r="G44" s="64">
        <v>255</v>
      </c>
      <c r="H44" s="63">
        <v>224</v>
      </c>
      <c r="I44" s="63">
        <v>192</v>
      </c>
      <c r="J44" s="63">
        <v>144</v>
      </c>
      <c r="K44" s="63">
        <v>64</v>
      </c>
      <c r="L44" s="64">
        <f t="shared" si="5"/>
        <v>10</v>
      </c>
      <c r="M44" s="64">
        <f t="shared" si="6"/>
        <v>30</v>
      </c>
      <c r="N44" s="64">
        <f t="shared" si="7"/>
        <v>30</v>
      </c>
      <c r="O44" s="64">
        <f t="shared" si="8"/>
        <v>40</v>
      </c>
      <c r="P44" s="65">
        <f t="shared" si="9"/>
        <v>66</v>
      </c>
      <c r="Q44" s="65">
        <f t="shared" si="10"/>
        <v>56</v>
      </c>
      <c r="R44" s="65">
        <f t="shared" si="11"/>
        <v>42</v>
      </c>
      <c r="S44" s="65">
        <f t="shared" si="12"/>
        <v>19</v>
      </c>
      <c r="T44" s="60">
        <f t="shared" si="13"/>
        <v>96.25</v>
      </c>
      <c r="U44" s="59">
        <f t="shared" si="15"/>
        <v>114.375</v>
      </c>
      <c r="V44" s="144">
        <f>(I61+J61+K61+(L60 * (1-(F63/100)) + L61 * F63/100))/4</f>
        <v>130.89285714285714</v>
      </c>
      <c r="W44" s="147">
        <f t="shared" si="14"/>
        <v>0.54833603907255357</v>
      </c>
      <c r="X44" s="1"/>
    </row>
    <row r="45" spans="1:24" ht="15.75" customHeight="1" thickTop="1" thickBot="1">
      <c r="A45" s="67" t="s">
        <v>39</v>
      </c>
      <c r="B45" s="62">
        <v>15</v>
      </c>
      <c r="C45" s="63">
        <v>0</v>
      </c>
      <c r="D45" s="64">
        <v>255</v>
      </c>
      <c r="E45" s="64">
        <v>128</v>
      </c>
      <c r="F45" s="64">
        <v>144</v>
      </c>
      <c r="G45" s="64">
        <v>64</v>
      </c>
      <c r="H45" s="63">
        <v>0</v>
      </c>
      <c r="I45" s="63">
        <v>0</v>
      </c>
      <c r="J45" s="63">
        <v>0</v>
      </c>
      <c r="K45" s="63">
        <v>0</v>
      </c>
      <c r="L45" s="64">
        <f t="shared" si="5"/>
        <v>15</v>
      </c>
      <c r="M45" s="64">
        <f t="shared" si="6"/>
        <v>8</v>
      </c>
      <c r="N45" s="64">
        <f t="shared" si="7"/>
        <v>8</v>
      </c>
      <c r="O45" s="64">
        <f t="shared" si="8"/>
        <v>4</v>
      </c>
      <c r="P45" s="65">
        <f t="shared" si="9"/>
        <v>0</v>
      </c>
      <c r="Q45" s="65">
        <f t="shared" si="10"/>
        <v>0</v>
      </c>
      <c r="R45" s="65">
        <f t="shared" si="11"/>
        <v>0</v>
      </c>
      <c r="S45" s="65">
        <f t="shared" si="12"/>
        <v>0</v>
      </c>
      <c r="T45" s="60">
        <f t="shared" si="13"/>
        <v>135.42857142857142</v>
      </c>
      <c r="U45" s="59">
        <f t="shared" si="15"/>
        <v>0</v>
      </c>
      <c r="V45" s="145">
        <f t="shared" ref="V45:V53" si="16">T45</f>
        <v>135.42857142857142</v>
      </c>
      <c r="W45" s="147">
        <f t="shared" si="14"/>
        <v>0.56733704233645921</v>
      </c>
      <c r="X45" s="1"/>
    </row>
    <row r="46" spans="1:24" ht="15.75" customHeight="1" thickTop="1" thickBot="1">
      <c r="A46" s="67" t="s">
        <v>41</v>
      </c>
      <c r="B46" s="62">
        <v>30</v>
      </c>
      <c r="C46" s="63">
        <v>0</v>
      </c>
      <c r="D46" s="64">
        <v>64</v>
      </c>
      <c r="E46" s="64">
        <v>192</v>
      </c>
      <c r="F46" s="64">
        <v>192</v>
      </c>
      <c r="G46" s="64">
        <v>255</v>
      </c>
      <c r="H46" s="63">
        <v>0</v>
      </c>
      <c r="I46" s="63">
        <v>0</v>
      </c>
      <c r="J46" s="63">
        <v>0</v>
      </c>
      <c r="K46" s="63">
        <v>0</v>
      </c>
      <c r="L46" s="64">
        <f t="shared" si="5"/>
        <v>8</v>
      </c>
      <c r="M46" s="64">
        <f t="shared" si="6"/>
        <v>23</v>
      </c>
      <c r="N46" s="64">
        <f t="shared" si="7"/>
        <v>23</v>
      </c>
      <c r="O46" s="64">
        <f t="shared" si="8"/>
        <v>30</v>
      </c>
      <c r="P46" s="65">
        <f t="shared" si="9"/>
        <v>0</v>
      </c>
      <c r="Q46" s="65">
        <f t="shared" si="10"/>
        <v>0</v>
      </c>
      <c r="R46" s="65">
        <f t="shared" si="11"/>
        <v>0</v>
      </c>
      <c r="S46" s="65">
        <f t="shared" si="12"/>
        <v>0</v>
      </c>
      <c r="T46" s="60">
        <f t="shared" si="13"/>
        <v>199.5</v>
      </c>
      <c r="U46" s="59">
        <f t="shared" si="15"/>
        <v>0</v>
      </c>
      <c r="V46" s="142">
        <f t="shared" si="16"/>
        <v>199.5</v>
      </c>
      <c r="W46" s="147">
        <f t="shared" si="14"/>
        <v>0.83574491521399308</v>
      </c>
      <c r="X46" s="1"/>
    </row>
    <row r="47" spans="1:24" ht="15.75" customHeight="1" thickTop="1" thickBot="1">
      <c r="A47" s="67" t="s">
        <v>43</v>
      </c>
      <c r="B47" s="62">
        <v>150</v>
      </c>
      <c r="C47" s="63">
        <v>0</v>
      </c>
      <c r="D47" s="64">
        <v>224</v>
      </c>
      <c r="E47" s="64">
        <v>192</v>
      </c>
      <c r="F47" s="64">
        <v>144</v>
      </c>
      <c r="G47" s="64">
        <v>64</v>
      </c>
      <c r="H47" s="63">
        <v>0</v>
      </c>
      <c r="I47" s="63">
        <v>0</v>
      </c>
      <c r="J47" s="63">
        <v>0</v>
      </c>
      <c r="K47" s="63">
        <v>0</v>
      </c>
      <c r="L47" s="64">
        <f t="shared" si="5"/>
        <v>131</v>
      </c>
      <c r="M47" s="64">
        <f t="shared" si="6"/>
        <v>113</v>
      </c>
      <c r="N47" s="64">
        <f t="shared" si="7"/>
        <v>84</v>
      </c>
      <c r="O47" s="64">
        <f t="shared" si="8"/>
        <v>38</v>
      </c>
      <c r="P47" s="65">
        <f t="shared" si="9"/>
        <v>0</v>
      </c>
      <c r="Q47" s="65">
        <f t="shared" si="10"/>
        <v>0</v>
      </c>
      <c r="R47" s="65">
        <f t="shared" si="11"/>
        <v>0</v>
      </c>
      <c r="S47" s="65">
        <f t="shared" si="12"/>
        <v>0</v>
      </c>
      <c r="T47" s="60">
        <f t="shared" si="13"/>
        <v>221.96428571428572</v>
      </c>
      <c r="U47" s="59">
        <f t="shared" si="15"/>
        <v>0</v>
      </c>
      <c r="V47" s="142">
        <f t="shared" si="16"/>
        <v>221.96428571428572</v>
      </c>
      <c r="W47" s="147">
        <f t="shared" si="14"/>
        <v>0.92985224633995112</v>
      </c>
      <c r="X47" s="1"/>
    </row>
    <row r="48" spans="1:24" ht="15.75" customHeight="1" thickTop="1" thickBot="1">
      <c r="A48" s="67" t="s">
        <v>45</v>
      </c>
      <c r="B48" s="62">
        <v>25</v>
      </c>
      <c r="C48" s="63">
        <v>0</v>
      </c>
      <c r="D48" s="64">
        <v>64</v>
      </c>
      <c r="E48" s="64">
        <v>192</v>
      </c>
      <c r="F48" s="64">
        <v>192</v>
      </c>
      <c r="G48" s="64">
        <v>255</v>
      </c>
      <c r="H48" s="63">
        <v>0</v>
      </c>
      <c r="I48" s="63">
        <v>0</v>
      </c>
      <c r="J48" s="63">
        <v>0</v>
      </c>
      <c r="K48" s="63">
        <v>0</v>
      </c>
      <c r="L48" s="64">
        <f t="shared" si="5"/>
        <v>6</v>
      </c>
      <c r="M48" s="64">
        <f t="shared" si="6"/>
        <v>19</v>
      </c>
      <c r="N48" s="64">
        <f t="shared" si="7"/>
        <v>19</v>
      </c>
      <c r="O48" s="64">
        <f t="shared" si="8"/>
        <v>25</v>
      </c>
      <c r="P48" s="65">
        <f t="shared" si="9"/>
        <v>0</v>
      </c>
      <c r="Q48" s="65">
        <f t="shared" si="10"/>
        <v>0</v>
      </c>
      <c r="R48" s="65">
        <f t="shared" si="11"/>
        <v>0</v>
      </c>
      <c r="S48" s="65">
        <f t="shared" si="12"/>
        <v>0</v>
      </c>
      <c r="T48" s="60">
        <f t="shared" si="13"/>
        <v>77.321428571428584</v>
      </c>
      <c r="U48" s="59">
        <f t="shared" si="15"/>
        <v>0</v>
      </c>
      <c r="V48" s="142">
        <f t="shared" si="16"/>
        <v>77.321428571428584</v>
      </c>
      <c r="W48" s="147">
        <f t="shared" si="14"/>
        <v>0.32391474067996695</v>
      </c>
      <c r="X48" s="1"/>
    </row>
    <row r="49" spans="1:26" ht="15.75" customHeight="1" thickTop="1" thickBot="1">
      <c r="A49" s="67" t="s">
        <v>47</v>
      </c>
      <c r="B49" s="62">
        <v>50</v>
      </c>
      <c r="C49" s="63">
        <v>0</v>
      </c>
      <c r="D49" s="64">
        <v>224</v>
      </c>
      <c r="E49" s="64">
        <v>255</v>
      </c>
      <c r="F49" s="64">
        <v>176</v>
      </c>
      <c r="G49" s="64">
        <v>64</v>
      </c>
      <c r="H49" s="63">
        <v>0</v>
      </c>
      <c r="I49" s="63">
        <v>0</v>
      </c>
      <c r="J49" s="63">
        <v>0</v>
      </c>
      <c r="K49" s="63">
        <v>0</v>
      </c>
      <c r="L49" s="64">
        <f t="shared" si="5"/>
        <v>44</v>
      </c>
      <c r="M49" s="64">
        <f t="shared" si="6"/>
        <v>50</v>
      </c>
      <c r="N49" s="64">
        <f t="shared" si="7"/>
        <v>34</v>
      </c>
      <c r="O49" s="64">
        <f t="shared" si="8"/>
        <v>13</v>
      </c>
      <c r="P49" s="65">
        <f t="shared" si="9"/>
        <v>0</v>
      </c>
      <c r="Q49" s="65">
        <f t="shared" si="10"/>
        <v>0</v>
      </c>
      <c r="R49" s="65">
        <f t="shared" si="11"/>
        <v>0</v>
      </c>
      <c r="S49" s="65">
        <f t="shared" si="12"/>
        <v>0</v>
      </c>
      <c r="T49" s="60">
        <f t="shared" si="13"/>
        <v>274.57142857142856</v>
      </c>
      <c r="U49" s="59">
        <f t="shared" si="15"/>
        <v>0</v>
      </c>
      <c r="V49" s="142">
        <f t="shared" si="16"/>
        <v>274.57142857142856</v>
      </c>
      <c r="W49" s="147">
        <f t="shared" si="14"/>
        <v>1.1502339613614712</v>
      </c>
      <c r="X49" s="1"/>
    </row>
    <row r="50" spans="1:26" ht="15.75" customHeight="1" thickTop="1" thickBot="1">
      <c r="A50" s="67" t="s">
        <v>49</v>
      </c>
      <c r="B50" s="62">
        <v>30</v>
      </c>
      <c r="C50" s="63">
        <v>0</v>
      </c>
      <c r="D50" s="64">
        <v>64</v>
      </c>
      <c r="E50" s="64">
        <v>192</v>
      </c>
      <c r="F50" s="64">
        <v>192</v>
      </c>
      <c r="G50" s="64">
        <v>255</v>
      </c>
      <c r="H50" s="63">
        <v>0</v>
      </c>
      <c r="I50" s="63">
        <v>0</v>
      </c>
      <c r="J50" s="63">
        <v>0</v>
      </c>
      <c r="K50" s="63">
        <v>0</v>
      </c>
      <c r="L50" s="64">
        <f t="shared" si="5"/>
        <v>8</v>
      </c>
      <c r="M50" s="64">
        <f t="shared" si="6"/>
        <v>23</v>
      </c>
      <c r="N50" s="64">
        <f t="shared" si="7"/>
        <v>23</v>
      </c>
      <c r="O50" s="64">
        <f t="shared" si="8"/>
        <v>30</v>
      </c>
      <c r="P50" s="65">
        <f t="shared" si="9"/>
        <v>0</v>
      </c>
      <c r="Q50" s="65">
        <f t="shared" si="10"/>
        <v>0</v>
      </c>
      <c r="R50" s="65">
        <f t="shared" si="11"/>
        <v>0</v>
      </c>
      <c r="S50" s="65">
        <f t="shared" si="12"/>
        <v>0</v>
      </c>
      <c r="T50" s="60">
        <f t="shared" si="13"/>
        <v>241.5</v>
      </c>
      <c r="U50" s="59">
        <f t="shared" si="15"/>
        <v>0</v>
      </c>
      <c r="V50" s="142">
        <f t="shared" si="16"/>
        <v>241.5</v>
      </c>
      <c r="W50" s="147">
        <f t="shared" si="14"/>
        <v>1.0116912131537812</v>
      </c>
      <c r="X50" s="1"/>
    </row>
    <row r="51" spans="1:26" ht="15.75" customHeight="1" thickTop="1" thickBot="1">
      <c r="A51" s="68" t="s">
        <v>51</v>
      </c>
      <c r="B51" s="62">
        <v>100</v>
      </c>
      <c r="C51" s="63">
        <v>0</v>
      </c>
      <c r="D51" s="64">
        <v>224</v>
      </c>
      <c r="E51" s="64">
        <v>255</v>
      </c>
      <c r="F51" s="64">
        <v>176</v>
      </c>
      <c r="G51" s="64">
        <v>64</v>
      </c>
      <c r="H51" s="63">
        <v>0</v>
      </c>
      <c r="I51" s="63">
        <v>0</v>
      </c>
      <c r="J51" s="63">
        <v>0</v>
      </c>
      <c r="K51" s="63">
        <v>0</v>
      </c>
      <c r="L51" s="64">
        <f t="shared" si="5"/>
        <v>88</v>
      </c>
      <c r="M51" s="64">
        <f t="shared" si="6"/>
        <v>100</v>
      </c>
      <c r="N51" s="64">
        <f t="shared" si="7"/>
        <v>69</v>
      </c>
      <c r="O51" s="64">
        <f t="shared" si="8"/>
        <v>25</v>
      </c>
      <c r="P51" s="65">
        <f t="shared" si="9"/>
        <v>0</v>
      </c>
      <c r="Q51" s="65">
        <f t="shared" si="10"/>
        <v>0</v>
      </c>
      <c r="R51" s="65">
        <f t="shared" si="11"/>
        <v>0</v>
      </c>
      <c r="S51" s="65">
        <f t="shared" si="12"/>
        <v>0</v>
      </c>
      <c r="T51" s="60">
        <f t="shared" si="13"/>
        <v>171.78571428571428</v>
      </c>
      <c r="U51" s="59">
        <f t="shared" si="15"/>
        <v>0</v>
      </c>
      <c r="V51" s="142">
        <f t="shared" si="16"/>
        <v>171.78571428571428</v>
      </c>
      <c r="W51" s="147">
        <f t="shared" si="14"/>
        <v>0.71964429684556153</v>
      </c>
      <c r="X51" s="1"/>
    </row>
    <row r="52" spans="1:26" ht="15.75" customHeight="1" thickTop="1" thickBot="1">
      <c r="A52" s="69" t="s">
        <v>53</v>
      </c>
      <c r="B52" s="62">
        <v>30</v>
      </c>
      <c r="C52" s="63">
        <v>0</v>
      </c>
      <c r="D52" s="64">
        <v>64</v>
      </c>
      <c r="E52" s="64">
        <v>192</v>
      </c>
      <c r="F52" s="64">
        <v>192</v>
      </c>
      <c r="G52" s="64">
        <v>255</v>
      </c>
      <c r="H52" s="63">
        <v>0</v>
      </c>
      <c r="I52" s="63">
        <v>0</v>
      </c>
      <c r="J52" s="63">
        <v>0</v>
      </c>
      <c r="K52" s="63">
        <v>0</v>
      </c>
      <c r="L52" s="64">
        <f t="shared" si="5"/>
        <v>8</v>
      </c>
      <c r="M52" s="64">
        <f t="shared" si="6"/>
        <v>23</v>
      </c>
      <c r="N52" s="64">
        <f t="shared" si="7"/>
        <v>23</v>
      </c>
      <c r="O52" s="64">
        <f t="shared" si="8"/>
        <v>30</v>
      </c>
      <c r="P52" s="65">
        <f t="shared" si="9"/>
        <v>0</v>
      </c>
      <c r="Q52" s="65">
        <f t="shared" si="10"/>
        <v>0</v>
      </c>
      <c r="R52" s="65">
        <f t="shared" si="11"/>
        <v>0</v>
      </c>
      <c r="S52" s="65">
        <f t="shared" si="12"/>
        <v>0</v>
      </c>
      <c r="T52" s="60">
        <f t="shared" si="13"/>
        <v>126</v>
      </c>
      <c r="U52" s="59">
        <f t="shared" si="15"/>
        <v>0</v>
      </c>
      <c r="V52" s="142">
        <f t="shared" si="16"/>
        <v>126</v>
      </c>
      <c r="W52" s="147">
        <f t="shared" si="14"/>
        <v>0.527838893819364</v>
      </c>
      <c r="X52" s="1"/>
    </row>
    <row r="53" spans="1:26" ht="15.75" customHeight="1" thickTop="1" thickBot="1">
      <c r="A53" s="70" t="s">
        <v>54</v>
      </c>
      <c r="B53" s="71">
        <v>25</v>
      </c>
      <c r="C53" s="72">
        <v>0</v>
      </c>
      <c r="D53" s="73">
        <v>224</v>
      </c>
      <c r="E53" s="73">
        <v>192</v>
      </c>
      <c r="F53" s="73">
        <v>144</v>
      </c>
      <c r="G53" s="73">
        <v>64</v>
      </c>
      <c r="H53" s="72">
        <v>0</v>
      </c>
      <c r="I53" s="72">
        <v>0</v>
      </c>
      <c r="J53" s="72">
        <v>0</v>
      </c>
      <c r="K53" s="72">
        <v>0</v>
      </c>
      <c r="L53" s="73">
        <f t="shared" si="5"/>
        <v>22</v>
      </c>
      <c r="M53" s="73">
        <f t="shared" si="6"/>
        <v>19</v>
      </c>
      <c r="N53" s="73">
        <f t="shared" si="7"/>
        <v>14</v>
      </c>
      <c r="O53" s="73">
        <f t="shared" si="8"/>
        <v>6</v>
      </c>
      <c r="P53" s="74">
        <f t="shared" si="9"/>
        <v>0</v>
      </c>
      <c r="Q53" s="74">
        <f t="shared" si="10"/>
        <v>0</v>
      </c>
      <c r="R53" s="74">
        <f t="shared" si="11"/>
        <v>0</v>
      </c>
      <c r="S53" s="74">
        <f t="shared" si="12"/>
        <v>0</v>
      </c>
      <c r="T53" s="60">
        <f t="shared" si="13"/>
        <v>222.32142857142856</v>
      </c>
      <c r="U53" s="59">
        <f t="shared" si="15"/>
        <v>0</v>
      </c>
      <c r="V53" s="146">
        <f t="shared" si="16"/>
        <v>222.32142857142856</v>
      </c>
      <c r="W53" s="147">
        <f t="shared" si="14"/>
        <v>0.93134838832923494</v>
      </c>
      <c r="X53" s="1"/>
    </row>
    <row r="54" spans="1:26" ht="15.75" customHeight="1" thickTop="1" thickBot="1">
      <c r="A54" s="75" t="s">
        <v>52</v>
      </c>
      <c r="B54" s="177" t="str">
        <f>REPT("/", 1000)</f>
        <v>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9"/>
      <c r="V54" s="76">
        <f>AVERAGE(V34:V53)</f>
        <v>238.70919986263738</v>
      </c>
      <c r="W54" s="77" t="str">
        <f>REPT("/", 800)</f>
        <v>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</v>
      </c>
      <c r="X54" s="1"/>
    </row>
    <row r="55" spans="1:26" ht="15.75" customHeight="1" thickTop="1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7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1"/>
      <c r="Y55" s="1"/>
      <c r="Z55" s="1"/>
    </row>
    <row r="56" spans="1:26" ht="15.75" customHeight="1" thickTop="1" thickBot="1">
      <c r="A56" s="78" t="s">
        <v>65</v>
      </c>
      <c r="B56" s="91">
        <v>20</v>
      </c>
      <c r="C56" s="3"/>
      <c r="D56" s="3"/>
      <c r="E56" s="3"/>
      <c r="F56" s="3"/>
      <c r="G56" s="3"/>
      <c r="H56" s="3"/>
      <c r="I56" s="3"/>
      <c r="J56" s="3"/>
      <c r="K56" s="3"/>
      <c r="L56" s="7"/>
      <c r="M56" s="3"/>
      <c r="N56" s="3"/>
      <c r="O56" s="3"/>
      <c r="P56" s="3"/>
      <c r="Q56" s="3"/>
      <c r="R56" s="3"/>
      <c r="S56" s="3"/>
      <c r="T56" s="3"/>
      <c r="U56" s="165" t="s">
        <v>97</v>
      </c>
      <c r="V56" s="165"/>
      <c r="W56" s="165"/>
      <c r="X56" s="1"/>
      <c r="Y56" s="1"/>
      <c r="Z56" s="1"/>
    </row>
    <row r="57" spans="1:26" ht="15.75" customHeight="1" thickTop="1" thickBot="1">
      <c r="A57" s="78" t="s">
        <v>66</v>
      </c>
      <c r="B57" s="92">
        <v>19</v>
      </c>
      <c r="C57" s="3"/>
      <c r="D57" s="3"/>
      <c r="E57" s="3"/>
      <c r="F57" s="3"/>
      <c r="G57" s="3"/>
      <c r="H57" s="3"/>
      <c r="I57" s="3"/>
      <c r="J57" s="3"/>
      <c r="K57" s="3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"/>
      <c r="Y57" s="1"/>
      <c r="Z57" s="1"/>
    </row>
    <row r="58" spans="1:26" ht="15.75" customHeight="1" thickTop="1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7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1"/>
      <c r="Y58" s="1"/>
      <c r="Z58" s="1"/>
    </row>
    <row r="59" spans="1:26" ht="15.75" customHeight="1" thickTop="1" thickBot="1">
      <c r="A59" s="79" t="str">
        <f>REPT("/", 1000)</f>
        <v>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</v>
      </c>
      <c r="B59" s="80" t="s">
        <v>62</v>
      </c>
      <c r="C59" s="79" t="s">
        <v>67</v>
      </c>
      <c r="D59" s="79" t="s">
        <v>68</v>
      </c>
      <c r="E59" s="79" t="s">
        <v>69</v>
      </c>
      <c r="F59" s="79" t="s">
        <v>70</v>
      </c>
      <c r="G59" s="3"/>
      <c r="H59" s="89" t="s">
        <v>110</v>
      </c>
      <c r="I59" s="89" t="s">
        <v>111</v>
      </c>
      <c r="J59" s="89" t="s">
        <v>112</v>
      </c>
      <c r="K59" s="89" t="s">
        <v>113</v>
      </c>
      <c r="L59" s="89" t="s">
        <v>114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"/>
      <c r="Y59" s="1"/>
      <c r="Z59" s="1"/>
    </row>
    <row r="60" spans="1:26" ht="15.75" customHeight="1" thickTop="1" thickBot="1">
      <c r="A60" s="81" t="s">
        <v>71</v>
      </c>
      <c r="B60" s="108">
        <v>6</v>
      </c>
      <c r="C60" s="109">
        <v>0</v>
      </c>
      <c r="D60" s="109">
        <f>B60 / (B60+C60) * 100</f>
        <v>100</v>
      </c>
      <c r="E60" s="109">
        <v>0</v>
      </c>
      <c r="F60" s="110">
        <f>E60/B60*100</f>
        <v>0</v>
      </c>
      <c r="G60" s="3"/>
      <c r="H60" s="90" t="s">
        <v>115</v>
      </c>
      <c r="I60" s="105">
        <f>L44 * J77</f>
        <v>35</v>
      </c>
      <c r="J60" s="106">
        <f>M44 * J77</f>
        <v>105</v>
      </c>
      <c r="K60" s="106">
        <f>N44 * J77</f>
        <v>105</v>
      </c>
      <c r="L60" s="107">
        <f>O44 * J77</f>
        <v>140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"/>
      <c r="Y60" s="1"/>
      <c r="Z60" s="1"/>
    </row>
    <row r="61" spans="1:26" ht="15.75" customHeight="1" thickTop="1" thickBot="1">
      <c r="A61" s="82" t="s">
        <v>72</v>
      </c>
      <c r="B61" s="111">
        <v>1</v>
      </c>
      <c r="C61" s="112">
        <v>12</v>
      </c>
      <c r="D61" s="112">
        <f>B61 / (B61+C61) * 100</f>
        <v>7.6923076923076925</v>
      </c>
      <c r="E61" s="112">
        <v>0</v>
      </c>
      <c r="F61" s="113">
        <f>E61/B61*100</f>
        <v>0</v>
      </c>
      <c r="G61" s="3"/>
      <c r="H61" s="90" t="s">
        <v>116</v>
      </c>
      <c r="I61" s="102">
        <f>P44*M77</f>
        <v>165</v>
      </c>
      <c r="J61" s="103">
        <f>Q44*M77</f>
        <v>140</v>
      </c>
      <c r="K61" s="103">
        <f>R44*M77</f>
        <v>105</v>
      </c>
      <c r="L61" s="104">
        <f>S44*M77</f>
        <v>47.5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"/>
      <c r="Y61" s="1"/>
      <c r="Z61" s="1"/>
    </row>
    <row r="62" spans="1:26" ht="15.75" customHeight="1" thickTop="1" thickBot="1">
      <c r="A62" s="82" t="s">
        <v>73</v>
      </c>
      <c r="B62" s="111">
        <v>6</v>
      </c>
      <c r="C62" s="112">
        <v>4</v>
      </c>
      <c r="D62" s="112">
        <f>B62 / (B62+C62) * 100</f>
        <v>60</v>
      </c>
      <c r="E62" s="112">
        <v>0</v>
      </c>
      <c r="F62" s="113">
        <f>E62/B62*100</f>
        <v>0</v>
      </c>
      <c r="G62" s="3"/>
      <c r="H62" s="3"/>
      <c r="I62" s="3"/>
      <c r="J62" s="3"/>
      <c r="K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1"/>
      <c r="Y62" s="1"/>
      <c r="Z62" s="1"/>
    </row>
    <row r="63" spans="1:26" ht="15.75" customHeight="1" thickTop="1" thickBot="1">
      <c r="A63" s="82" t="s">
        <v>74</v>
      </c>
      <c r="B63" s="114">
        <v>7</v>
      </c>
      <c r="C63" s="115">
        <v>3</v>
      </c>
      <c r="D63" s="115">
        <f>B63 / (B63+C63) * 100</f>
        <v>70</v>
      </c>
      <c r="E63" s="115">
        <v>2</v>
      </c>
      <c r="F63" s="116">
        <f>E63/B63*100</f>
        <v>28.571428571428569</v>
      </c>
      <c r="G63" s="3"/>
      <c r="H63" s="3"/>
      <c r="I63" s="3"/>
      <c r="J63" s="3"/>
      <c r="K63" s="8"/>
      <c r="L63" s="7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"/>
      <c r="Y63" s="1"/>
      <c r="Z63" s="1"/>
    </row>
    <row r="64" spans="1:26" ht="15.75" customHeight="1" thickTop="1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8"/>
      <c r="L64" s="7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1"/>
      <c r="Y64" s="1"/>
      <c r="Z64" s="1"/>
    </row>
    <row r="65" spans="1:26" ht="30" customHeight="1" thickTop="1" thickBot="1">
      <c r="A65" s="174" t="s">
        <v>75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3"/>
      <c r="O65" s="3"/>
      <c r="P65" s="3"/>
      <c r="Q65" s="3"/>
      <c r="R65" s="3"/>
      <c r="S65" s="3"/>
      <c r="T65" s="3"/>
      <c r="U65" s="3"/>
      <c r="V65" s="3"/>
      <c r="W65" s="3"/>
      <c r="X65" s="1"/>
      <c r="Y65" s="1"/>
      <c r="Z65" s="1"/>
    </row>
    <row r="66" spans="1:26" ht="15.75" customHeight="1" thickTop="1" thickBot="1">
      <c r="A66" s="87" t="s">
        <v>1</v>
      </c>
      <c r="B66" s="83" t="s">
        <v>98</v>
      </c>
      <c r="C66" s="83" t="s">
        <v>99</v>
      </c>
      <c r="D66" s="83" t="s">
        <v>100</v>
      </c>
      <c r="E66" s="83" t="s">
        <v>101</v>
      </c>
      <c r="F66" s="83" t="s">
        <v>102</v>
      </c>
      <c r="G66" s="83" t="s">
        <v>103</v>
      </c>
      <c r="H66" s="83" t="s">
        <v>104</v>
      </c>
      <c r="I66" s="83" t="s">
        <v>105</v>
      </c>
      <c r="J66" s="84" t="s">
        <v>106</v>
      </c>
      <c r="K66" s="85" t="s">
        <v>107</v>
      </c>
      <c r="L66" s="128" t="s">
        <v>108</v>
      </c>
      <c r="M66" s="84" t="s">
        <v>109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1"/>
      <c r="Y66" s="1"/>
      <c r="Z66" s="1"/>
    </row>
    <row r="67" spans="1:26" ht="15.75" customHeight="1" thickTop="1" thickBot="1">
      <c r="A67" s="61" t="s">
        <v>15</v>
      </c>
      <c r="B67" s="12">
        <v>9</v>
      </c>
      <c r="C67" s="13">
        <v>1</v>
      </c>
      <c r="D67" s="13">
        <v>9</v>
      </c>
      <c r="E67" s="13">
        <v>2</v>
      </c>
      <c r="F67" s="13">
        <v>11</v>
      </c>
      <c r="G67" s="13">
        <v>4</v>
      </c>
      <c r="H67" s="13">
        <v>11</v>
      </c>
      <c r="I67" s="13">
        <v>4</v>
      </c>
      <c r="J67" s="21">
        <f t="shared" ref="J67:J72" si="17">AVERAGE(B67:I67)</f>
        <v>6.375</v>
      </c>
      <c r="K67" s="13">
        <v>0</v>
      </c>
      <c r="L67" s="129">
        <v>0</v>
      </c>
      <c r="M67" s="134">
        <f t="shared" ref="M67:M86" si="18">AVERAGE(K67:L67)</f>
        <v>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1"/>
      <c r="Y67" s="1"/>
      <c r="Z67" s="1"/>
    </row>
    <row r="68" spans="1:26" ht="15.75" customHeight="1" thickTop="1" thickBot="1">
      <c r="A68" s="61" t="s">
        <v>19</v>
      </c>
      <c r="B68" s="14">
        <v>5</v>
      </c>
      <c r="C68" s="15">
        <v>2</v>
      </c>
      <c r="D68" s="15">
        <v>5</v>
      </c>
      <c r="E68" s="15">
        <v>3</v>
      </c>
      <c r="F68" s="15">
        <v>5</v>
      </c>
      <c r="G68" s="15">
        <v>3</v>
      </c>
      <c r="H68" s="15">
        <v>5</v>
      </c>
      <c r="I68" s="15">
        <v>3</v>
      </c>
      <c r="J68" s="22">
        <f t="shared" si="17"/>
        <v>3.875</v>
      </c>
      <c r="K68" s="15">
        <v>0</v>
      </c>
      <c r="L68" s="130">
        <v>0</v>
      </c>
      <c r="M68" s="134">
        <f t="shared" si="18"/>
        <v>0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1"/>
      <c r="Y68" s="1"/>
      <c r="Z68" s="1"/>
    </row>
    <row r="69" spans="1:26" ht="15.75" customHeight="1" thickTop="1" thickBot="1">
      <c r="A69" s="61" t="s">
        <v>21</v>
      </c>
      <c r="B69" s="14">
        <v>2</v>
      </c>
      <c r="C69" s="15">
        <v>0</v>
      </c>
      <c r="D69" s="15">
        <v>2</v>
      </c>
      <c r="E69" s="15">
        <v>0</v>
      </c>
      <c r="F69" s="15">
        <v>4</v>
      </c>
      <c r="G69" s="15">
        <v>2</v>
      </c>
      <c r="H69" s="15">
        <v>4</v>
      </c>
      <c r="I69" s="15">
        <v>0</v>
      </c>
      <c r="J69" s="22">
        <f t="shared" si="17"/>
        <v>1.75</v>
      </c>
      <c r="K69" s="15">
        <v>0</v>
      </c>
      <c r="L69" s="130">
        <v>0</v>
      </c>
      <c r="M69" s="134">
        <f t="shared" si="18"/>
        <v>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1"/>
      <c r="Y69" s="1"/>
      <c r="Z69" s="1"/>
    </row>
    <row r="70" spans="1:26" ht="15.75" customHeight="1" thickTop="1" thickBot="1">
      <c r="A70" s="61" t="s">
        <v>23</v>
      </c>
      <c r="B70" s="14">
        <v>6</v>
      </c>
      <c r="C70" s="15">
        <v>3</v>
      </c>
      <c r="D70" s="15">
        <v>6</v>
      </c>
      <c r="E70" s="15">
        <v>4</v>
      </c>
      <c r="F70" s="15">
        <v>7</v>
      </c>
      <c r="G70" s="15">
        <v>4</v>
      </c>
      <c r="H70" s="15">
        <v>7</v>
      </c>
      <c r="I70" s="15">
        <v>4</v>
      </c>
      <c r="J70" s="22">
        <f t="shared" si="17"/>
        <v>5.125</v>
      </c>
      <c r="K70" s="15">
        <v>0</v>
      </c>
      <c r="L70" s="130">
        <v>0</v>
      </c>
      <c r="M70" s="134">
        <f t="shared" si="18"/>
        <v>0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1"/>
      <c r="Y70" s="1"/>
      <c r="Z70" s="1"/>
    </row>
    <row r="71" spans="1:26" ht="15.75" customHeight="1" thickTop="1" thickBot="1">
      <c r="A71" s="61" t="s">
        <v>25</v>
      </c>
      <c r="B71" s="14">
        <v>3</v>
      </c>
      <c r="C71" s="15">
        <v>1</v>
      </c>
      <c r="D71" s="15">
        <v>3</v>
      </c>
      <c r="E71" s="15">
        <v>1</v>
      </c>
      <c r="F71" s="15">
        <v>4</v>
      </c>
      <c r="G71" s="15">
        <v>2</v>
      </c>
      <c r="H71" s="15">
        <v>4</v>
      </c>
      <c r="I71" s="15">
        <v>2</v>
      </c>
      <c r="J71" s="22">
        <f t="shared" si="17"/>
        <v>2.5</v>
      </c>
      <c r="K71" s="15">
        <v>0</v>
      </c>
      <c r="L71" s="130">
        <v>0</v>
      </c>
      <c r="M71" s="134">
        <f t="shared" si="18"/>
        <v>0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1"/>
      <c r="Y71" s="1"/>
      <c r="Z71" s="1"/>
    </row>
    <row r="72" spans="1:26" ht="15.75" customHeight="1" thickTop="1" thickBot="1">
      <c r="A72" s="61" t="s">
        <v>27</v>
      </c>
      <c r="B72" s="14">
        <v>10</v>
      </c>
      <c r="C72" s="15">
        <v>5</v>
      </c>
      <c r="D72" s="15">
        <v>10</v>
      </c>
      <c r="E72" s="15">
        <v>6</v>
      </c>
      <c r="F72" s="15">
        <v>10</v>
      </c>
      <c r="G72" s="15">
        <v>7</v>
      </c>
      <c r="H72" s="15">
        <v>10</v>
      </c>
      <c r="I72" s="15">
        <v>6</v>
      </c>
      <c r="J72" s="22">
        <f t="shared" si="17"/>
        <v>8</v>
      </c>
      <c r="K72" s="15">
        <v>2</v>
      </c>
      <c r="L72" s="130">
        <v>2</v>
      </c>
      <c r="M72" s="134">
        <f t="shared" si="18"/>
        <v>2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1"/>
      <c r="Y72" s="1"/>
      <c r="Z72" s="1"/>
    </row>
    <row r="73" spans="1:26" ht="15.75" customHeight="1" thickTop="1" thickBot="1">
      <c r="A73" s="66" t="s">
        <v>29</v>
      </c>
      <c r="B73" s="16">
        <v>17</v>
      </c>
      <c r="C73" s="10">
        <v>15</v>
      </c>
      <c r="D73" s="10" t="s">
        <v>76</v>
      </c>
      <c r="E73" s="10" t="s">
        <v>76</v>
      </c>
      <c r="F73" s="10" t="s">
        <v>76</v>
      </c>
      <c r="G73" s="10" t="s">
        <v>76</v>
      </c>
      <c r="H73" s="10" t="s">
        <v>76</v>
      </c>
      <c r="I73" s="10" t="s">
        <v>76</v>
      </c>
      <c r="J73" s="22">
        <f t="shared" ref="J73:J86" si="19">AVERAGE(B73:C73)</f>
        <v>16</v>
      </c>
      <c r="K73" s="10">
        <v>0</v>
      </c>
      <c r="L73" s="131">
        <v>0</v>
      </c>
      <c r="M73" s="134">
        <f t="shared" si="18"/>
        <v>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1"/>
      <c r="Y73" s="1"/>
      <c r="Z73" s="1"/>
    </row>
    <row r="74" spans="1:26" ht="15.75" customHeight="1" thickTop="1" thickBot="1">
      <c r="A74" s="67" t="s">
        <v>31</v>
      </c>
      <c r="B74" s="16">
        <v>16</v>
      </c>
      <c r="C74" s="10">
        <v>13</v>
      </c>
      <c r="D74" s="10" t="s">
        <v>76</v>
      </c>
      <c r="E74" s="10" t="s">
        <v>76</v>
      </c>
      <c r="F74" s="10" t="s">
        <v>76</v>
      </c>
      <c r="G74" s="10" t="s">
        <v>76</v>
      </c>
      <c r="H74" s="10" t="s">
        <v>76</v>
      </c>
      <c r="I74" s="10" t="s">
        <v>76</v>
      </c>
      <c r="J74" s="22">
        <f t="shared" si="19"/>
        <v>14.5</v>
      </c>
      <c r="K74" s="10">
        <v>0</v>
      </c>
      <c r="L74" s="131">
        <v>0</v>
      </c>
      <c r="M74" s="134">
        <f t="shared" si="18"/>
        <v>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1"/>
      <c r="Y74" s="1"/>
      <c r="Z74" s="1"/>
    </row>
    <row r="75" spans="1:26" ht="15.75" customHeight="1" thickTop="1" thickBot="1">
      <c r="A75" s="67" t="s">
        <v>33</v>
      </c>
      <c r="B75" s="16">
        <v>8</v>
      </c>
      <c r="C75" s="10">
        <v>5</v>
      </c>
      <c r="D75" s="10" t="s">
        <v>76</v>
      </c>
      <c r="E75" s="10" t="s">
        <v>76</v>
      </c>
      <c r="F75" s="10" t="s">
        <v>76</v>
      </c>
      <c r="G75" s="10" t="s">
        <v>76</v>
      </c>
      <c r="H75" s="10" t="s">
        <v>76</v>
      </c>
      <c r="I75" s="10" t="s">
        <v>76</v>
      </c>
      <c r="J75" s="22">
        <f t="shared" si="19"/>
        <v>6.5</v>
      </c>
      <c r="K75" s="10">
        <v>0</v>
      </c>
      <c r="L75" s="131">
        <v>0</v>
      </c>
      <c r="M75" s="134">
        <f t="shared" si="18"/>
        <v>0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1"/>
      <c r="Y75" s="1"/>
      <c r="Z75" s="1"/>
    </row>
    <row r="76" spans="1:26" ht="15.75" customHeight="1" thickTop="1" thickBot="1">
      <c r="A76" s="67" t="s">
        <v>35</v>
      </c>
      <c r="B76" s="16">
        <v>10</v>
      </c>
      <c r="C76" s="10">
        <v>6</v>
      </c>
      <c r="D76" s="10" t="s">
        <v>76</v>
      </c>
      <c r="E76" s="10" t="s">
        <v>76</v>
      </c>
      <c r="F76" s="10" t="s">
        <v>76</v>
      </c>
      <c r="G76" s="10" t="s">
        <v>76</v>
      </c>
      <c r="H76" s="10" t="s">
        <v>76</v>
      </c>
      <c r="I76" s="10" t="s">
        <v>76</v>
      </c>
      <c r="J76" s="22">
        <f t="shared" si="19"/>
        <v>8</v>
      </c>
      <c r="K76" s="10">
        <v>0</v>
      </c>
      <c r="L76" s="131">
        <v>0</v>
      </c>
      <c r="M76" s="134">
        <f t="shared" si="18"/>
        <v>0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1"/>
      <c r="Y76" s="1"/>
      <c r="Z76" s="1"/>
    </row>
    <row r="77" spans="1:26" ht="15.75" customHeight="1" thickTop="1" thickBot="1">
      <c r="A77" s="67" t="s">
        <v>37</v>
      </c>
      <c r="B77" s="16">
        <v>6</v>
      </c>
      <c r="C77" s="10">
        <v>1</v>
      </c>
      <c r="D77" s="10" t="s">
        <v>76</v>
      </c>
      <c r="E77" s="10" t="s">
        <v>76</v>
      </c>
      <c r="F77" s="10" t="s">
        <v>76</v>
      </c>
      <c r="G77" s="10" t="s">
        <v>76</v>
      </c>
      <c r="H77" s="10" t="s">
        <v>76</v>
      </c>
      <c r="I77" s="10" t="s">
        <v>76</v>
      </c>
      <c r="J77" s="22">
        <f t="shared" si="19"/>
        <v>3.5</v>
      </c>
      <c r="K77" s="10">
        <v>5</v>
      </c>
      <c r="L77" s="131">
        <v>0</v>
      </c>
      <c r="M77" s="134">
        <f t="shared" si="18"/>
        <v>2.5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1"/>
      <c r="Y77" s="1"/>
      <c r="Z77" s="1"/>
    </row>
    <row r="78" spans="1:26" ht="15.75" customHeight="1" thickTop="1" thickBot="1">
      <c r="A78" s="67" t="s">
        <v>39</v>
      </c>
      <c r="B78" s="16">
        <v>17</v>
      </c>
      <c r="C78" s="10">
        <v>15</v>
      </c>
      <c r="D78" s="10" t="s">
        <v>76</v>
      </c>
      <c r="E78" s="10" t="s">
        <v>76</v>
      </c>
      <c r="F78" s="10" t="s">
        <v>76</v>
      </c>
      <c r="G78" s="10" t="s">
        <v>76</v>
      </c>
      <c r="H78" s="10" t="s">
        <v>76</v>
      </c>
      <c r="I78" s="10" t="s">
        <v>76</v>
      </c>
      <c r="J78" s="22">
        <f t="shared" si="19"/>
        <v>16</v>
      </c>
      <c r="K78" s="10">
        <v>0</v>
      </c>
      <c r="L78" s="131">
        <v>0</v>
      </c>
      <c r="M78" s="134">
        <f t="shared" si="18"/>
        <v>0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1"/>
      <c r="Y78" s="1"/>
      <c r="Z78" s="1"/>
    </row>
    <row r="79" spans="1:26" ht="15.75" customHeight="1" thickTop="1" thickBot="1">
      <c r="A79" s="67" t="s">
        <v>41</v>
      </c>
      <c r="B79" s="16">
        <v>10</v>
      </c>
      <c r="C79" s="10">
        <v>9</v>
      </c>
      <c r="D79" s="10" t="s">
        <v>76</v>
      </c>
      <c r="E79" s="10" t="s">
        <v>76</v>
      </c>
      <c r="F79" s="10" t="s">
        <v>76</v>
      </c>
      <c r="G79" s="10" t="s">
        <v>76</v>
      </c>
      <c r="H79" s="10" t="s">
        <v>76</v>
      </c>
      <c r="I79" s="10" t="s">
        <v>76</v>
      </c>
      <c r="J79" s="22">
        <f t="shared" si="19"/>
        <v>9.5</v>
      </c>
      <c r="K79" s="10">
        <v>0</v>
      </c>
      <c r="L79" s="131">
        <v>0</v>
      </c>
      <c r="M79" s="134">
        <f t="shared" si="18"/>
        <v>0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1"/>
      <c r="Y79" s="1"/>
      <c r="Z79" s="1"/>
    </row>
    <row r="80" spans="1:26" ht="15.75" customHeight="1" thickTop="1" thickBot="1">
      <c r="A80" s="67" t="s">
        <v>43</v>
      </c>
      <c r="B80" s="16">
        <v>5</v>
      </c>
      <c r="C80" s="10">
        <v>0</v>
      </c>
      <c r="D80" s="10" t="s">
        <v>76</v>
      </c>
      <c r="E80" s="10" t="s">
        <v>76</v>
      </c>
      <c r="F80" s="10" t="s">
        <v>76</v>
      </c>
      <c r="G80" s="10" t="s">
        <v>76</v>
      </c>
      <c r="H80" s="10" t="s">
        <v>76</v>
      </c>
      <c r="I80" s="10" t="s">
        <v>76</v>
      </c>
      <c r="J80" s="22">
        <f t="shared" si="19"/>
        <v>2.5</v>
      </c>
      <c r="K80" s="10">
        <v>0</v>
      </c>
      <c r="L80" s="131">
        <v>0</v>
      </c>
      <c r="M80" s="134">
        <f t="shared" si="18"/>
        <v>0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1"/>
      <c r="Y80" s="1"/>
      <c r="Z80" s="1"/>
    </row>
    <row r="81" spans="1:26" ht="15.75" customHeight="1" thickTop="1" thickBot="1">
      <c r="A81" s="67" t="s">
        <v>45</v>
      </c>
      <c r="B81" s="16">
        <v>6</v>
      </c>
      <c r="C81" s="10">
        <v>4</v>
      </c>
      <c r="D81" s="10" t="s">
        <v>76</v>
      </c>
      <c r="E81" s="10" t="s">
        <v>76</v>
      </c>
      <c r="F81" s="10" t="s">
        <v>76</v>
      </c>
      <c r="G81" s="10" t="s">
        <v>76</v>
      </c>
      <c r="H81" s="10" t="s">
        <v>76</v>
      </c>
      <c r="I81" s="10" t="s">
        <v>76</v>
      </c>
      <c r="J81" s="22">
        <f t="shared" si="19"/>
        <v>5</v>
      </c>
      <c r="K81" s="10">
        <v>0</v>
      </c>
      <c r="L81" s="131">
        <v>0</v>
      </c>
      <c r="M81" s="134">
        <f t="shared" si="18"/>
        <v>0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1"/>
      <c r="Y81" s="1"/>
      <c r="Z81" s="1"/>
    </row>
    <row r="82" spans="1:26" ht="15.75" customHeight="1" thickTop="1" thickBot="1">
      <c r="A82" s="67" t="s">
        <v>47</v>
      </c>
      <c r="B82" s="16">
        <v>10</v>
      </c>
      <c r="C82" s="10">
        <v>6</v>
      </c>
      <c r="D82" s="10" t="s">
        <v>76</v>
      </c>
      <c r="E82" s="10" t="s">
        <v>76</v>
      </c>
      <c r="F82" s="10" t="s">
        <v>76</v>
      </c>
      <c r="G82" s="10" t="s">
        <v>76</v>
      </c>
      <c r="H82" s="10" t="s">
        <v>76</v>
      </c>
      <c r="I82" s="10" t="s">
        <v>76</v>
      </c>
      <c r="J82" s="22">
        <f t="shared" si="19"/>
        <v>8</v>
      </c>
      <c r="K82" s="10">
        <v>0</v>
      </c>
      <c r="L82" s="131">
        <v>0</v>
      </c>
      <c r="M82" s="134">
        <f t="shared" si="18"/>
        <v>0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1"/>
      <c r="Y82" s="1"/>
      <c r="Z82" s="1"/>
    </row>
    <row r="83" spans="1:26" ht="15.75" customHeight="1" thickTop="1" thickBot="1">
      <c r="A83" s="67" t="s">
        <v>49</v>
      </c>
      <c r="B83" s="16">
        <v>13</v>
      </c>
      <c r="C83" s="10">
        <v>10</v>
      </c>
      <c r="D83" s="10" t="s">
        <v>76</v>
      </c>
      <c r="E83" s="10" t="s">
        <v>76</v>
      </c>
      <c r="F83" s="10" t="s">
        <v>76</v>
      </c>
      <c r="G83" s="10" t="s">
        <v>76</v>
      </c>
      <c r="H83" s="10" t="s">
        <v>76</v>
      </c>
      <c r="I83" s="10" t="s">
        <v>76</v>
      </c>
      <c r="J83" s="22">
        <f t="shared" si="19"/>
        <v>11.5</v>
      </c>
      <c r="K83" s="10">
        <v>0</v>
      </c>
      <c r="L83" s="131">
        <v>0</v>
      </c>
      <c r="M83" s="134">
        <f t="shared" si="18"/>
        <v>0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1"/>
      <c r="Y83" s="1"/>
      <c r="Z83" s="1"/>
    </row>
    <row r="84" spans="1:26" ht="15.75" customHeight="1" thickTop="1" thickBot="1">
      <c r="A84" s="68" t="s">
        <v>51</v>
      </c>
      <c r="B84" s="16">
        <v>3</v>
      </c>
      <c r="C84" s="10">
        <v>2</v>
      </c>
      <c r="D84" s="10" t="s">
        <v>76</v>
      </c>
      <c r="E84" s="10" t="s">
        <v>76</v>
      </c>
      <c r="F84" s="10" t="s">
        <v>76</v>
      </c>
      <c r="G84" s="10" t="s">
        <v>76</v>
      </c>
      <c r="H84" s="10" t="s">
        <v>76</v>
      </c>
      <c r="I84" s="10" t="s">
        <v>76</v>
      </c>
      <c r="J84" s="22">
        <f t="shared" si="19"/>
        <v>2.5</v>
      </c>
      <c r="K84" s="10">
        <v>0</v>
      </c>
      <c r="L84" s="131">
        <v>0</v>
      </c>
      <c r="M84" s="134">
        <f t="shared" si="18"/>
        <v>0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1"/>
      <c r="Y84" s="1"/>
      <c r="Z84" s="1"/>
    </row>
    <row r="85" spans="1:26" ht="15.75" customHeight="1" thickTop="1" thickBot="1">
      <c r="A85" s="69" t="s">
        <v>53</v>
      </c>
      <c r="B85" s="17">
        <v>6</v>
      </c>
      <c r="C85" s="11">
        <v>6</v>
      </c>
      <c r="D85" s="11" t="s">
        <v>76</v>
      </c>
      <c r="E85" s="11" t="s">
        <v>76</v>
      </c>
      <c r="F85" s="11" t="s">
        <v>76</v>
      </c>
      <c r="G85" s="11" t="s">
        <v>76</v>
      </c>
      <c r="H85" s="11" t="s">
        <v>76</v>
      </c>
      <c r="I85" s="11" t="s">
        <v>76</v>
      </c>
      <c r="J85" s="22">
        <f t="shared" si="19"/>
        <v>6</v>
      </c>
      <c r="K85" s="11">
        <v>0</v>
      </c>
      <c r="L85" s="132">
        <v>0</v>
      </c>
      <c r="M85" s="134">
        <f t="shared" si="18"/>
        <v>0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1"/>
      <c r="Y85" s="1"/>
      <c r="Z85" s="1"/>
    </row>
    <row r="86" spans="1:26" ht="15.75" customHeight="1" thickTop="1" thickBot="1">
      <c r="A86" s="86" t="s">
        <v>54</v>
      </c>
      <c r="B86" s="18">
        <v>15</v>
      </c>
      <c r="C86" s="19">
        <v>15</v>
      </c>
      <c r="D86" s="19" t="s">
        <v>76</v>
      </c>
      <c r="E86" s="19" t="s">
        <v>76</v>
      </c>
      <c r="F86" s="19" t="s">
        <v>76</v>
      </c>
      <c r="G86" s="19" t="s">
        <v>76</v>
      </c>
      <c r="H86" s="19" t="s">
        <v>76</v>
      </c>
      <c r="I86" s="19" t="s">
        <v>76</v>
      </c>
      <c r="J86" s="23">
        <f t="shared" si="19"/>
        <v>15</v>
      </c>
      <c r="K86" s="20">
        <v>0</v>
      </c>
      <c r="L86" s="133">
        <v>0</v>
      </c>
      <c r="M86" s="134">
        <f t="shared" si="18"/>
        <v>0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1"/>
      <c r="Y86" s="1"/>
      <c r="Z86" s="1"/>
    </row>
    <row r="87" spans="1:26" ht="15.75" customHeight="1" thickTop="1" thickBot="1">
      <c r="A87" s="9"/>
      <c r="B87" s="3"/>
      <c r="C87" s="3"/>
      <c r="D87" s="3"/>
      <c r="E87" s="3"/>
      <c r="F87" s="3"/>
      <c r="G87" s="3"/>
      <c r="H87" s="3"/>
      <c r="I87" s="3"/>
      <c r="J87" s="3"/>
      <c r="K87" s="3"/>
      <c r="L87" s="7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"/>
      <c r="Y87" s="1"/>
      <c r="Z87" s="1"/>
    </row>
    <row r="88" spans="1:26" ht="30" customHeight="1" thickTop="1" thickBot="1">
      <c r="A88" s="164" t="s">
        <v>77</v>
      </c>
      <c r="B88" s="164"/>
      <c r="C88" s="164"/>
      <c r="D88" s="3"/>
      <c r="E88" s="3"/>
      <c r="F88" s="3"/>
      <c r="G88" s="3"/>
      <c r="H88" s="3"/>
      <c r="I88" s="3"/>
      <c r="J88" s="3"/>
      <c r="K88" s="3"/>
      <c r="L88" s="7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"/>
      <c r="Y88" s="1"/>
      <c r="Z88" s="1"/>
    </row>
    <row r="89" spans="1:26" ht="15.75" customHeight="1" thickTop="1" thickBot="1">
      <c r="A89" s="87" t="s">
        <v>1</v>
      </c>
      <c r="B89" s="148" t="s">
        <v>78</v>
      </c>
      <c r="C89" s="88" t="s">
        <v>79</v>
      </c>
      <c r="D89" s="3"/>
      <c r="E89" s="3"/>
      <c r="F89" s="3"/>
      <c r="G89" s="3"/>
      <c r="H89" s="3"/>
      <c r="I89" s="3"/>
      <c r="J89" s="3"/>
      <c r="K89" s="3"/>
      <c r="L89" s="7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1"/>
      <c r="Y89" s="1"/>
      <c r="Z89" s="1"/>
    </row>
    <row r="90" spans="1:26" ht="15.75" customHeight="1" thickTop="1" thickBot="1">
      <c r="A90" s="61" t="s">
        <v>15</v>
      </c>
      <c r="B90" s="149">
        <v>100</v>
      </c>
      <c r="C90" s="152">
        <f t="shared" ref="C90:C109" si="20">1500/B90</f>
        <v>15</v>
      </c>
      <c r="D90" s="3"/>
      <c r="E90" s="3"/>
      <c r="F90" s="3"/>
      <c r="G90" s="3"/>
      <c r="H90" s="3"/>
      <c r="I90" s="3"/>
      <c r="J90" s="3"/>
      <c r="K90" s="3"/>
      <c r="L90" s="7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1"/>
      <c r="Y90" s="1"/>
      <c r="Z90" s="1"/>
    </row>
    <row r="91" spans="1:26" ht="15.75" customHeight="1" thickTop="1" thickBot="1">
      <c r="A91" s="61" t="s">
        <v>19</v>
      </c>
      <c r="B91" s="150">
        <v>160</v>
      </c>
      <c r="C91" s="152">
        <f t="shared" si="20"/>
        <v>9.375</v>
      </c>
      <c r="D91" s="3"/>
      <c r="E91" s="3"/>
      <c r="F91" s="3"/>
      <c r="G91" s="3"/>
      <c r="H91" s="3"/>
      <c r="I91" s="3"/>
      <c r="J91" s="3"/>
      <c r="K91" s="3"/>
      <c r="L91" s="7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1"/>
      <c r="Y91" s="1"/>
      <c r="Z91" s="1"/>
    </row>
    <row r="92" spans="1:26" ht="15.75" customHeight="1" thickTop="1" thickBot="1">
      <c r="A92" s="61" t="s">
        <v>21</v>
      </c>
      <c r="B92" s="150">
        <v>300</v>
      </c>
      <c r="C92" s="152">
        <f t="shared" si="20"/>
        <v>5</v>
      </c>
      <c r="D92" s="3"/>
      <c r="E92" s="3"/>
      <c r="F92" s="3"/>
      <c r="G92" s="3"/>
      <c r="H92" s="3"/>
      <c r="I92" s="3"/>
      <c r="J92" s="3"/>
      <c r="K92" s="3"/>
      <c r="L92" s="7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1"/>
      <c r="Y92" s="1"/>
      <c r="Z92" s="1"/>
    </row>
    <row r="93" spans="1:26" ht="15.75" customHeight="1" thickTop="1" thickBot="1">
      <c r="A93" s="61" t="s">
        <v>23</v>
      </c>
      <c r="B93" s="150">
        <v>200</v>
      </c>
      <c r="C93" s="152">
        <f t="shared" si="20"/>
        <v>7.5</v>
      </c>
      <c r="D93" s="3"/>
      <c r="E93" s="3"/>
      <c r="F93" s="3"/>
      <c r="G93" s="3"/>
      <c r="H93" s="3"/>
      <c r="I93" s="3"/>
      <c r="J93" s="3"/>
      <c r="K93" s="3"/>
      <c r="L93" s="7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1"/>
      <c r="Y93" s="1"/>
      <c r="Z93" s="1"/>
    </row>
    <row r="94" spans="1:26" ht="15.75" customHeight="1" thickTop="1" thickBot="1">
      <c r="A94" s="61" t="s">
        <v>25</v>
      </c>
      <c r="B94" s="150">
        <v>300</v>
      </c>
      <c r="C94" s="152">
        <f t="shared" si="20"/>
        <v>5</v>
      </c>
      <c r="D94" s="3"/>
      <c r="E94" s="3"/>
      <c r="F94" s="3"/>
      <c r="G94" s="3"/>
      <c r="H94" s="3"/>
      <c r="I94" s="3"/>
      <c r="J94" s="3"/>
      <c r="K94" s="3"/>
      <c r="L94" s="7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1"/>
      <c r="Y94" s="1"/>
      <c r="Z94" s="1"/>
    </row>
    <row r="95" spans="1:26" ht="15.75" customHeight="1" thickTop="1" thickBot="1">
      <c r="A95" s="61" t="s">
        <v>27</v>
      </c>
      <c r="B95" s="150">
        <v>1000</v>
      </c>
      <c r="C95" s="152">
        <f t="shared" si="20"/>
        <v>1.5</v>
      </c>
      <c r="D95" s="3"/>
      <c r="E95" s="3"/>
      <c r="F95" s="3"/>
      <c r="G95" s="3"/>
      <c r="H95" s="3"/>
      <c r="I95" s="3"/>
      <c r="J95" s="3"/>
      <c r="K95" s="3"/>
      <c r="L95" s="7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1"/>
      <c r="Y95" s="1"/>
      <c r="Z95" s="1"/>
    </row>
    <row r="96" spans="1:26" ht="15.75" customHeight="1" thickTop="1" thickBot="1">
      <c r="A96" s="66" t="s">
        <v>29</v>
      </c>
      <c r="B96" s="150">
        <v>400</v>
      </c>
      <c r="C96" s="152">
        <f t="shared" si="20"/>
        <v>3.75</v>
      </c>
      <c r="D96" s="3"/>
      <c r="E96" s="3"/>
      <c r="F96" s="3"/>
      <c r="G96" s="3"/>
      <c r="H96" s="3"/>
      <c r="I96" s="3"/>
      <c r="J96" s="3"/>
      <c r="K96" s="3"/>
      <c r="L96" s="7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1"/>
      <c r="Y96" s="1"/>
      <c r="Z96" s="1"/>
    </row>
    <row r="97" spans="1:26" ht="15.75" customHeight="1" thickTop="1" thickBot="1">
      <c r="A97" s="67" t="s">
        <v>31</v>
      </c>
      <c r="B97" s="150">
        <v>700</v>
      </c>
      <c r="C97" s="152">
        <f t="shared" si="20"/>
        <v>2.1428571428571428</v>
      </c>
      <c r="D97" s="3"/>
      <c r="E97" s="3"/>
      <c r="F97" s="3"/>
      <c r="G97" s="3"/>
      <c r="H97" s="3"/>
      <c r="I97" s="3"/>
      <c r="J97" s="3"/>
      <c r="K97" s="3"/>
      <c r="L97" s="7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1"/>
      <c r="Y97" s="1"/>
      <c r="Z97" s="1"/>
    </row>
    <row r="98" spans="1:26" ht="15.75" customHeight="1" thickTop="1" thickBot="1">
      <c r="A98" s="67" t="s">
        <v>33</v>
      </c>
      <c r="B98" s="150">
        <v>800</v>
      </c>
      <c r="C98" s="152">
        <f t="shared" si="20"/>
        <v>1.875</v>
      </c>
      <c r="D98" s="3"/>
      <c r="E98" s="3"/>
      <c r="F98" s="3"/>
      <c r="G98" s="3"/>
      <c r="H98" s="3"/>
      <c r="I98" s="3"/>
      <c r="J98" s="3"/>
      <c r="K98" s="3"/>
      <c r="L98" s="7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1"/>
      <c r="Y98" s="1"/>
      <c r="Z98" s="1"/>
    </row>
    <row r="99" spans="1:26" ht="15.75" customHeight="1" thickTop="1" thickBot="1">
      <c r="A99" s="67" t="s">
        <v>35</v>
      </c>
      <c r="B99" s="150">
        <v>800</v>
      </c>
      <c r="C99" s="152">
        <f t="shared" si="20"/>
        <v>1.875</v>
      </c>
      <c r="D99" s="3"/>
      <c r="E99" s="3"/>
      <c r="F99" s="3"/>
      <c r="G99" s="3"/>
      <c r="H99" s="3"/>
      <c r="I99" s="3"/>
      <c r="J99" s="3"/>
      <c r="K99" s="3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1"/>
      <c r="Y99" s="1"/>
      <c r="Z99" s="1"/>
    </row>
    <row r="100" spans="1:26" ht="15.75" customHeight="1" thickTop="1" thickBot="1">
      <c r="A100" s="67" t="s">
        <v>37</v>
      </c>
      <c r="B100" s="150">
        <v>1500</v>
      </c>
      <c r="C100" s="152">
        <f t="shared" si="20"/>
        <v>1</v>
      </c>
      <c r="D100" s="3"/>
      <c r="E100" s="3"/>
      <c r="F100" s="3"/>
      <c r="G100" s="3"/>
      <c r="H100" s="3"/>
      <c r="I100" s="3"/>
      <c r="J100" s="3"/>
      <c r="K100" s="3"/>
      <c r="L100" s="7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1"/>
      <c r="Y100" s="1"/>
      <c r="Z100" s="1"/>
    </row>
    <row r="101" spans="1:26" ht="15.75" customHeight="1" thickTop="1" thickBot="1">
      <c r="A101" s="67" t="s">
        <v>39</v>
      </c>
      <c r="B101" s="150">
        <v>300</v>
      </c>
      <c r="C101" s="152">
        <f t="shared" si="20"/>
        <v>5</v>
      </c>
      <c r="D101" s="3"/>
      <c r="E101" s="3"/>
      <c r="F101" s="3"/>
      <c r="G101" s="3"/>
      <c r="H101" s="3"/>
      <c r="I101" s="3"/>
      <c r="J101" s="3"/>
      <c r="K101" s="3"/>
      <c r="L101" s="7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1"/>
      <c r="Y101" s="1"/>
      <c r="Z101" s="1"/>
    </row>
    <row r="102" spans="1:26" ht="15.75" customHeight="1" thickTop="1" thickBot="1">
      <c r="A102" s="67" t="s">
        <v>41</v>
      </c>
      <c r="B102" s="150">
        <v>500</v>
      </c>
      <c r="C102" s="152">
        <f t="shared" si="20"/>
        <v>3</v>
      </c>
      <c r="D102" s="3"/>
      <c r="E102" s="3"/>
      <c r="F102" s="3"/>
      <c r="G102" s="3"/>
      <c r="H102" s="3"/>
      <c r="I102" s="3"/>
      <c r="J102" s="3"/>
      <c r="K102" s="3"/>
      <c r="L102" s="7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1"/>
      <c r="Y102" s="1"/>
      <c r="Z102" s="1"/>
    </row>
    <row r="103" spans="1:26" ht="15.75" customHeight="1" thickTop="1" thickBot="1">
      <c r="A103" s="67" t="s">
        <v>43</v>
      </c>
      <c r="B103" s="150">
        <v>450</v>
      </c>
      <c r="C103" s="163">
        <f t="shared" si="20"/>
        <v>3.3333333333333335</v>
      </c>
      <c r="D103" s="3"/>
      <c r="E103" s="3"/>
      <c r="F103" s="3"/>
      <c r="G103" s="3"/>
      <c r="H103" s="3"/>
      <c r="I103" s="3"/>
      <c r="J103" s="3"/>
      <c r="K103" s="3"/>
      <c r="L103" s="7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1"/>
      <c r="Y103" s="1"/>
      <c r="Z103" s="1"/>
    </row>
    <row r="104" spans="1:26" ht="15.75" customHeight="1" thickTop="1" thickBot="1">
      <c r="A104" s="67" t="s">
        <v>45</v>
      </c>
      <c r="B104" s="150">
        <v>600</v>
      </c>
      <c r="C104" s="152">
        <f t="shared" si="20"/>
        <v>2.5</v>
      </c>
      <c r="D104" s="3"/>
      <c r="E104" s="3"/>
      <c r="F104" s="3"/>
      <c r="G104" s="3"/>
      <c r="H104" s="3"/>
      <c r="I104" s="3"/>
      <c r="J104" s="3"/>
      <c r="K104" s="3"/>
      <c r="L104" s="7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1"/>
      <c r="Y104" s="1"/>
      <c r="Z104" s="1"/>
    </row>
    <row r="105" spans="1:26" ht="15.75" customHeight="1" thickTop="1" thickBot="1">
      <c r="A105" s="67" t="s">
        <v>47</v>
      </c>
      <c r="B105" s="150">
        <v>800</v>
      </c>
      <c r="C105" s="152">
        <f t="shared" si="20"/>
        <v>1.875</v>
      </c>
      <c r="D105" s="3"/>
      <c r="E105" s="3"/>
      <c r="F105" s="3"/>
      <c r="G105" s="3"/>
      <c r="H105" s="3"/>
      <c r="I105" s="3"/>
      <c r="J105" s="3"/>
      <c r="K105" s="3"/>
      <c r="L105" s="7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1"/>
      <c r="Y105" s="1"/>
      <c r="Z105" s="1"/>
    </row>
    <row r="106" spans="1:26" ht="15.75" customHeight="1" thickTop="1" thickBot="1">
      <c r="A106" s="67" t="s">
        <v>49</v>
      </c>
      <c r="B106" s="150">
        <v>900</v>
      </c>
      <c r="C106" s="152">
        <f t="shared" si="20"/>
        <v>1.6666666666666667</v>
      </c>
      <c r="D106" s="3"/>
      <c r="E106" s="3"/>
      <c r="F106" s="3"/>
      <c r="G106" s="3"/>
      <c r="H106" s="3"/>
      <c r="I106" s="3"/>
      <c r="J106" s="3"/>
      <c r="K106" s="3"/>
      <c r="L106" s="7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1"/>
      <c r="Y106" s="1"/>
      <c r="Z106" s="1"/>
    </row>
    <row r="107" spans="1:26" ht="15.75" customHeight="1" thickTop="1" thickBot="1">
      <c r="A107" s="68" t="s">
        <v>51</v>
      </c>
      <c r="B107" s="150">
        <v>750</v>
      </c>
      <c r="C107" s="152">
        <f t="shared" si="20"/>
        <v>2</v>
      </c>
      <c r="D107" s="3"/>
      <c r="E107" s="3"/>
      <c r="F107" s="3"/>
      <c r="G107" s="3"/>
      <c r="H107" s="3"/>
      <c r="I107" s="3"/>
      <c r="J107" s="3"/>
      <c r="K107" s="3"/>
      <c r="L107" s="7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1"/>
      <c r="Y107" s="1"/>
      <c r="Z107" s="1"/>
    </row>
    <row r="108" spans="1:26" ht="15.75" customHeight="1" thickTop="1" thickBot="1">
      <c r="A108" s="69" t="s">
        <v>53</v>
      </c>
      <c r="B108" s="150">
        <v>1200</v>
      </c>
      <c r="C108" s="152">
        <f t="shared" si="20"/>
        <v>1.25</v>
      </c>
      <c r="D108" s="3"/>
      <c r="E108" s="3"/>
      <c r="F108" s="3"/>
      <c r="G108" s="3"/>
      <c r="H108" s="3"/>
      <c r="I108" s="3"/>
      <c r="J108" s="3"/>
      <c r="K108" s="3"/>
      <c r="L108" s="7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"/>
      <c r="Y108" s="1"/>
      <c r="Z108" s="1"/>
    </row>
    <row r="109" spans="1:26" ht="15.75" customHeight="1" thickTop="1" thickBot="1">
      <c r="A109" s="86" t="s">
        <v>54</v>
      </c>
      <c r="B109" s="151">
        <v>1200</v>
      </c>
      <c r="C109" s="152">
        <f t="shared" si="20"/>
        <v>1.25</v>
      </c>
      <c r="D109" s="3"/>
      <c r="E109" s="3"/>
      <c r="F109" s="3"/>
      <c r="G109" s="3"/>
      <c r="H109" s="3"/>
      <c r="I109" s="3"/>
      <c r="K109" s="3"/>
      <c r="L109" s="7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1"/>
      <c r="Y109" s="1"/>
      <c r="Z109" s="1"/>
    </row>
    <row r="110" spans="1:26" ht="15.75" customHeight="1" thickTop="1" thickBot="1">
      <c r="A110" s="3"/>
      <c r="B110" s="3"/>
      <c r="C110" s="3"/>
      <c r="D110" s="3"/>
      <c r="E110" s="3"/>
      <c r="L110" s="7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1"/>
      <c r="Y110" s="1"/>
      <c r="Z110" s="1"/>
    </row>
    <row r="111" spans="1:26" ht="15.75" customHeight="1" thickTop="1" thickBot="1">
      <c r="A111" s="125" t="s">
        <v>1</v>
      </c>
      <c r="B111" s="126" t="s">
        <v>80</v>
      </c>
      <c r="C111" s="127" t="s">
        <v>117</v>
      </c>
      <c r="D111" s="127" t="s">
        <v>118</v>
      </c>
      <c r="L111" s="7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1"/>
      <c r="Y111" s="1"/>
      <c r="Z111" s="1"/>
    </row>
    <row r="112" spans="1:26" ht="15.75" customHeight="1" thickTop="1" thickBot="1">
      <c r="A112" s="122" t="s">
        <v>15</v>
      </c>
      <c r="B112" s="119">
        <f>(N3 + W34) * C90</f>
        <v>5.3231490199100406</v>
      </c>
      <c r="C112" s="121">
        <f>B112/$B$132</f>
        <v>1.1449955818754951</v>
      </c>
      <c r="D112" s="121">
        <f>ROUND(C112,2)</f>
        <v>1.1399999999999999</v>
      </c>
      <c r="L112" s="7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1"/>
      <c r="Y112" s="1"/>
      <c r="Z112" s="1"/>
    </row>
    <row r="113" spans="1:26" ht="15.75" customHeight="1" thickTop="1" thickBot="1">
      <c r="A113" s="122" t="s">
        <v>19</v>
      </c>
      <c r="B113" s="119">
        <f t="shared" ref="B113:B131" si="21">(N4 + W35) * C91</f>
        <v>5.7461596024601134</v>
      </c>
      <c r="C113" s="121">
        <f t="shared" ref="C113:C131" si="22">B113/$B$132</f>
        <v>1.2359840637486923</v>
      </c>
      <c r="D113" s="121">
        <f t="shared" ref="D113:D131" si="23">ROUND(C113,2)</f>
        <v>1.24</v>
      </c>
      <c r="L113" s="7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1"/>
      <c r="Y113" s="1"/>
      <c r="Z113" s="1"/>
    </row>
    <row r="114" spans="1:26" ht="15.75" customHeight="1" thickTop="1" thickBot="1">
      <c r="A114" s="122" t="s">
        <v>21</v>
      </c>
      <c r="B114" s="119">
        <f t="shared" si="21"/>
        <v>1.0918356747900801</v>
      </c>
      <c r="C114" s="121">
        <f t="shared" si="22"/>
        <v>0.23485102879757791</v>
      </c>
      <c r="D114" s="121">
        <f t="shared" si="23"/>
        <v>0.23</v>
      </c>
      <c r="L114" s="7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"/>
      <c r="Y114" s="1"/>
      <c r="Z114" s="1"/>
    </row>
    <row r="115" spans="1:26" ht="15.75" customHeight="1" thickTop="1" thickBot="1">
      <c r="A115" s="122" t="s">
        <v>23</v>
      </c>
      <c r="B115" s="119">
        <f t="shared" si="21"/>
        <v>5.2344837551090055</v>
      </c>
      <c r="C115" s="121">
        <f t="shared" si="22"/>
        <v>1.1259239128158298</v>
      </c>
      <c r="D115" s="121">
        <f t="shared" si="23"/>
        <v>1.1299999999999999</v>
      </c>
      <c r="L115" s="7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1"/>
      <c r="Y115" s="1"/>
      <c r="Z115" s="1"/>
    </row>
    <row r="116" spans="1:26" ht="15.75" customHeight="1" thickTop="1" thickBot="1">
      <c r="A116" s="122" t="s">
        <v>25</v>
      </c>
      <c r="B116" s="119">
        <f t="shared" si="21"/>
        <v>3.3797829094012997</v>
      </c>
      <c r="C116" s="121">
        <f t="shared" si="22"/>
        <v>0.72698255947532986</v>
      </c>
      <c r="D116" s="121">
        <f t="shared" si="23"/>
        <v>0.73</v>
      </c>
      <c r="L116" s="7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1"/>
      <c r="Y116" s="1"/>
      <c r="Z116" s="1"/>
    </row>
    <row r="117" spans="1:26" ht="15.75" customHeight="1" thickTop="1" thickBot="1">
      <c r="A117" s="122" t="s">
        <v>27</v>
      </c>
      <c r="B117" s="119">
        <f t="shared" si="21"/>
        <v>11.482064284362778</v>
      </c>
      <c r="C117" s="121">
        <f t="shared" si="22"/>
        <v>2.4697623206175012</v>
      </c>
      <c r="D117" s="121">
        <f t="shared" si="23"/>
        <v>2.4700000000000002</v>
      </c>
      <c r="L117" s="7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1"/>
      <c r="Y117" s="1"/>
      <c r="Z117" s="1"/>
    </row>
    <row r="118" spans="1:26" ht="15.75" customHeight="1" thickTop="1" thickBot="1">
      <c r="A118" s="123" t="s">
        <v>29</v>
      </c>
      <c r="B118" s="119">
        <f t="shared" si="21"/>
        <v>4.7626371739722391</v>
      </c>
      <c r="C118" s="121">
        <f t="shared" si="22"/>
        <v>1.0244309339974789</v>
      </c>
      <c r="D118" s="121">
        <f t="shared" si="23"/>
        <v>1.02</v>
      </c>
      <c r="L118" s="7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"/>
      <c r="Y118" s="1"/>
      <c r="Z118" s="1"/>
    </row>
    <row r="119" spans="1:26" ht="15.75" customHeight="1" thickTop="1" thickBot="1">
      <c r="A119" s="123" t="s">
        <v>31</v>
      </c>
      <c r="B119" s="119">
        <f t="shared" si="21"/>
        <v>3.7117751273410704</v>
      </c>
      <c r="C119" s="121">
        <f t="shared" si="22"/>
        <v>0.79839322660794154</v>
      </c>
      <c r="D119" s="121">
        <f t="shared" si="23"/>
        <v>0.8</v>
      </c>
      <c r="L119" s="7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1"/>
      <c r="Y119" s="1"/>
      <c r="Z119" s="1"/>
    </row>
    <row r="120" spans="1:26" ht="15.75" customHeight="1" thickTop="1" thickBot="1">
      <c r="A120" s="123" t="s">
        <v>33</v>
      </c>
      <c r="B120" s="119">
        <f t="shared" si="21"/>
        <v>5.5303143631357603</v>
      </c>
      <c r="C120" s="121">
        <f t="shared" si="22"/>
        <v>1.1895563112152081</v>
      </c>
      <c r="D120" s="121">
        <f t="shared" si="23"/>
        <v>1.19</v>
      </c>
      <c r="L120" s="7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1"/>
      <c r="Y120" s="1"/>
      <c r="Z120" s="1"/>
    </row>
    <row r="121" spans="1:26" ht="15.75" customHeight="1" thickTop="1" thickBot="1">
      <c r="A121" s="123" t="s">
        <v>35</v>
      </c>
      <c r="B121" s="119">
        <f t="shared" si="21"/>
        <v>4.0167235806669268</v>
      </c>
      <c r="C121" s="121">
        <f t="shared" si="22"/>
        <v>0.86398684994102859</v>
      </c>
      <c r="D121" s="121">
        <f t="shared" si="23"/>
        <v>0.86</v>
      </c>
      <c r="L121" s="7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1"/>
      <c r="Y121" s="1"/>
      <c r="Z121" s="1"/>
    </row>
    <row r="122" spans="1:26" ht="15.75" customHeight="1" thickTop="1" thickBot="1">
      <c r="A122" s="123" t="s">
        <v>37</v>
      </c>
      <c r="B122" s="119">
        <f t="shared" si="21"/>
        <v>5.1158830321041169</v>
      </c>
      <c r="C122" s="121">
        <f t="shared" si="22"/>
        <v>1.1004132041469727</v>
      </c>
      <c r="D122" s="121">
        <f t="shared" si="23"/>
        <v>1.1000000000000001</v>
      </c>
      <c r="L122" s="7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1"/>
      <c r="Y122" s="1"/>
      <c r="Z122" s="1"/>
    </row>
    <row r="123" spans="1:26" ht="15.75" customHeight="1" thickTop="1" thickBot="1">
      <c r="A123" s="123" t="s">
        <v>39</v>
      </c>
      <c r="B123" s="119">
        <f t="shared" si="21"/>
        <v>6.1159497194998291</v>
      </c>
      <c r="C123" s="121">
        <f t="shared" si="22"/>
        <v>1.3155249611851598</v>
      </c>
      <c r="D123" s="121">
        <f t="shared" si="23"/>
        <v>1.32</v>
      </c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thickTop="1" thickBot="1">
      <c r="A124" s="123" t="s">
        <v>41</v>
      </c>
      <c r="B124" s="119">
        <f t="shared" si="21"/>
        <v>4.7558732652882867</v>
      </c>
      <c r="C124" s="121">
        <f t="shared" si="22"/>
        <v>1.0229760347394705</v>
      </c>
      <c r="D124" s="121">
        <f t="shared" si="23"/>
        <v>1.02</v>
      </c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thickTop="1" thickBot="1">
      <c r="A125" s="123" t="s">
        <v>43</v>
      </c>
      <c r="B125" s="119">
        <f t="shared" si="21"/>
        <v>4.6220231521436919</v>
      </c>
      <c r="C125" s="121">
        <f t="shared" si="22"/>
        <v>0.99418522170551837</v>
      </c>
      <c r="D125" s="121">
        <f t="shared" si="23"/>
        <v>0.99</v>
      </c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thickTop="1" thickBot="1">
      <c r="A126" s="123" t="s">
        <v>45</v>
      </c>
      <c r="B126" s="119">
        <f t="shared" si="21"/>
        <v>5.3773338447314796</v>
      </c>
      <c r="C126" s="121">
        <f t="shared" si="22"/>
        <v>1.1566505975050019</v>
      </c>
      <c r="D126" s="121">
        <f t="shared" si="23"/>
        <v>1.1599999999999999</v>
      </c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thickTop="1" thickBot="1">
      <c r="A127" s="123" t="s">
        <v>47</v>
      </c>
      <c r="B127" s="119">
        <f t="shared" si="21"/>
        <v>5.58234892232643</v>
      </c>
      <c r="C127" s="121">
        <f t="shared" si="22"/>
        <v>1.200748810270807</v>
      </c>
      <c r="D127" s="121">
        <f t="shared" si="23"/>
        <v>1.2</v>
      </c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thickTop="1" thickBot="1">
      <c r="A128" s="123" t="s">
        <v>49</v>
      </c>
      <c r="B128" s="119">
        <f t="shared" si="21"/>
        <v>3.9191749962939548</v>
      </c>
      <c r="C128" s="121">
        <f t="shared" si="22"/>
        <v>0.84300440182479131</v>
      </c>
      <c r="D128" s="121">
        <f t="shared" si="23"/>
        <v>0.84</v>
      </c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thickTop="1" thickBot="1">
      <c r="A129" s="123" t="s">
        <v>51</v>
      </c>
      <c r="B129" s="119">
        <f t="shared" si="21"/>
        <v>2.9009036314612233</v>
      </c>
      <c r="C129" s="121">
        <f t="shared" si="22"/>
        <v>0.6239768657699184</v>
      </c>
      <c r="D129" s="121">
        <f t="shared" si="23"/>
        <v>0.62</v>
      </c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thickTop="1" thickBot="1">
      <c r="A130" s="124" t="s">
        <v>53</v>
      </c>
      <c r="B130" s="119">
        <f t="shared" si="21"/>
        <v>1.9041623814013935</v>
      </c>
      <c r="C130" s="121">
        <f t="shared" si="22"/>
        <v>0.40958040169894822</v>
      </c>
      <c r="D130" s="121">
        <f t="shared" si="23"/>
        <v>0.41</v>
      </c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thickTop="1" thickBot="1">
      <c r="A131" s="124" t="s">
        <v>54</v>
      </c>
      <c r="B131" s="119">
        <f t="shared" si="21"/>
        <v>2.4085492495387322</v>
      </c>
      <c r="C131" s="121">
        <f t="shared" si="22"/>
        <v>0.51807271206132666</v>
      </c>
      <c r="D131" s="121">
        <f t="shared" si="23"/>
        <v>0.52</v>
      </c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thickTop="1" thickBot="1">
      <c r="A132" s="75" t="s">
        <v>52</v>
      </c>
      <c r="B132" s="120">
        <f>AVERAGE(B112:B131)</f>
        <v>4.649056384296923</v>
      </c>
      <c r="C132" s="120">
        <f>AVERAGE(C112:C131)</f>
        <v>1</v>
      </c>
      <c r="D132" s="153" t="str">
        <f>REPT("/", 1000)</f>
        <v>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</v>
      </c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thickTop="1" thickBot="1">
      <c r="A133" s="1"/>
      <c r="B133" s="1"/>
      <c r="C133" s="1"/>
      <c r="D133" s="1"/>
      <c r="E133" s="1"/>
      <c r="H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thickTop="1" thickBot="1">
      <c r="A134" s="125" t="s">
        <v>1</v>
      </c>
      <c r="B134" s="127" t="s">
        <v>124</v>
      </c>
      <c r="D134" s="125" t="s">
        <v>1</v>
      </c>
      <c r="E134" s="127" t="s">
        <v>119</v>
      </c>
      <c r="H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6" ht="15.75" customHeight="1" thickTop="1" thickBot="1">
      <c r="A135" s="122" t="s">
        <v>15</v>
      </c>
      <c r="B135" s="121">
        <f t="shared" ref="B135:B154" si="24">ROUND(N3/B90, 5)</f>
        <v>1.2899999999999999E-3</v>
      </c>
      <c r="D135" s="122" t="s">
        <v>27</v>
      </c>
      <c r="E135" s="121">
        <v>2.48</v>
      </c>
      <c r="H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6" ht="15.75" customHeight="1" thickTop="1" thickBot="1">
      <c r="A136" s="122" t="s">
        <v>19</v>
      </c>
      <c r="B136" s="121">
        <f t="shared" si="24"/>
        <v>8.0999999999999996E-4</v>
      </c>
      <c r="D136" s="123" t="s">
        <v>39</v>
      </c>
      <c r="E136" s="121">
        <v>1.32</v>
      </c>
      <c r="H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6" ht="15.75" customHeight="1" thickTop="1" thickBot="1">
      <c r="A137" s="122" t="s">
        <v>21</v>
      </c>
      <c r="B137" s="121">
        <f t="shared" si="24"/>
        <v>2.1000000000000001E-4</v>
      </c>
      <c r="D137" s="122" t="s">
        <v>19</v>
      </c>
      <c r="E137" s="121">
        <v>1.24</v>
      </c>
      <c r="H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6" ht="15.75" customHeight="1" thickTop="1" thickBot="1">
      <c r="A138" s="122" t="s">
        <v>23</v>
      </c>
      <c r="B138" s="121">
        <f t="shared" si="24"/>
        <v>8.9999999999999998E-4</v>
      </c>
      <c r="D138" s="123" t="s">
        <v>47</v>
      </c>
      <c r="E138" s="121">
        <v>1.2</v>
      </c>
      <c r="H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6" ht="15.75" customHeight="1" thickTop="1" thickBot="1">
      <c r="A139" s="122" t="s">
        <v>25</v>
      </c>
      <c r="B139" s="121">
        <f t="shared" si="24"/>
        <v>5.9999999999999995E-4</v>
      </c>
      <c r="D139" s="123" t="s">
        <v>33</v>
      </c>
      <c r="E139" s="121">
        <v>1.19</v>
      </c>
      <c r="H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6" ht="15.75" customHeight="1" thickTop="1" thickBot="1">
      <c r="A140" s="122" t="s">
        <v>27</v>
      </c>
      <c r="B140" s="121">
        <f t="shared" si="24"/>
        <v>2.1000000000000001E-4</v>
      </c>
      <c r="D140" s="123" t="s">
        <v>45</v>
      </c>
      <c r="E140" s="121">
        <v>1.1599999999999999</v>
      </c>
      <c r="H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6" ht="15.75" customHeight="1" thickTop="1" thickBot="1">
      <c r="A141" s="123" t="s">
        <v>29</v>
      </c>
      <c r="B141" s="121">
        <f t="shared" si="24"/>
        <v>1.7600000000000001E-3</v>
      </c>
      <c r="D141" s="122" t="s">
        <v>15</v>
      </c>
      <c r="E141" s="121">
        <v>1.1399999999999999</v>
      </c>
      <c r="H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6" ht="15.75" customHeight="1" thickTop="1" thickBot="1">
      <c r="A142" s="123" t="s">
        <v>31</v>
      </c>
      <c r="B142" s="121">
        <f t="shared" si="24"/>
        <v>1.74E-3</v>
      </c>
      <c r="D142" s="122" t="s">
        <v>23</v>
      </c>
      <c r="E142" s="121">
        <v>1.1299999999999999</v>
      </c>
      <c r="H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6" ht="15.75" customHeight="1" thickTop="1" thickBot="1">
      <c r="A143" s="123" t="s">
        <v>33</v>
      </c>
      <c r="B143" s="121">
        <f t="shared" si="24"/>
        <v>3.0500000000000002E-3</v>
      </c>
      <c r="D143" s="123" t="s">
        <v>37</v>
      </c>
      <c r="E143" s="121">
        <v>1.1000000000000001</v>
      </c>
      <c r="H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6" ht="15.75" customHeight="1" thickTop="1" thickBot="1">
      <c r="A144" s="123" t="s">
        <v>35</v>
      </c>
      <c r="B144" s="121">
        <f t="shared" si="24"/>
        <v>7.6000000000000004E-4</v>
      </c>
      <c r="D144" s="123" t="s">
        <v>29</v>
      </c>
      <c r="E144" s="121">
        <v>1.02</v>
      </c>
      <c r="H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thickTop="1" thickBot="1">
      <c r="A145" s="123" t="s">
        <v>37</v>
      </c>
      <c r="B145" s="121">
        <f t="shared" si="24"/>
        <v>3.0500000000000002E-3</v>
      </c>
      <c r="D145" s="123" t="s">
        <v>41</v>
      </c>
      <c r="E145" s="121">
        <v>1.02</v>
      </c>
      <c r="H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thickTop="1" thickBot="1">
      <c r="A146" s="123" t="s">
        <v>39</v>
      </c>
      <c r="B146" s="121">
        <f t="shared" si="24"/>
        <v>2.1900000000000001E-3</v>
      </c>
      <c r="D146" s="123" t="s">
        <v>43</v>
      </c>
      <c r="E146" s="121">
        <v>0.99</v>
      </c>
      <c r="H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thickTop="1" thickBot="1">
      <c r="A147" s="123" t="s">
        <v>41</v>
      </c>
      <c r="B147" s="121">
        <f t="shared" si="24"/>
        <v>1.5E-3</v>
      </c>
      <c r="D147" s="123" t="s">
        <v>35</v>
      </c>
      <c r="E147" s="121">
        <v>0.86</v>
      </c>
      <c r="H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thickTop="1" thickBot="1">
      <c r="A148" s="123" t="s">
        <v>43</v>
      </c>
      <c r="B148" s="121">
        <f t="shared" si="24"/>
        <v>1.0200000000000001E-3</v>
      </c>
      <c r="D148" s="123" t="s">
        <v>49</v>
      </c>
      <c r="E148" s="121">
        <v>0.84</v>
      </c>
      <c r="H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thickTop="1" thickBot="1">
      <c r="A149" s="123" t="s">
        <v>45</v>
      </c>
      <c r="B149" s="121">
        <f t="shared" si="24"/>
        <v>3.0500000000000002E-3</v>
      </c>
      <c r="D149" s="123" t="s">
        <v>31</v>
      </c>
      <c r="E149" s="121">
        <v>0.8</v>
      </c>
      <c r="H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thickTop="1" thickBot="1">
      <c r="A150" s="123" t="s">
        <v>47</v>
      </c>
      <c r="B150" s="121">
        <f t="shared" si="24"/>
        <v>2.2799999999999999E-3</v>
      </c>
      <c r="D150" s="122" t="s">
        <v>25</v>
      </c>
      <c r="E150" s="121">
        <v>0.73</v>
      </c>
      <c r="H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thickTop="1" thickBot="1">
      <c r="A151" s="123" t="s">
        <v>49</v>
      </c>
      <c r="B151" s="121">
        <f t="shared" si="24"/>
        <v>1.49E-3</v>
      </c>
      <c r="D151" s="123" t="s">
        <v>51</v>
      </c>
      <c r="E151" s="121">
        <v>0.62</v>
      </c>
      <c r="H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thickTop="1" thickBot="1">
      <c r="A152" s="123" t="s">
        <v>51</v>
      </c>
      <c r="B152" s="121">
        <f t="shared" si="24"/>
        <v>9.7000000000000005E-4</v>
      </c>
      <c r="D152" s="124" t="s">
        <v>54</v>
      </c>
      <c r="E152" s="121">
        <v>0.52</v>
      </c>
      <c r="H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thickTop="1" thickBot="1">
      <c r="A153" s="124" t="s">
        <v>53</v>
      </c>
      <c r="B153" s="121">
        <f t="shared" si="24"/>
        <v>8.3000000000000001E-4</v>
      </c>
      <c r="D153" s="124" t="s">
        <v>53</v>
      </c>
      <c r="E153" s="121">
        <v>0.41</v>
      </c>
      <c r="H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thickTop="1" thickBot="1">
      <c r="A154" s="124" t="s">
        <v>54</v>
      </c>
      <c r="B154" s="121">
        <f t="shared" si="24"/>
        <v>8.3000000000000001E-4</v>
      </c>
      <c r="D154" s="122" t="s">
        <v>21</v>
      </c>
      <c r="E154" s="121">
        <v>0.23</v>
      </c>
      <c r="H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thickTop="1" thickBot="1">
      <c r="A155" s="1"/>
      <c r="B155" s="1"/>
      <c r="C155" s="1"/>
      <c r="H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thickTop="1" thickBot="1">
      <c r="A156" s="125" t="s">
        <v>1</v>
      </c>
      <c r="B156" s="127" t="s">
        <v>125</v>
      </c>
      <c r="C156" s="1"/>
      <c r="D156" s="125" t="s">
        <v>1</v>
      </c>
      <c r="E156" s="127" t="s">
        <v>119</v>
      </c>
      <c r="G156" s="1"/>
      <c r="H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thickTop="1" thickBot="1">
      <c r="A157" s="122" t="s">
        <v>15</v>
      </c>
      <c r="B157" s="121">
        <f t="shared" ref="B157:B176" si="25">ROUND(W34/B90, 5)</f>
        <v>2.2599999999999999E-3</v>
      </c>
      <c r="C157" s="1"/>
      <c r="D157" s="154" t="s">
        <v>27</v>
      </c>
      <c r="E157" s="155">
        <v>2.48</v>
      </c>
      <c r="G157" s="1"/>
      <c r="H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thickTop="1" thickBot="1">
      <c r="A158" s="122" t="s">
        <v>19</v>
      </c>
      <c r="B158" s="121">
        <f t="shared" si="25"/>
        <v>3.0300000000000001E-3</v>
      </c>
      <c r="C158" s="1"/>
      <c r="D158" s="123" t="s">
        <v>39</v>
      </c>
      <c r="E158" s="121">
        <v>1.32</v>
      </c>
      <c r="G158" s="1"/>
      <c r="H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thickTop="1" thickBot="1">
      <c r="A159" s="122" t="s">
        <v>21</v>
      </c>
      <c r="B159" s="121">
        <f t="shared" si="25"/>
        <v>5.1000000000000004E-4</v>
      </c>
      <c r="C159" s="1"/>
      <c r="D159" s="154" t="s">
        <v>19</v>
      </c>
      <c r="E159" s="155">
        <v>1.24</v>
      </c>
      <c r="G159" s="1"/>
      <c r="H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thickTop="1" thickBot="1">
      <c r="A160" s="122" t="s">
        <v>23</v>
      </c>
      <c r="B160" s="121">
        <f t="shared" si="25"/>
        <v>2.5899999999999999E-3</v>
      </c>
      <c r="C160" s="1"/>
      <c r="D160" s="123" t="s">
        <v>47</v>
      </c>
      <c r="E160" s="121">
        <v>1.2</v>
      </c>
      <c r="G160" s="1"/>
      <c r="H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6" ht="15.75" customHeight="1" thickTop="1" thickBot="1">
      <c r="A161" s="122" t="s">
        <v>25</v>
      </c>
      <c r="B161" s="121">
        <f t="shared" si="25"/>
        <v>1.65E-3</v>
      </c>
      <c r="C161" s="1"/>
      <c r="D161" s="156" t="s">
        <v>33</v>
      </c>
      <c r="E161" s="155">
        <v>1.19</v>
      </c>
      <c r="G161" s="1"/>
      <c r="H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6" ht="15.75" customHeight="1" thickTop="1" thickBot="1">
      <c r="A162" s="122" t="s">
        <v>27</v>
      </c>
      <c r="B162" s="121">
        <f t="shared" si="25"/>
        <v>7.45E-3</v>
      </c>
      <c r="C162" s="1"/>
      <c r="D162" s="123" t="s">
        <v>45</v>
      </c>
      <c r="E162" s="121">
        <v>1.1599999999999999</v>
      </c>
      <c r="G162" s="1"/>
      <c r="H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thickTop="1" thickBot="1">
      <c r="A163" s="123" t="s">
        <v>29</v>
      </c>
      <c r="B163" s="121">
        <f t="shared" si="25"/>
        <v>1.42E-3</v>
      </c>
      <c r="C163" s="1"/>
      <c r="D163" s="154" t="s">
        <v>15</v>
      </c>
      <c r="E163" s="155">
        <v>1.1399999999999999</v>
      </c>
      <c r="G163" s="1"/>
      <c r="H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thickTop="1" thickBot="1">
      <c r="A164" s="123" t="s">
        <v>31</v>
      </c>
      <c r="B164" s="121">
        <f t="shared" si="25"/>
        <v>7.2999999999999996E-4</v>
      </c>
      <c r="C164" s="1"/>
      <c r="D164" s="122" t="s">
        <v>23</v>
      </c>
      <c r="E164" s="121">
        <v>1.1299999999999999</v>
      </c>
      <c r="G164" s="1"/>
      <c r="H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thickTop="1" thickBot="1">
      <c r="A165" s="123" t="s">
        <v>33</v>
      </c>
      <c r="B165" s="121">
        <f t="shared" si="25"/>
        <v>6.4000000000000005E-4</v>
      </c>
      <c r="C165" s="1"/>
      <c r="D165" s="156" t="s">
        <v>37</v>
      </c>
      <c r="E165" s="155">
        <v>1.1000000000000001</v>
      </c>
      <c r="G165" s="1"/>
      <c r="H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thickTop="1" thickBot="1">
      <c r="A166" s="123" t="s">
        <v>35</v>
      </c>
      <c r="B166" s="121">
        <f t="shared" si="25"/>
        <v>1.92E-3</v>
      </c>
      <c r="C166" s="1"/>
      <c r="D166" s="156" t="s">
        <v>29</v>
      </c>
      <c r="E166" s="155">
        <v>1.02</v>
      </c>
      <c r="G166" s="1"/>
      <c r="H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thickTop="1" thickBot="1">
      <c r="A167" s="123" t="s">
        <v>37</v>
      </c>
      <c r="B167" s="121">
        <f t="shared" si="25"/>
        <v>3.6999999999999999E-4</v>
      </c>
      <c r="C167" s="1"/>
      <c r="D167" s="123" t="s">
        <v>41</v>
      </c>
      <c r="E167" s="121">
        <v>1.02</v>
      </c>
      <c r="G167" s="1"/>
      <c r="H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thickTop="1" thickBot="1">
      <c r="A168" s="123" t="s">
        <v>39</v>
      </c>
      <c r="B168" s="121">
        <f t="shared" si="25"/>
        <v>1.89E-3</v>
      </c>
      <c r="C168" s="1"/>
      <c r="D168" s="123" t="s">
        <v>43</v>
      </c>
      <c r="E168" s="121">
        <v>0.99</v>
      </c>
      <c r="G168" s="1"/>
      <c r="H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thickTop="1" thickBot="1">
      <c r="A169" s="123" t="s">
        <v>41</v>
      </c>
      <c r="B169" s="121">
        <f t="shared" si="25"/>
        <v>1.67E-3</v>
      </c>
      <c r="C169" s="1"/>
      <c r="D169" s="156" t="s">
        <v>35</v>
      </c>
      <c r="E169" s="155">
        <v>0.86</v>
      </c>
      <c r="G169" s="1"/>
      <c r="H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thickTop="1" thickBot="1">
      <c r="A170" s="123" t="s">
        <v>43</v>
      </c>
      <c r="B170" s="121">
        <f t="shared" si="25"/>
        <v>2.0699999999999998E-3</v>
      </c>
      <c r="C170" s="1"/>
      <c r="D170" s="123" t="s">
        <v>49</v>
      </c>
      <c r="E170" s="121">
        <v>0.84</v>
      </c>
      <c r="G170" s="1"/>
      <c r="H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thickTop="1" thickBot="1">
      <c r="A171" s="123" t="s">
        <v>45</v>
      </c>
      <c r="B171" s="121">
        <f t="shared" si="25"/>
        <v>5.4000000000000001E-4</v>
      </c>
      <c r="C171" s="1"/>
      <c r="D171" s="156" t="s">
        <v>31</v>
      </c>
      <c r="E171" s="155">
        <v>0.8</v>
      </c>
      <c r="G171" s="1"/>
      <c r="H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thickTop="1" thickBot="1">
      <c r="A172" s="123" t="s">
        <v>47</v>
      </c>
      <c r="B172" s="121">
        <f t="shared" si="25"/>
        <v>1.4400000000000001E-3</v>
      </c>
      <c r="C172" s="1"/>
      <c r="D172" s="122" t="s">
        <v>25</v>
      </c>
      <c r="E172" s="121">
        <v>0.73</v>
      </c>
      <c r="G172" s="1"/>
      <c r="H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thickTop="1" thickBot="1">
      <c r="A173" s="123" t="s">
        <v>49</v>
      </c>
      <c r="B173" s="121">
        <f t="shared" si="25"/>
        <v>1.1199999999999999E-3</v>
      </c>
      <c r="C173" s="1"/>
      <c r="D173" s="123" t="s">
        <v>51</v>
      </c>
      <c r="E173" s="121">
        <v>0.62</v>
      </c>
      <c r="G173" s="1"/>
      <c r="H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thickTop="1" thickBot="1">
      <c r="A174" s="123" t="s">
        <v>51</v>
      </c>
      <c r="B174" s="121">
        <f t="shared" si="25"/>
        <v>9.6000000000000002E-4</v>
      </c>
      <c r="C174" s="1"/>
      <c r="D174" s="124" t="s">
        <v>54</v>
      </c>
      <c r="E174" s="121">
        <v>0.52</v>
      </c>
      <c r="G174" s="1"/>
      <c r="H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thickTop="1" thickBot="1">
      <c r="A175" s="124" t="s">
        <v>53</v>
      </c>
      <c r="B175" s="121">
        <f t="shared" si="25"/>
        <v>4.4000000000000002E-4</v>
      </c>
      <c r="C175" s="1"/>
      <c r="D175" s="157" t="s">
        <v>53</v>
      </c>
      <c r="E175" s="155">
        <v>0.41</v>
      </c>
      <c r="G175" s="1"/>
      <c r="H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thickTop="1" thickBot="1">
      <c r="A176" s="124" t="s">
        <v>54</v>
      </c>
      <c r="B176" s="121">
        <f t="shared" si="25"/>
        <v>7.7999999999999999E-4</v>
      </c>
      <c r="C176" s="1"/>
      <c r="D176" s="154" t="s">
        <v>21</v>
      </c>
      <c r="E176" s="155">
        <v>0.23</v>
      </c>
      <c r="G176" s="1"/>
      <c r="H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thickTop="1" thickBot="1">
      <c r="C177" s="1"/>
      <c r="D177" s="75" t="s">
        <v>120</v>
      </c>
      <c r="E177" s="125">
        <v>10</v>
      </c>
      <c r="G177" s="1"/>
      <c r="H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thickTop="1" thickBot="1">
      <c r="A178" s="125" t="s">
        <v>1</v>
      </c>
      <c r="B178" s="162" t="s">
        <v>126</v>
      </c>
      <c r="C178" s="1"/>
      <c r="D178" s="75" t="s">
        <v>122</v>
      </c>
      <c r="E178" s="125">
        <f>(E157+E159+E161+E163+E165+E166+E169+E171+E175+E176)/E177</f>
        <v>1.0470000000000002</v>
      </c>
      <c r="G178" s="1"/>
      <c r="H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thickTop="1" thickBot="1">
      <c r="A179" s="122" t="s">
        <v>15</v>
      </c>
      <c r="B179" s="121">
        <f>ROUND(IF(G3="Yes",J67*(L34)/B90,J67*(L34*(1-($F$60/100)))/B90), 5)</f>
        <v>0.95625000000000004</v>
      </c>
      <c r="C179" s="1"/>
      <c r="D179" s="2"/>
      <c r="E179" s="1"/>
      <c r="G179" s="1"/>
      <c r="H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thickTop="1" thickBot="1">
      <c r="A180" s="122" t="s">
        <v>19</v>
      </c>
      <c r="B180" s="121">
        <f>ROUND(IF(G4="Yes",J68*(L35)/B91,J68*(L35*(1-($F$60/100)))/B91), 5)</f>
        <v>1.0656300000000001</v>
      </c>
      <c r="C180" s="1"/>
      <c r="D180" s="125" t="s">
        <v>1</v>
      </c>
      <c r="E180" s="127" t="s">
        <v>119</v>
      </c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thickTop="1" thickBot="1">
      <c r="A181" s="122" t="s">
        <v>21</v>
      </c>
      <c r="B181" s="121">
        <f>ROUND(IF(G5="Yes",J69*(L36)/B92,J69*(L36*(1-($F$60/100)))/B92), 5)</f>
        <v>4.6670000000000003E-2</v>
      </c>
      <c r="C181" s="1"/>
      <c r="D181" s="158" t="s">
        <v>27</v>
      </c>
      <c r="E181" s="159">
        <v>2.48</v>
      </c>
      <c r="G181" s="1"/>
      <c r="H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thickTop="1" thickBot="1">
      <c r="A182" s="122" t="s">
        <v>23</v>
      </c>
      <c r="B182" s="121">
        <f>ROUND(IF(G6="Yes",J70*(L37)/B93,J70*(L37*(1-($F$60/100)))/B93), 5)</f>
        <v>0.79437999999999998</v>
      </c>
      <c r="C182" s="1"/>
      <c r="D182" s="160" t="s">
        <v>39</v>
      </c>
      <c r="E182" s="159">
        <v>1.32</v>
      </c>
      <c r="G182" s="1"/>
      <c r="H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thickTop="1" thickBot="1">
      <c r="A183" s="122" t="s">
        <v>25</v>
      </c>
      <c r="B183" s="121">
        <f>ROUND(IF(G7="Yes",J71*(L38)/B94,J71*(L38*(1-($F$60/100)))/B94), 5)</f>
        <v>0.58333000000000002</v>
      </c>
      <c r="C183" s="1"/>
      <c r="D183" s="122" t="s">
        <v>19</v>
      </c>
      <c r="E183" s="121">
        <v>1.24</v>
      </c>
      <c r="G183" s="1"/>
      <c r="H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thickTop="1" thickBot="1">
      <c r="A184" s="122" t="s">
        <v>27</v>
      </c>
      <c r="B184" s="121">
        <f>ROUND(((L39 * (D60 / 100) * J72 + P39 * (1 - (D60 / 100))) * M72)/B95, 5)</f>
        <v>2</v>
      </c>
      <c r="C184" s="1"/>
      <c r="D184" s="160" t="s">
        <v>47</v>
      </c>
      <c r="E184" s="159">
        <v>1.2</v>
      </c>
      <c r="G184" s="1"/>
      <c r="H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thickTop="1" thickBot="1">
      <c r="A185" s="123" t="s">
        <v>29</v>
      </c>
      <c r="B185" s="121">
        <f>ROUND(IF(G9="Yes",J73*(L40)/B96,J73*(L40*(1-($F$60/100)))/B96), 5)</f>
        <v>0.6</v>
      </c>
      <c r="C185" s="1"/>
      <c r="D185" s="123" t="s">
        <v>33</v>
      </c>
      <c r="E185" s="121">
        <v>1.19</v>
      </c>
      <c r="G185" s="1"/>
      <c r="H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thickTop="1" thickBot="1">
      <c r="A186" s="123" t="s">
        <v>31</v>
      </c>
      <c r="B186" s="121">
        <f>ROUND(IF(G10="Yes",J74*(L41)/B97,J74*(L41*(1-($F$60/100)))/B97), 5)</f>
        <v>0.31070999999999999</v>
      </c>
      <c r="C186" s="1"/>
      <c r="D186" s="160" t="s">
        <v>45</v>
      </c>
      <c r="E186" s="159">
        <v>1.1599999999999999</v>
      </c>
      <c r="G186" s="1"/>
      <c r="H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thickTop="1" thickBot="1">
      <c r="A187" s="123" t="s">
        <v>33</v>
      </c>
      <c r="B187" s="121">
        <f>ROUND(IF(G11="Yes",J75*(L42)/B98,J75*(L42*(1-($F$60/100)))/B98), 5)</f>
        <v>6.5000000000000002E-2</v>
      </c>
      <c r="C187" s="1"/>
      <c r="D187" s="158" t="s">
        <v>15</v>
      </c>
      <c r="E187" s="159">
        <v>1.1399999999999999</v>
      </c>
      <c r="G187" s="1"/>
      <c r="H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thickTop="1" thickBot="1">
      <c r="A188" s="123" t="s">
        <v>35</v>
      </c>
      <c r="B188" s="121">
        <f>ROUND(IF(G12="Yes",J76*(L43)/B99,J76*(L43*(1-($F$60/100)))/B99), 5)</f>
        <v>0.66</v>
      </c>
      <c r="C188" s="1"/>
      <c r="D188" s="158" t="s">
        <v>23</v>
      </c>
      <c r="E188" s="159">
        <v>1.1299999999999999</v>
      </c>
      <c r="G188" s="1"/>
      <c r="H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thickTop="1" thickBot="1">
      <c r="A189" s="123" t="s">
        <v>37</v>
      </c>
      <c r="B189" s="121">
        <f>ROUND(I61/B100, 5)</f>
        <v>0.11</v>
      </c>
      <c r="C189" s="1"/>
      <c r="D189" s="123" t="s">
        <v>37</v>
      </c>
      <c r="E189" s="121">
        <v>1.1000000000000001</v>
      </c>
      <c r="G189" s="1"/>
      <c r="H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thickTop="1" thickBot="1">
      <c r="A190" s="123" t="s">
        <v>39</v>
      </c>
      <c r="B190" s="121">
        <f t="shared" ref="B190:B198" si="26">ROUND(IF(G14="Yes",J78*(L45)/B101,J78*(L45*(1-($F$60/100)))/B101), 5)</f>
        <v>0.8</v>
      </c>
      <c r="C190" s="1"/>
      <c r="D190" s="123" t="s">
        <v>29</v>
      </c>
      <c r="E190" s="121">
        <v>1.02</v>
      </c>
      <c r="G190" s="1"/>
      <c r="H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thickTop="1" thickBot="1">
      <c r="A191" s="123" t="s">
        <v>41</v>
      </c>
      <c r="B191" s="121">
        <f t="shared" si="26"/>
        <v>0.152</v>
      </c>
      <c r="C191" s="1"/>
      <c r="D191" s="160" t="s">
        <v>41</v>
      </c>
      <c r="E191" s="159">
        <v>1.02</v>
      </c>
      <c r="G191" s="1"/>
      <c r="H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thickTop="1" thickBot="1">
      <c r="A192" s="123" t="s">
        <v>43</v>
      </c>
      <c r="B192" s="121">
        <f t="shared" si="26"/>
        <v>0.72777999999999998</v>
      </c>
      <c r="C192" s="1"/>
      <c r="D192" s="160" t="s">
        <v>43</v>
      </c>
      <c r="E192" s="159">
        <v>0.99</v>
      </c>
      <c r="G192" s="1"/>
      <c r="H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thickTop="1" thickBot="1">
      <c r="A193" s="123" t="s">
        <v>45</v>
      </c>
      <c r="B193" s="121">
        <f t="shared" si="26"/>
        <v>0.05</v>
      </c>
      <c r="C193" s="1"/>
      <c r="D193" s="160" t="s">
        <v>35</v>
      </c>
      <c r="E193" s="159">
        <v>0.86</v>
      </c>
      <c r="G193" s="1"/>
      <c r="H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thickTop="1" thickBot="1">
      <c r="A194" s="123" t="s">
        <v>47</v>
      </c>
      <c r="B194" s="121">
        <f t="shared" si="26"/>
        <v>0.44</v>
      </c>
      <c r="C194" s="1"/>
      <c r="D194" s="160" t="s">
        <v>49</v>
      </c>
      <c r="E194" s="159">
        <v>0.84</v>
      </c>
      <c r="G194" s="1"/>
      <c r="H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thickTop="1" thickBot="1">
      <c r="A195" s="123" t="s">
        <v>49</v>
      </c>
      <c r="B195" s="121">
        <f t="shared" si="26"/>
        <v>0.10222000000000001</v>
      </c>
      <c r="C195" s="1"/>
      <c r="D195" s="160" t="s">
        <v>31</v>
      </c>
      <c r="E195" s="159">
        <v>0.8</v>
      </c>
      <c r="G195" s="1"/>
      <c r="H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thickTop="1" thickBot="1">
      <c r="A196" s="123" t="s">
        <v>51</v>
      </c>
      <c r="B196" s="121">
        <f t="shared" si="26"/>
        <v>0.29332999999999998</v>
      </c>
      <c r="C196" s="1"/>
      <c r="D196" s="158" t="s">
        <v>25</v>
      </c>
      <c r="E196" s="159">
        <v>0.73</v>
      </c>
      <c r="G196" s="1"/>
      <c r="H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thickTop="1" thickBot="1">
      <c r="A197" s="124" t="s">
        <v>53</v>
      </c>
      <c r="B197" s="121">
        <f t="shared" si="26"/>
        <v>0.04</v>
      </c>
      <c r="C197" s="1"/>
      <c r="D197" s="160" t="s">
        <v>51</v>
      </c>
      <c r="E197" s="159">
        <v>0.62</v>
      </c>
      <c r="G197" s="1"/>
      <c r="H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thickTop="1" thickBot="1">
      <c r="A198" s="124" t="s">
        <v>54</v>
      </c>
      <c r="B198" s="121">
        <f t="shared" si="26"/>
        <v>0.27500000000000002</v>
      </c>
      <c r="C198" s="1"/>
      <c r="D198" s="161" t="s">
        <v>54</v>
      </c>
      <c r="E198" s="159">
        <v>0.52</v>
      </c>
      <c r="G198" s="1"/>
      <c r="H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thickTop="1" thickBot="1">
      <c r="C199" s="1"/>
      <c r="D199" s="124" t="s">
        <v>53</v>
      </c>
      <c r="E199" s="121">
        <v>0.41</v>
      </c>
      <c r="G199" s="1"/>
      <c r="H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thickTop="1" thickBot="1">
      <c r="A200" s="125" t="s">
        <v>1</v>
      </c>
      <c r="B200" s="127" t="s">
        <v>127</v>
      </c>
      <c r="C200" s="1"/>
      <c r="D200" s="158" t="s">
        <v>21</v>
      </c>
      <c r="E200" s="159">
        <v>0.23</v>
      </c>
      <c r="G200" s="1"/>
      <c r="H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thickTop="1" thickBot="1">
      <c r="A201" s="122" t="s">
        <v>15</v>
      </c>
      <c r="B201" s="121">
        <f>ROUND(IF(G3="Yes",J67*(M34)/B90,J67*(M34*(1-($F$61/100)))/B90), 5)</f>
        <v>0.51</v>
      </c>
      <c r="C201" s="1"/>
      <c r="D201" s="75" t="s">
        <v>121</v>
      </c>
      <c r="E201" s="125">
        <v>15</v>
      </c>
      <c r="G201" s="1"/>
      <c r="H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thickTop="1" thickBot="1">
      <c r="A202" s="122" t="s">
        <v>19</v>
      </c>
      <c r="B202" s="121">
        <f>ROUND(IF(G4="Yes",J68*(M35)/B91,J68*(M35*(1-($F$61/100)))/B91), 5)</f>
        <v>0.92030999999999996</v>
      </c>
      <c r="D202" s="75" t="s">
        <v>123</v>
      </c>
      <c r="E202" s="125">
        <f>(E181+E182+E184+E186+E187+E188+E191+E192+E193+E194+E195+E196+E197+E198+E200)/E201</f>
        <v>1.0026666666666666</v>
      </c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thickTop="1" thickBot="1">
      <c r="A203" s="122" t="s">
        <v>21</v>
      </c>
      <c r="B203" s="121">
        <f>ROUND(IF(G5="Yes",J69*(M36)/B92,J69*(M36*(1-($F$61/100)))/B92), 5)</f>
        <v>0.13417000000000001</v>
      </c>
      <c r="G203" s="1"/>
      <c r="H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thickTop="1" thickBot="1">
      <c r="A204" s="122" t="s">
        <v>23</v>
      </c>
      <c r="B204" s="121">
        <f>ROUND(IF(G6="Yes",J70*(M37)/B93,J70*(M37*(1-($F$61/100)))/B93), 5)</f>
        <v>0.89688000000000001</v>
      </c>
      <c r="G204" s="1"/>
      <c r="H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thickTop="1" thickBot="1">
      <c r="A205" s="122" t="s">
        <v>25</v>
      </c>
      <c r="B205" s="121">
        <f>ROUND(IF(G7="Yes",J71*(M38)/B94,J71*(M38*(1-($F$61/100)))/B94), 5)</f>
        <v>0.5</v>
      </c>
      <c r="G205" s="1"/>
      <c r="H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thickTop="1" thickBot="1">
      <c r="A206" s="122" t="s">
        <v>27</v>
      </c>
      <c r="B206" s="121">
        <f>ROUND(((M39 * (D61 / 100) * J72 + Q39 * (1 - (D61 / 100))) * M72)/B95, 5)</f>
        <v>3.6824599999999998</v>
      </c>
      <c r="G206" s="1"/>
      <c r="H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thickTop="1" thickBot="1">
      <c r="A207" s="123" t="s">
        <v>29</v>
      </c>
      <c r="B207" s="121">
        <f>ROUND(IF(G9="Yes",J73*(M40)/B96,J73*(M40*(1-($F$61/100)))/B96), 5)</f>
        <v>0.32</v>
      </c>
      <c r="G207" s="1"/>
      <c r="H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thickTop="1" thickBot="1">
      <c r="A208" s="123" t="s">
        <v>31</v>
      </c>
      <c r="B208" s="121">
        <f>ROUND(IF(G10="Yes",J74*(M41)/B97,J74*(M41*(1-($F$61/100)))/B97), 5)</f>
        <v>0.16571</v>
      </c>
      <c r="G208" s="1"/>
      <c r="H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thickTop="1" thickBot="1">
      <c r="A209" s="123" t="s">
        <v>33</v>
      </c>
      <c r="B209" s="121">
        <f>ROUND(IF(G11="Yes",J75*(M42)/B98,J75*(M42*(1-($F$61/100)))/B98), 5)</f>
        <v>0.18687999999999999</v>
      </c>
      <c r="G209" s="1"/>
      <c r="H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thickTop="1" thickBot="1">
      <c r="A210" s="123" t="s">
        <v>35</v>
      </c>
      <c r="B210" s="121">
        <f>ROUND(IF(G12="Yes",J76*(M43)/B99,J76*(M43*(1-($F$61/100)))/B99), 5)</f>
        <v>0.56000000000000005</v>
      </c>
      <c r="G210" s="1"/>
      <c r="H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thickTop="1" thickBot="1">
      <c r="A211" s="123" t="s">
        <v>37</v>
      </c>
      <c r="B211" s="121">
        <f>ROUND(J61/B100, 5)</f>
        <v>9.3329999999999996E-2</v>
      </c>
      <c r="G211" s="1"/>
      <c r="H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thickTop="1" thickBot="1">
      <c r="A212" s="123" t="s">
        <v>39</v>
      </c>
      <c r="B212" s="121">
        <f t="shared" ref="B212:B220" si="27">ROUND(IF(G14="Yes",J78*(M45)/B101,J78*(M45*(1-($F$61/100)))/B101), 5)</f>
        <v>0.42666999999999999</v>
      </c>
      <c r="G212" s="1"/>
      <c r="H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thickTop="1" thickBot="1">
      <c r="A213" s="123" t="s">
        <v>41</v>
      </c>
      <c r="B213" s="121">
        <f t="shared" si="27"/>
        <v>0.437</v>
      </c>
      <c r="G213" s="1"/>
      <c r="H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thickTop="1" thickBot="1">
      <c r="A214" s="123" t="s">
        <v>43</v>
      </c>
      <c r="B214" s="121">
        <f t="shared" si="27"/>
        <v>0.62778</v>
      </c>
      <c r="G214" s="1"/>
      <c r="H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thickTop="1" thickBot="1">
      <c r="A215" s="123" t="s">
        <v>45</v>
      </c>
      <c r="B215" s="121">
        <f t="shared" si="27"/>
        <v>0.15833</v>
      </c>
      <c r="G215" s="1"/>
      <c r="H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thickTop="1" thickBot="1">
      <c r="A216" s="123" t="s">
        <v>47</v>
      </c>
      <c r="B216" s="121">
        <f t="shared" si="27"/>
        <v>0.5</v>
      </c>
      <c r="G216" s="1"/>
      <c r="H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thickTop="1" thickBot="1">
      <c r="A217" s="123" t="s">
        <v>49</v>
      </c>
      <c r="B217" s="121">
        <f t="shared" si="27"/>
        <v>0.29388999999999998</v>
      </c>
      <c r="G217" s="1"/>
      <c r="H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thickTop="1" thickBot="1">
      <c r="A218" s="123" t="s">
        <v>51</v>
      </c>
      <c r="B218" s="121">
        <f t="shared" si="27"/>
        <v>0.33333000000000002</v>
      </c>
      <c r="G218" s="1"/>
      <c r="H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thickTop="1" thickBot="1">
      <c r="A219" s="124" t="s">
        <v>53</v>
      </c>
      <c r="B219" s="121">
        <f t="shared" si="27"/>
        <v>0.115</v>
      </c>
      <c r="G219" s="1"/>
      <c r="H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thickTop="1" thickBot="1">
      <c r="A220" s="124" t="s">
        <v>54</v>
      </c>
      <c r="B220" s="121">
        <f t="shared" si="27"/>
        <v>0.23749999999999999</v>
      </c>
      <c r="G220" s="1"/>
      <c r="H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thickTop="1" thickBot="1">
      <c r="G221" s="1"/>
      <c r="H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thickTop="1" thickBot="1">
      <c r="A222" s="125" t="s">
        <v>1</v>
      </c>
      <c r="B222" s="127" t="s">
        <v>128</v>
      </c>
      <c r="G222" s="1"/>
      <c r="H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thickTop="1" thickBot="1">
      <c r="A223" s="122" t="s">
        <v>15</v>
      </c>
      <c r="B223" s="121">
        <f>ROUND(IF(G3="Yes",J67*(N34)/B90,J67*(N34*(1-($F$62/100)))/B90), 5)</f>
        <v>0.51</v>
      </c>
      <c r="C223" s="1"/>
      <c r="G223" s="1"/>
      <c r="H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thickTop="1" thickBot="1">
      <c r="A224" s="122" t="s">
        <v>19</v>
      </c>
      <c r="B224" s="121">
        <f>ROUND(IF(G4="Yes",J68*(N35)/B91,J68*(N35*(1-($F$62/100)))/B91), 5)</f>
        <v>0.67813000000000001</v>
      </c>
      <c r="C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thickTop="1" thickBot="1">
      <c r="A225" s="122" t="s">
        <v>21</v>
      </c>
      <c r="B225" s="121">
        <f>ROUND(IF(G5="Yes",J69*(N36)/B92,J69*(N36*(1-($F$62/100)))/B92), 5)</f>
        <v>0.13417000000000001</v>
      </c>
      <c r="C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thickTop="1" thickBot="1">
      <c r="A226" s="122" t="s">
        <v>23</v>
      </c>
      <c r="B226" s="121">
        <f>ROUND(IF(G6="Yes",J70*(N37)/B93,J70*(N37*(1-($F$62/100)))/B93), 5)</f>
        <v>0.61499999999999999</v>
      </c>
      <c r="C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thickTop="1" thickBot="1">
      <c r="A227" s="122" t="s">
        <v>25</v>
      </c>
      <c r="B227" s="121">
        <f>ROUND(IF(G7="Yes",J71*(N38)/B94,J71*(N38*(1-($F$62/100)))/B94), 5)</f>
        <v>0.375</v>
      </c>
      <c r="C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thickTop="1" thickBot="1">
      <c r="A228" s="122" t="s">
        <v>27</v>
      </c>
      <c r="B228" s="121">
        <f>ROUND(((N39 * (D62 / 100) * J72 + R39 * (1 - (D62 / 100))) * M72)/B95, 5)</f>
        <v>1.6319999999999999</v>
      </c>
      <c r="C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thickTop="1" thickBot="1">
      <c r="A229" s="123" t="s">
        <v>29</v>
      </c>
      <c r="B229" s="121">
        <f>ROUND(IF(G9="Yes",J73*(N40)/B96,J73*(N40*(1-($F$62/100)))/B96), 5)</f>
        <v>0.32</v>
      </c>
      <c r="C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thickTop="1" thickBot="1">
      <c r="A230" s="123" t="s">
        <v>31</v>
      </c>
      <c r="B230" s="121">
        <f>ROUND(IF(G10="Yes",J74*(N41)/B97,J74*(N41*(1-($F$62/100)))/B97), 5)</f>
        <v>0.16571</v>
      </c>
      <c r="C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thickTop="1" thickBot="1">
      <c r="A231" s="123" t="s">
        <v>33</v>
      </c>
      <c r="B231" s="121">
        <f>ROUND(IF(G11="Yes",J75*(N42)/B98,J75*(N42*(1-($F$62/100)))/B98), 5)</f>
        <v>0.18687999999999999</v>
      </c>
      <c r="C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thickTop="1" thickBot="1">
      <c r="A232" s="123" t="s">
        <v>35</v>
      </c>
      <c r="B232" s="121">
        <f>ROUND(IF(G12="Yes",J76*(N43)/B99,J76*(N43*(1-($F$62/100)))/B99), 5)</f>
        <v>0.42</v>
      </c>
      <c r="C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thickTop="1" thickBot="1">
      <c r="A233" s="123" t="s">
        <v>37</v>
      </c>
      <c r="B233" s="121">
        <f>ROUND(K61/B100, 5)</f>
        <v>7.0000000000000007E-2</v>
      </c>
      <c r="C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thickTop="1" thickBot="1">
      <c r="A234" s="123" t="s">
        <v>39</v>
      </c>
      <c r="B234" s="121">
        <f t="shared" ref="B234:B242" si="28">ROUND(IF(G14="Yes",J78*(N45)/B101,J78*(N45*(1-($F$62/100)))/B101), 5)</f>
        <v>0.42666999999999999</v>
      </c>
      <c r="C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thickTop="1" thickBot="1">
      <c r="A235" s="123" t="s">
        <v>41</v>
      </c>
      <c r="B235" s="121">
        <f t="shared" si="28"/>
        <v>0.437</v>
      </c>
      <c r="C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thickTop="1" thickBot="1">
      <c r="A236" s="123" t="s">
        <v>43</v>
      </c>
      <c r="B236" s="121">
        <f t="shared" si="28"/>
        <v>0.46666999999999997</v>
      </c>
      <c r="C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thickTop="1" thickBot="1">
      <c r="A237" s="123" t="s">
        <v>45</v>
      </c>
      <c r="B237" s="121">
        <f t="shared" si="28"/>
        <v>0.15833</v>
      </c>
      <c r="C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thickTop="1" thickBot="1">
      <c r="A238" s="123" t="s">
        <v>47</v>
      </c>
      <c r="B238" s="121">
        <f t="shared" si="28"/>
        <v>0.34</v>
      </c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thickTop="1" thickBot="1">
      <c r="A239" s="123" t="s">
        <v>49</v>
      </c>
      <c r="B239" s="121">
        <f t="shared" si="28"/>
        <v>0.29388999999999998</v>
      </c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thickTop="1" thickBot="1">
      <c r="A240" s="123" t="s">
        <v>51</v>
      </c>
      <c r="B240" s="121">
        <f t="shared" si="28"/>
        <v>0.23</v>
      </c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thickTop="1" thickBot="1">
      <c r="A241" s="124" t="s">
        <v>53</v>
      </c>
      <c r="B241" s="121">
        <f t="shared" si="28"/>
        <v>0.115</v>
      </c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thickTop="1" thickBot="1">
      <c r="A242" s="124" t="s">
        <v>54</v>
      </c>
      <c r="B242" s="121">
        <f t="shared" si="28"/>
        <v>0.17499999999999999</v>
      </c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thickTop="1" thickBot="1"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thickTop="1" thickBot="1">
      <c r="A244" s="125" t="s">
        <v>1</v>
      </c>
      <c r="B244" s="127" t="s">
        <v>129</v>
      </c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thickTop="1" thickBot="1">
      <c r="A245" s="122" t="s">
        <v>15</v>
      </c>
      <c r="B245" s="121">
        <f>ROUND(IF(G3="Yes",J67*(O34)/B90,J67*(O34*(1-($F$63/100)))/B90), 5)</f>
        <v>0.18214</v>
      </c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thickTop="1" thickBot="1">
      <c r="A246" s="122" t="s">
        <v>19</v>
      </c>
      <c r="B246" s="121">
        <f>ROUND(IF(G4="Yes",J68*(O35)/B91,J68*(O35*(1-($F$63/100)))/B91), 5)</f>
        <v>0.22489000000000001</v>
      </c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thickTop="1" thickBot="1">
      <c r="A247" s="122" t="s">
        <v>21</v>
      </c>
      <c r="B247" s="121">
        <f>ROUND(IF(G5="Yes",J69*(O36)/B92,J69*(O36*(1-($F$63/100)))/B92), 5)</f>
        <v>0.17499999999999999</v>
      </c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thickTop="1" thickBot="1">
      <c r="A248" s="122" t="s">
        <v>23</v>
      </c>
      <c r="B248" s="121">
        <f>ROUND(IF(G6="Yes",J70*(O37)/B93,J70*(O37*(1-($F$63/100)))/B93), 5)</f>
        <v>0.16472999999999999</v>
      </c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thickTop="1" thickBot="1">
      <c r="A249" s="122" t="s">
        <v>25</v>
      </c>
      <c r="B249" s="121">
        <f>ROUND(IF(G7="Yes",J71*(O38)/B94,J71*(O38*(1-($F$63/100)))/B94), 5)</f>
        <v>0.11905</v>
      </c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thickTop="1" thickBot="1">
      <c r="A250" s="122" t="s">
        <v>27</v>
      </c>
      <c r="B250" s="121">
        <f>ROUND(((O39 * (D63 / 100) * J72 + S39 * (1 - (D63 / 100))) * M72)/B95, 5)</f>
        <v>1.24</v>
      </c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thickTop="1" thickBot="1">
      <c r="A251" s="123" t="s">
        <v>29</v>
      </c>
      <c r="B251" s="121">
        <f>ROUND(IF(G9="Yes",J73*(O40)/B96,J73*(O40*(1-($F$63/100)))/B96), 5)</f>
        <v>0.11429</v>
      </c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thickTop="1" thickBot="1">
      <c r="A252" s="123" t="s">
        <v>31</v>
      </c>
      <c r="B252" s="121">
        <f>ROUND(IF(G10="Yes",J74*(O41)/B97,J74*(O41*(1-($F$63/100)))/B97), 5)</f>
        <v>5.9180000000000003E-2</v>
      </c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thickTop="1" thickBot="1">
      <c r="A253" s="123" t="s">
        <v>33</v>
      </c>
      <c r="B253" s="121">
        <f>ROUND(IF(G11="Yes",J75*(O42)/B98,J75*(O42*(1-($F$63/100)))/B98), 5)</f>
        <v>0.17410999999999999</v>
      </c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thickTop="1" thickBot="1">
      <c r="A254" s="123" t="s">
        <v>35</v>
      </c>
      <c r="B254" s="121">
        <f>ROUND(IF(G12="Yes",J76*(O43)/B99,J76*(O43*(1-($F$63/100)))/B99), 5)</f>
        <v>0.19</v>
      </c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thickTop="1" thickBot="1">
      <c r="A255" s="123" t="s">
        <v>37</v>
      </c>
      <c r="B255" s="121">
        <f>ROUND((L60 * (1-(F63/100)) + L61 * F63/100)/B100, 5)</f>
        <v>7.571E-2</v>
      </c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thickTop="1" thickBot="1">
      <c r="A256" s="123" t="s">
        <v>39</v>
      </c>
      <c r="B256" s="121">
        <f t="shared" ref="B256:B264" si="29">ROUND(IF(G14="Yes",J78*(O45)/B101,J78*(O45*(1-($F$63/100)))/B101), 5)</f>
        <v>0.15237999999999999</v>
      </c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thickTop="1" thickBot="1">
      <c r="A257" s="123" t="s">
        <v>41</v>
      </c>
      <c r="B257" s="121">
        <f t="shared" si="29"/>
        <v>0.56999999999999995</v>
      </c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thickTop="1" thickBot="1">
      <c r="A258" s="123" t="s">
        <v>43</v>
      </c>
      <c r="B258" s="121">
        <f t="shared" si="29"/>
        <v>0.15079000000000001</v>
      </c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thickTop="1" thickBot="1">
      <c r="A259" s="123" t="s">
        <v>45</v>
      </c>
      <c r="B259" s="121">
        <f t="shared" si="29"/>
        <v>0.14881</v>
      </c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thickTop="1" thickBot="1">
      <c r="A260" s="123" t="s">
        <v>47</v>
      </c>
      <c r="B260" s="121">
        <f t="shared" si="29"/>
        <v>9.2859999999999998E-2</v>
      </c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thickTop="1" thickBot="1">
      <c r="A261" s="123" t="s">
        <v>49</v>
      </c>
      <c r="B261" s="121">
        <f t="shared" si="29"/>
        <v>0.38333</v>
      </c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thickTop="1" thickBot="1">
      <c r="A262" s="123" t="s">
        <v>51</v>
      </c>
      <c r="B262" s="121">
        <f t="shared" si="29"/>
        <v>5.9520000000000003E-2</v>
      </c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thickTop="1" thickBot="1">
      <c r="A263" s="124" t="s">
        <v>53</v>
      </c>
      <c r="B263" s="121">
        <f t="shared" si="29"/>
        <v>0.15</v>
      </c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thickTop="1" thickBot="1">
      <c r="A264" s="124" t="s">
        <v>54</v>
      </c>
      <c r="B264" s="121">
        <f t="shared" si="29"/>
        <v>5.357E-2</v>
      </c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thickTop="1"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6:26" ht="15.75" customHeight="1"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6:26" ht="15.75" customHeight="1"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6:26" ht="15.75" customHeight="1"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6:26" ht="15.75" customHeight="1"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6:26" ht="15.75" customHeight="1"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6:26" ht="15.75" customHeight="1"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6:26" ht="15.75" customHeight="1"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6:26" ht="15.75" customHeight="1"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6:26" ht="15.75" customHeight="1"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6:26" ht="15.75" customHeight="1"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6:26" ht="15.75" customHeight="1"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6:26" ht="15.75" customHeight="1"/>
    <row r="285" spans="6:26" ht="15.75" customHeight="1"/>
    <row r="286" spans="6:26" ht="15.75" customHeight="1"/>
    <row r="287" spans="6:26" ht="15.75" customHeight="1"/>
    <row r="288" spans="6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sortState xmlns:xlrd2="http://schemas.microsoft.com/office/spreadsheetml/2017/richdata2" ref="F336:G355">
    <sortCondition descending="1" ref="G336:G355"/>
  </sortState>
  <mergeCells count="8">
    <mergeCell ref="A88:C88"/>
    <mergeCell ref="U56:W56"/>
    <mergeCell ref="A1:N1"/>
    <mergeCell ref="P1:R1"/>
    <mergeCell ref="B23:L23"/>
    <mergeCell ref="A65:M65"/>
    <mergeCell ref="A32:W32"/>
    <mergeCell ref="B54:U54"/>
  </mergeCells>
  <conditionalFormatting sqref="A1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pageSetup orientation="portrait" r:id="rId1"/>
  <ignoredErrors>
    <ignoredError sqref="D1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Ruwinsh ⠀</cp:lastModifiedBy>
  <dcterms:created xsi:type="dcterms:W3CDTF">2025-01-19T22:44:44Z</dcterms:created>
  <dcterms:modified xsi:type="dcterms:W3CDTF">2025-07-27T10:41:22Z</dcterms:modified>
</cp:coreProperties>
</file>