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vi\Ravikant\Supply Chain\Assignment 2\"/>
    </mc:Choice>
  </mc:AlternateContent>
  <xr:revisionPtr revIDLastSave="0" documentId="13_ncr:1_{045CE896-6DE9-46C2-9626-05C32FCE5356}" xr6:coauthVersionLast="45" xr6:coauthVersionMax="45" xr10:uidLastSave="{00000000-0000-0000-0000-000000000000}"/>
  <bookViews>
    <workbookView xWindow="-108" yWindow="-108" windowWidth="23256" windowHeight="12576" activeTab="1" xr2:uid="{B854D506-CCEB-41CE-AD06-7DB56F588D0B}"/>
  </bookViews>
  <sheets>
    <sheet name="Exhibit1" sheetId="2" r:id="rId1"/>
    <sheet name="Exhibi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2" i="3" l="1"/>
  <c r="I4" i="3"/>
  <c r="H2" i="2"/>
  <c r="K3" i="3" l="1"/>
  <c r="L3" i="3" s="1"/>
  <c r="K27" i="3"/>
  <c r="L27" i="3" s="1"/>
  <c r="J31" i="3"/>
  <c r="J21" i="3"/>
  <c r="J23" i="3"/>
  <c r="K23" i="3" s="1"/>
  <c r="L23" i="3" s="1"/>
  <c r="J27" i="3"/>
  <c r="J28" i="3"/>
  <c r="J29" i="3"/>
  <c r="J20" i="3"/>
  <c r="J6" i="3"/>
  <c r="J7" i="3"/>
  <c r="K7" i="3" s="1"/>
  <c r="L7" i="3" s="1"/>
  <c r="J8" i="3"/>
  <c r="J9" i="3"/>
  <c r="K9" i="3" s="1"/>
  <c r="L9" i="3" s="1"/>
  <c r="J10" i="3"/>
  <c r="J11" i="3"/>
  <c r="K11" i="3" s="1"/>
  <c r="L11" i="3" s="1"/>
  <c r="J14" i="3"/>
  <c r="J15" i="3"/>
  <c r="K15" i="3" s="1"/>
  <c r="L15" i="3" s="1"/>
  <c r="J16" i="3"/>
  <c r="J17" i="3"/>
  <c r="K17" i="3" s="1"/>
  <c r="L17" i="3" s="1"/>
  <c r="J18" i="3"/>
  <c r="J19" i="3"/>
  <c r="K19" i="3" s="1"/>
  <c r="L19" i="3" s="1"/>
  <c r="K37" i="3"/>
  <c r="J3" i="3" s="1"/>
  <c r="K38" i="3"/>
  <c r="J22" i="3" s="1"/>
  <c r="I3" i="3"/>
  <c r="I5" i="3"/>
  <c r="I6" i="3"/>
  <c r="K6" i="3" s="1"/>
  <c r="L6" i="3" s="1"/>
  <c r="I7" i="3"/>
  <c r="I8" i="3"/>
  <c r="K8" i="3" s="1"/>
  <c r="L8" i="3" s="1"/>
  <c r="I9" i="3"/>
  <c r="I10" i="3"/>
  <c r="K10" i="3" s="1"/>
  <c r="L10" i="3" s="1"/>
  <c r="I11" i="3"/>
  <c r="I12" i="3"/>
  <c r="I13" i="3"/>
  <c r="I14" i="3"/>
  <c r="K14" i="3" s="1"/>
  <c r="L14" i="3" s="1"/>
  <c r="I15" i="3"/>
  <c r="I16" i="3"/>
  <c r="K16" i="3" s="1"/>
  <c r="L16" i="3" s="1"/>
  <c r="I17" i="3"/>
  <c r="I18" i="3"/>
  <c r="K18" i="3" s="1"/>
  <c r="L18" i="3" s="1"/>
  <c r="I19" i="3"/>
  <c r="I20" i="3"/>
  <c r="K20" i="3" s="1"/>
  <c r="L20" i="3" s="1"/>
  <c r="I21" i="3"/>
  <c r="K21" i="3" s="1"/>
  <c r="L21" i="3" s="1"/>
  <c r="I22" i="3"/>
  <c r="I23" i="3"/>
  <c r="I24" i="3"/>
  <c r="I25" i="3"/>
  <c r="I26" i="3"/>
  <c r="I27" i="3"/>
  <c r="I28" i="3"/>
  <c r="K28" i="3" s="1"/>
  <c r="L28" i="3" s="1"/>
  <c r="I29" i="3"/>
  <c r="K29" i="3" s="1"/>
  <c r="L29" i="3" s="1"/>
  <c r="I30" i="3"/>
  <c r="I31" i="3"/>
  <c r="K31" i="3" s="1"/>
  <c r="L31" i="3" s="1"/>
  <c r="H3" i="3"/>
  <c r="N3" i="3" s="1"/>
  <c r="H4" i="3"/>
  <c r="H5" i="3"/>
  <c r="H6" i="3"/>
  <c r="N6" i="3" s="1"/>
  <c r="H7" i="3"/>
  <c r="N7" i="3" s="1"/>
  <c r="H8" i="3"/>
  <c r="H9" i="3"/>
  <c r="N9" i="3" s="1"/>
  <c r="H10" i="3"/>
  <c r="N10" i="3" s="1"/>
  <c r="H11" i="3"/>
  <c r="N11" i="3" s="1"/>
  <c r="H12" i="3"/>
  <c r="H13" i="3"/>
  <c r="H14" i="3"/>
  <c r="N14" i="3" s="1"/>
  <c r="H15" i="3"/>
  <c r="N15" i="3" s="1"/>
  <c r="H16" i="3"/>
  <c r="H17" i="3"/>
  <c r="N17" i="3" s="1"/>
  <c r="H18" i="3"/>
  <c r="N18" i="3" s="1"/>
  <c r="H19" i="3"/>
  <c r="N19" i="3" s="1"/>
  <c r="H20" i="3"/>
  <c r="N20" i="3" s="1"/>
  <c r="H21" i="3"/>
  <c r="N21" i="3" s="1"/>
  <c r="H22" i="3"/>
  <c r="H23" i="3"/>
  <c r="N23" i="3" s="1"/>
  <c r="H24" i="3"/>
  <c r="H25" i="3"/>
  <c r="H26" i="3"/>
  <c r="H27" i="3"/>
  <c r="N27" i="3" s="1"/>
  <c r="H28" i="3"/>
  <c r="N28" i="3" s="1"/>
  <c r="H29" i="3"/>
  <c r="N29" i="3" s="1"/>
  <c r="H30" i="3"/>
  <c r="H31" i="3"/>
  <c r="N31" i="3" s="1"/>
  <c r="H2" i="3"/>
  <c r="G2" i="3"/>
  <c r="G31" i="3"/>
  <c r="G3" i="3"/>
  <c r="O3" i="3" s="1"/>
  <c r="G4" i="3"/>
  <c r="G5" i="3"/>
  <c r="G6" i="3"/>
  <c r="O6" i="3" s="1"/>
  <c r="G7" i="3"/>
  <c r="O7" i="3" s="1"/>
  <c r="G8" i="3"/>
  <c r="G9" i="3"/>
  <c r="G10" i="3"/>
  <c r="O10" i="3" s="1"/>
  <c r="G11" i="3"/>
  <c r="O11" i="3" s="1"/>
  <c r="G12" i="3"/>
  <c r="G13" i="3"/>
  <c r="G14" i="3"/>
  <c r="O14" i="3" s="1"/>
  <c r="G15" i="3"/>
  <c r="O15" i="3" s="1"/>
  <c r="G16" i="3"/>
  <c r="G17" i="3"/>
  <c r="O17" i="3" s="1"/>
  <c r="G18" i="3"/>
  <c r="O18" i="3" s="1"/>
  <c r="G19" i="3"/>
  <c r="G20" i="3"/>
  <c r="O20" i="3" s="1"/>
  <c r="G21" i="3"/>
  <c r="O21" i="3" s="1"/>
  <c r="G22" i="3"/>
  <c r="G23" i="3"/>
  <c r="O23" i="3" s="1"/>
  <c r="G24" i="3"/>
  <c r="G25" i="3"/>
  <c r="G26" i="3"/>
  <c r="G27" i="3"/>
  <c r="G28" i="3"/>
  <c r="O28" i="3" s="1"/>
  <c r="G29" i="3"/>
  <c r="O29" i="3" s="1"/>
  <c r="G30" i="3"/>
  <c r="O27" i="3" l="1"/>
  <c r="Q7" i="3"/>
  <c r="Q11" i="3"/>
  <c r="Q6" i="3"/>
  <c r="O19" i="3"/>
  <c r="K26" i="3"/>
  <c r="L26" i="3" s="1"/>
  <c r="M26" i="3" s="1"/>
  <c r="Q28" i="3"/>
  <c r="N26" i="3"/>
  <c r="O26" i="3" s="1"/>
  <c r="K22" i="3"/>
  <c r="L22" i="3" s="1"/>
  <c r="N22" i="3" s="1"/>
  <c r="O22" i="3" s="1"/>
  <c r="O31" i="3"/>
  <c r="O9" i="3"/>
  <c r="K30" i="3"/>
  <c r="L30" i="3" s="1"/>
  <c r="N30" i="3" s="1"/>
  <c r="O30" i="3" s="1"/>
  <c r="O8" i="3"/>
  <c r="N16" i="3"/>
  <c r="O16" i="3" s="1"/>
  <c r="N8" i="3"/>
  <c r="K13" i="3"/>
  <c r="L13" i="3" s="1"/>
  <c r="N13" i="3" s="1"/>
  <c r="O13" i="3" s="1"/>
  <c r="K5" i="3"/>
  <c r="L5" i="3" s="1"/>
  <c r="N5" i="3" s="1"/>
  <c r="O5" i="3" s="1"/>
  <c r="M27" i="3"/>
  <c r="M19" i="3"/>
  <c r="P19" i="3" s="1"/>
  <c r="M11" i="3"/>
  <c r="P11" i="3" s="1"/>
  <c r="M18" i="3"/>
  <c r="P18" i="3" s="1"/>
  <c r="Q18" i="3" s="1"/>
  <c r="M10" i="3"/>
  <c r="P10" i="3" s="1"/>
  <c r="Q10" i="3" s="1"/>
  <c r="M17" i="3"/>
  <c r="P17" i="3" s="1"/>
  <c r="Q17" i="3" s="1"/>
  <c r="M9" i="3"/>
  <c r="P9" i="3" s="1"/>
  <c r="J26" i="3"/>
  <c r="M16" i="3"/>
  <c r="M8" i="3"/>
  <c r="P8" i="3" s="1"/>
  <c r="J13" i="3"/>
  <c r="J5" i="3"/>
  <c r="J25" i="3"/>
  <c r="K25" i="3" s="1"/>
  <c r="L25" i="3" s="1"/>
  <c r="N25" i="3" s="1"/>
  <c r="O25" i="3" s="1"/>
  <c r="M31" i="3"/>
  <c r="M23" i="3"/>
  <c r="P23" i="3" s="1"/>
  <c r="Q23" i="3" s="1"/>
  <c r="M15" i="3"/>
  <c r="P15" i="3" s="1"/>
  <c r="Q15" i="3" s="1"/>
  <c r="M7" i="3"/>
  <c r="P7" i="3" s="1"/>
  <c r="J2" i="3"/>
  <c r="K2" i="3" s="1"/>
  <c r="L2" i="3" s="1"/>
  <c r="N2" i="3" s="1"/>
  <c r="O2" i="3" s="1"/>
  <c r="J12" i="3"/>
  <c r="K12" i="3" s="1"/>
  <c r="L12" i="3" s="1"/>
  <c r="J4" i="3"/>
  <c r="K4" i="3" s="1"/>
  <c r="L4" i="3" s="1"/>
  <c r="N4" i="3" s="1"/>
  <c r="O4" i="3" s="1"/>
  <c r="J24" i="3"/>
  <c r="K24" i="3" s="1"/>
  <c r="L24" i="3" s="1"/>
  <c r="M14" i="3"/>
  <c r="P14" i="3" s="1"/>
  <c r="Q14" i="3" s="1"/>
  <c r="M6" i="3"/>
  <c r="P6" i="3" s="1"/>
  <c r="M29" i="3"/>
  <c r="P29" i="3" s="1"/>
  <c r="Q29" i="3" s="1"/>
  <c r="M21" i="3"/>
  <c r="P21" i="3" s="1"/>
  <c r="Q21" i="3" s="1"/>
  <c r="M13" i="3"/>
  <c r="M5" i="3"/>
  <c r="J30" i="3"/>
  <c r="M28" i="3"/>
  <c r="P28" i="3" s="1"/>
  <c r="M20" i="3"/>
  <c r="P20" i="3" s="1"/>
  <c r="Q20" i="3" s="1"/>
  <c r="M3" i="3"/>
  <c r="P3" i="3" s="1"/>
  <c r="Q3" i="3" s="1"/>
  <c r="M2" i="3"/>
  <c r="M4" i="3"/>
  <c r="H3" i="2"/>
  <c r="H42" i="2" s="1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P26" i="3" l="1"/>
  <c r="Q26" i="3"/>
  <c r="M24" i="3"/>
  <c r="N24" i="3"/>
  <c r="O24" i="3" s="1"/>
  <c r="N12" i="3"/>
  <c r="O12" i="3" s="1"/>
  <c r="M12" i="3"/>
  <c r="P5" i="3"/>
  <c r="Q5" i="3" s="1"/>
  <c r="Q8" i="3"/>
  <c r="M22" i="3"/>
  <c r="P22" i="3" s="1"/>
  <c r="Q22" i="3" s="1"/>
  <c r="P16" i="3"/>
  <c r="Q16" i="3" s="1"/>
  <c r="Q27" i="3"/>
  <c r="H43" i="2"/>
  <c r="M30" i="3"/>
  <c r="P30" i="3" s="1"/>
  <c r="Q30" i="3" s="1"/>
  <c r="P31" i="3"/>
  <c r="Q31" i="3" s="1"/>
  <c r="P27" i="3"/>
  <c r="Q19" i="3"/>
  <c r="P13" i="3"/>
  <c r="Q13" i="3" s="1"/>
  <c r="M25" i="3"/>
  <c r="P25" i="3" s="1"/>
  <c r="Q25" i="3" s="1"/>
  <c r="Q9" i="3"/>
  <c r="P2" i="3"/>
  <c r="Q2" i="3" s="1"/>
  <c r="P4" i="3"/>
  <c r="Q4" i="3" s="1"/>
  <c r="P24" i="3" l="1"/>
  <c r="Q24" i="3" s="1"/>
  <c r="P12" i="3"/>
  <c r="Q12" i="3" s="1"/>
</calcChain>
</file>

<file path=xl/sharedStrings.xml><?xml version="1.0" encoding="utf-8"?>
<sst xmlns="http://schemas.openxmlformats.org/spreadsheetml/2006/main" count="243" uniqueCount="155">
  <si>
    <t>Critical Ratio</t>
  </si>
  <si>
    <t xml:space="preserve">Appellation </t>
  </si>
  <si>
    <t xml:space="preserve">Designation </t>
  </si>
  <si>
    <t xml:space="preserve">Year </t>
  </si>
  <si>
    <t xml:space="preserve">Color </t>
  </si>
  <si>
    <t xml:space="preserve">Retail price    (€ per bottle) </t>
  </si>
  <si>
    <t xml:space="preserve">Forecast </t>
  </si>
  <si>
    <t xml:space="preserve">Demand </t>
  </si>
  <si>
    <t xml:space="preserve">CÔTES DU RHÔNE (6) </t>
  </si>
  <si>
    <t xml:space="preserve">Dne Notre Dame des Pallières </t>
  </si>
  <si>
    <t xml:space="preserve">Rouge </t>
  </si>
  <si>
    <t xml:space="preserve">BORDEAUX SUP </t>
  </si>
  <si>
    <t xml:space="preserve">Ch. Tour Petit Puch </t>
  </si>
  <si>
    <t xml:space="preserve">LIRAC </t>
  </si>
  <si>
    <t xml:space="preserve">Domaine Duseigneur (Frs 19,80) </t>
  </si>
  <si>
    <t xml:space="preserve">CORBIERES </t>
  </si>
  <si>
    <t>Ch. des Auzines Les Garrigues" "</t>
  </si>
  <si>
    <t xml:space="preserve">CARTON PANACHE </t>
  </si>
  <si>
    <t xml:space="preserve">(4 x 3) Pts Kdo Doublés </t>
  </si>
  <si>
    <t xml:space="preserve">POMEROL </t>
  </si>
  <si>
    <t xml:space="preserve">Ch. Clos Bel Air </t>
  </si>
  <si>
    <t xml:space="preserve">GRAVES </t>
  </si>
  <si>
    <t xml:space="preserve">La Grande Cuvée de Dourthe </t>
  </si>
  <si>
    <t xml:space="preserve">HAUT-MEDOC CB </t>
  </si>
  <si>
    <t xml:space="preserve">Ch. Beyzac </t>
  </si>
  <si>
    <t xml:space="preserve">BORDEAUX </t>
  </si>
  <si>
    <t xml:space="preserve">Ch. Bordeneuve </t>
  </si>
  <si>
    <t xml:space="preserve">4+4+2+2 </t>
  </si>
  <si>
    <t xml:space="preserve">CHAMBOLLE-MUSIGNY </t>
  </si>
  <si>
    <t xml:space="preserve">Bouchard Père et Fils </t>
  </si>
  <si>
    <t xml:space="preserve">HAUTES CÔTES DE BEAUNE </t>
  </si>
  <si>
    <t xml:space="preserve">Clos de la Chaise Dieu </t>
  </si>
  <si>
    <t xml:space="preserve">Blanc </t>
  </si>
  <si>
    <t xml:space="preserve">MORGON </t>
  </si>
  <si>
    <t xml:space="preserve">Dne de Gry Sablon - R de Clarisse </t>
  </si>
  <si>
    <t xml:space="preserve">VDP des Côteaux de L'Ardèche </t>
  </si>
  <si>
    <t xml:space="preserve">La Réserve Rosé du Club </t>
  </si>
  <si>
    <t xml:space="preserve">Rosé </t>
  </si>
  <si>
    <t xml:space="preserve">La Réserve Rouge du Club </t>
  </si>
  <si>
    <t xml:space="preserve">VDP du Comté Tolosan </t>
  </si>
  <si>
    <t xml:space="preserve">La Réserve Blanc du Club </t>
  </si>
  <si>
    <t xml:space="preserve">Bordeaux </t>
  </si>
  <si>
    <t xml:space="preserve">Réserve du Club </t>
  </si>
  <si>
    <t xml:space="preserve">CARTON PANACHEE </t>
  </si>
  <si>
    <t xml:space="preserve">Les Réserves du Club </t>
  </si>
  <si>
    <t xml:space="preserve">IROULEGUY </t>
  </si>
  <si>
    <t xml:space="preserve">Dne Etxegaraya </t>
  </si>
  <si>
    <t xml:space="preserve">BERGERAC </t>
  </si>
  <si>
    <t xml:space="preserve">Ch. De Fumat (6) </t>
  </si>
  <si>
    <t xml:space="preserve">VDP D'OC </t>
  </si>
  <si>
    <t xml:space="preserve">Chardonnay-Terret M. Laroche </t>
  </si>
  <si>
    <t xml:space="preserve">COTEAUX DU LANGUEDOC </t>
  </si>
  <si>
    <t xml:space="preserve">Dne Péris </t>
  </si>
  <si>
    <t xml:space="preserve">Ch. De Fumat </t>
  </si>
  <si>
    <t xml:space="preserve">CHINON </t>
  </si>
  <si>
    <t xml:space="preserve">Wilfrid Rousse </t>
  </si>
  <si>
    <t xml:space="preserve">COTEAUX DU GIENNOIS </t>
  </si>
  <si>
    <t xml:space="preserve">Balland-Chapuis </t>
  </si>
  <si>
    <t xml:space="preserve">ROSE DE LOIRE </t>
  </si>
  <si>
    <t xml:space="preserve">Cave des Perrières </t>
  </si>
  <si>
    <t xml:space="preserve">CHÂTEAUNEUF DU PAPE </t>
  </si>
  <si>
    <t xml:space="preserve">Clos de l'Oratoire des Papes </t>
  </si>
  <si>
    <t xml:space="preserve">CDR VILLAGES CAIRANNE </t>
  </si>
  <si>
    <t xml:space="preserve">Dne Croc de Romet </t>
  </si>
  <si>
    <t xml:space="preserve">CÔTES DU VIVARAIS </t>
  </si>
  <si>
    <t xml:space="preserve">Beaumont des Gras - C. Prestige </t>
  </si>
  <si>
    <t xml:space="preserve">(6+4+2) </t>
  </si>
  <si>
    <t xml:space="preserve">CÔTES DU JURA V. JAUNE </t>
  </si>
  <si>
    <t xml:space="preserve">Fruitière de Voiteur </t>
  </si>
  <si>
    <t xml:space="preserve">Jaune </t>
  </si>
  <si>
    <t xml:space="preserve">APREMONT </t>
  </si>
  <si>
    <t xml:space="preserve">Le Vigneron Savoyard </t>
  </si>
  <si>
    <t xml:space="preserve">CÔTES DU JURA </t>
  </si>
  <si>
    <t xml:space="preserve">Chardonnay bâtonné </t>
  </si>
  <si>
    <t xml:space="preserve">SAINT-ESTEPHE </t>
  </si>
  <si>
    <t xml:space="preserve">Ch. Haut-Corbian </t>
  </si>
  <si>
    <t xml:space="preserve">FITOU </t>
  </si>
  <si>
    <t xml:space="preserve">Ch. Lahore-Bergez </t>
  </si>
  <si>
    <t xml:space="preserve">CDR </t>
  </si>
  <si>
    <t xml:space="preserve">Dne de la Présidente </t>
  </si>
  <si>
    <t xml:space="preserve">COUR-CHEVERNY </t>
  </si>
  <si>
    <t xml:space="preserve">Dne de Montcy </t>
  </si>
  <si>
    <t xml:space="preserve">MEDOC </t>
  </si>
  <si>
    <t xml:space="preserve">Ch. Haut-Lignan </t>
  </si>
  <si>
    <t xml:space="preserve">RULLY </t>
  </si>
  <si>
    <t xml:space="preserve">Dne Briday </t>
  </si>
  <si>
    <t xml:space="preserve">MONTAGNE ST-EMILION </t>
  </si>
  <si>
    <t xml:space="preserve">Ch. Les Petites Rangats </t>
  </si>
  <si>
    <t xml:space="preserve">rouge </t>
  </si>
  <si>
    <t>A/F ratio</t>
  </si>
  <si>
    <t>Std =</t>
  </si>
  <si>
    <t xml:space="preserve"> </t>
  </si>
  <si>
    <t xml:space="preserve">FAUGERES </t>
  </si>
  <si>
    <t xml:space="preserve">L'enclos des Moulins </t>
  </si>
  <si>
    <t xml:space="preserve">Ch. Cabannieux </t>
  </si>
  <si>
    <t xml:space="preserve">Ch. Haut Pommarède </t>
  </si>
  <si>
    <t xml:space="preserve">PESSAC LEOGNAN </t>
  </si>
  <si>
    <t xml:space="preserve">Ch. Haut Nouchet </t>
  </si>
  <si>
    <t xml:space="preserve">6+2+4 </t>
  </si>
  <si>
    <t xml:space="preserve">BORDEAUX CLAIRET </t>
  </si>
  <si>
    <t xml:space="preserve">Ch. De Marsan </t>
  </si>
  <si>
    <t xml:space="preserve">CÔTES DE BOURG </t>
  </si>
  <si>
    <t xml:space="preserve">Ch. Florimond </t>
  </si>
  <si>
    <t xml:space="preserve">ENTRE DEUX MERS </t>
  </si>
  <si>
    <t xml:space="preserve">Ch. La Grande Métairie </t>
  </si>
  <si>
    <t xml:space="preserve">Ch. Gillet - FIDELITE </t>
  </si>
  <si>
    <t xml:space="preserve">sauf bordeaux </t>
  </si>
  <si>
    <t xml:space="preserve">CABERNET D'ANJOU </t>
  </si>
  <si>
    <t xml:space="preserve">Goulaine </t>
  </si>
  <si>
    <t xml:space="preserve">SANCERRE </t>
  </si>
  <si>
    <t xml:space="preserve">Le Châtillet - Balland Chapuis </t>
  </si>
  <si>
    <t xml:space="preserve">Clos des Petites Croix - FIDELITE </t>
  </si>
  <si>
    <t xml:space="preserve">ALOXE CORTON </t>
  </si>
  <si>
    <t xml:space="preserve">Ch. Philippe le Hardi </t>
  </si>
  <si>
    <t xml:space="preserve">BOURGOGNE ALIGOTE </t>
  </si>
  <si>
    <t xml:space="preserve">Dne des Lauriers </t>
  </si>
  <si>
    <t xml:space="preserve">GIVRY </t>
  </si>
  <si>
    <t xml:space="preserve">La Buxynoise </t>
  </si>
  <si>
    <t xml:space="preserve">COTEAUX DU LYONNAIS </t>
  </si>
  <si>
    <t xml:space="preserve">Pot des Voraces - 50 cl </t>
  </si>
  <si>
    <t xml:space="preserve">CDR Vill RASTEAU </t>
  </si>
  <si>
    <t xml:space="preserve">Domaine Combe Julière </t>
  </si>
  <si>
    <t xml:space="preserve">GIGONDAS </t>
  </si>
  <si>
    <t xml:space="preserve">La Payouse </t>
  </si>
  <si>
    <t xml:space="preserve">CÔTES DU VENTOUX </t>
  </si>
  <si>
    <t xml:space="preserve">Gabriel Meffre (6) </t>
  </si>
  <si>
    <t xml:space="preserve">CORBIERES (6) </t>
  </si>
  <si>
    <t xml:space="preserve">Ch. La Mondière </t>
  </si>
  <si>
    <t xml:space="preserve">GAILLAC </t>
  </si>
  <si>
    <t xml:space="preserve">Dne de Borie Vieille </t>
  </si>
  <si>
    <t xml:space="preserve">MINERVOIS </t>
  </si>
  <si>
    <t xml:space="preserve">Domaine des Arcades - FID </t>
  </si>
  <si>
    <t xml:space="preserve">MADIRAN </t>
  </si>
  <si>
    <t xml:space="preserve">Folie de Roi </t>
  </si>
  <si>
    <r>
      <t xml:space="preserve"> </t>
    </r>
    <r>
      <rPr>
        <b/>
        <sz val="10.9"/>
        <color indexed="8"/>
        <rFont val="Arial"/>
        <family val="2"/>
      </rPr>
      <t xml:space="preserve">Exhibit 2: </t>
    </r>
    <r>
      <rPr>
        <sz val="10"/>
        <rFont val="Arial"/>
        <family val="2"/>
      </rPr>
      <t xml:space="preserve"> </t>
    </r>
  </si>
  <si>
    <t xml:space="preserve">Wine information about the upcoming catalog season. </t>
  </si>
  <si>
    <t xml:space="preserve">The average gross margin is 50% (i.e. a 10 Euro bottle is purchased from the grower </t>
  </si>
  <si>
    <t xml:space="preserve">for 5 Euro).  </t>
  </si>
  <si>
    <r>
      <rPr>
        <sz val="10"/>
        <color indexed="8"/>
        <rFont val="Arial"/>
        <family val="2"/>
      </rPr>
      <t xml:space="preserve">A carton panache is a mixture of several wines. </t>
    </r>
    <r>
      <rPr>
        <sz val="10"/>
        <rFont val="Arial"/>
        <family val="2"/>
      </rPr>
      <t xml:space="preserve"> </t>
    </r>
  </si>
  <si>
    <t>Adjusted Fcast</t>
  </si>
  <si>
    <t>Std of Fcast</t>
  </si>
  <si>
    <t>Shipp. Cost =</t>
  </si>
  <si>
    <t>WH cost(red)=</t>
  </si>
  <si>
    <t>WH cost(wh)=</t>
  </si>
  <si>
    <t>Avg of A/F =</t>
  </si>
  <si>
    <t>Std of A/F =</t>
  </si>
  <si>
    <t>Q</t>
  </si>
  <si>
    <t xml:space="preserve">Cu </t>
  </si>
  <si>
    <t xml:space="preserve">Co </t>
  </si>
  <si>
    <t>Z-Score</t>
  </si>
  <si>
    <t>Exp.Loss sales</t>
  </si>
  <si>
    <t>Exp. Sales</t>
  </si>
  <si>
    <t>Exp. Leftover</t>
  </si>
  <si>
    <t>Exp. Profit</t>
  </si>
  <si>
    <t>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</si>
</sst>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b/>
      <sz val="10.9"/>
      <color indexed="8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2F2F2"/>
      </patternFill>
    </fill>
  </fills>
  <borders count="1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double">
        <color rgb="FF3F3F3F"/>
      </right>
      <top style="thin">
        <color indexed="64"/>
      </top>
      <bottom/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6" fillId="3" borderId="5" applyNumberFormat="0" applyAlignment="0" applyProtection="0"/>
  </cellStyleXfs>
  <cellXfs count="37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2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3" fontId="0" fillId="0" borderId="2" xfId="0" applyNumberFormat="1" applyBorder="1" applyAlignment="1">
      <alignment horizontal="center"/>
    </xf>
    <xf numFmtId="0" fontId="1" fillId="2" borderId="1" xfId="1" applyAlignment="1">
      <alignment horizontal="center"/>
    </xf>
    <xf numFmtId="3" fontId="0" fillId="0" borderId="0" xfId="0" applyNumberFormat="1"/>
    <xf numFmtId="0" fontId="0" fillId="0" borderId="3" xfId="0" applyBorder="1" applyAlignment="1">
      <alignment horizontal="center"/>
    </xf>
    <xf numFmtId="2" fontId="0" fillId="0" borderId="3" xfId="0" applyNumberFormat="1" applyBorder="1" applyAlignment="1">
      <alignment horizontal="center"/>
    </xf>
    <xf numFmtId="3" fontId="0" fillId="0" borderId="3" xfId="0" applyNumberFormat="1" applyBorder="1" applyAlignment="1">
      <alignment horizontal="center"/>
    </xf>
    <xf numFmtId="2" fontId="5" fillId="0" borderId="0" xfId="0" applyNumberFormat="1" applyFont="1" applyAlignment="1">
      <alignment horizontal="center"/>
    </xf>
    <xf numFmtId="3" fontId="5" fillId="0" borderId="0" xfId="0" applyNumberFormat="1" applyFont="1" applyAlignment="1">
      <alignment horizontal="center"/>
    </xf>
    <xf numFmtId="2" fontId="5" fillId="0" borderId="3" xfId="0" applyNumberFormat="1" applyFont="1" applyBorder="1" applyAlignment="1">
      <alignment horizontal="center"/>
    </xf>
    <xf numFmtId="3" fontId="5" fillId="0" borderId="3" xfId="0" applyNumberFormat="1" applyFont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3" fontId="1" fillId="2" borderId="1" xfId="1" applyNumberFormat="1" applyAlignment="1">
      <alignment horizontal="center"/>
    </xf>
    <xf numFmtId="0" fontId="1" fillId="2" borderId="4" xfId="1" applyBorder="1" applyAlignment="1">
      <alignment horizontal="center"/>
    </xf>
    <xf numFmtId="0" fontId="0" fillId="0" borderId="6" xfId="0" applyBorder="1" applyAlignment="1">
      <alignment horizontal="center"/>
    </xf>
    <xf numFmtId="2" fontId="0" fillId="0" borderId="6" xfId="0" applyNumberFormat="1" applyBorder="1" applyAlignment="1">
      <alignment horizontal="center"/>
    </xf>
    <xf numFmtId="3" fontId="0" fillId="0" borderId="6" xfId="0" applyNumberFormat="1" applyBorder="1" applyAlignment="1">
      <alignment horizontal="center"/>
    </xf>
    <xf numFmtId="0" fontId="0" fillId="0" borderId="0" xfId="0" applyBorder="1"/>
    <xf numFmtId="0" fontId="6" fillId="3" borderId="5" xfId="2" applyAlignment="1">
      <alignment horizontal="center"/>
    </xf>
    <xf numFmtId="0" fontId="1" fillId="2" borderId="7" xfId="1" applyBorder="1"/>
    <xf numFmtId="0" fontId="6" fillId="3" borderId="8" xfId="2" applyBorder="1" applyAlignment="1">
      <alignment horizontal="center"/>
    </xf>
    <xf numFmtId="0" fontId="1" fillId="2" borderId="9" xfId="1" applyBorder="1" applyAlignment="1">
      <alignment horizontal="center"/>
    </xf>
    <xf numFmtId="0" fontId="1" fillId="2" borderId="9" xfId="1" applyBorder="1" applyAlignment="1">
      <alignment horizontal="center" wrapText="1"/>
    </xf>
    <xf numFmtId="0" fontId="0" fillId="0" borderId="10" xfId="0" applyBorder="1"/>
    <xf numFmtId="0" fontId="0" fillId="0" borderId="11" xfId="0" applyBorder="1"/>
    <xf numFmtId="0" fontId="1" fillId="2" borderId="12" xfId="1" applyBorder="1"/>
    <xf numFmtId="0" fontId="0" fillId="0" borderId="0" xfId="0" applyFont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2" xfId="0" applyFont="1" applyBorder="1" applyAlignment="1">
      <alignment horizontal="center"/>
    </xf>
  </cellXfs>
  <cellStyles count="3">
    <cellStyle name="Check Cell" xfId="1" builtinId="23"/>
    <cellStyle name="Normal" xfId="0" builtinId="0"/>
    <cellStyle name="Output" xfId="2" builtinId="21"/>
  </cellStyles>
  <dxfs count="36">
    <dxf>
      <fill>
        <patternFill>
          <bgColor rgb="FFD561BC"/>
        </patternFill>
      </fill>
    </dxf>
    <dxf>
      <fill>
        <patternFill>
          <bgColor rgb="FFFF3737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3737"/>
        </patternFill>
      </fill>
    </dxf>
    <dxf>
      <fill>
        <patternFill>
          <bgColor rgb="FFD561BC"/>
        </patternFill>
      </fill>
    </dxf>
    <dxf>
      <fill>
        <patternFill>
          <bgColor theme="0" tint="-0.14996795556505021"/>
        </patternFill>
      </fill>
    </dxf>
    <dxf>
      <fill>
        <patternFill>
          <bgColor rgb="FFFF3737"/>
        </patternFill>
      </fill>
    </dxf>
    <dxf>
      <fill>
        <patternFill>
          <bgColor rgb="FFD561BC"/>
        </patternFill>
      </fill>
    </dxf>
    <dxf>
      <fill>
        <patternFill>
          <bgColor rgb="FFD561BC"/>
        </patternFill>
      </fill>
    </dxf>
    <dxf>
      <fill>
        <patternFill>
          <bgColor rgb="FFFF3737"/>
        </patternFill>
      </fill>
    </dxf>
    <dxf>
      <fill>
        <patternFill>
          <bgColor rgb="FFFF3737"/>
        </patternFill>
      </fill>
    </dxf>
    <dxf>
      <fill>
        <patternFill>
          <bgColor rgb="FFD561BC"/>
        </patternFill>
      </fill>
    </dxf>
    <dxf>
      <alignment horizontal="center" vertical="bottom" textRotation="0" wrapText="0" indent="0" justifyLastLine="0" shrinkToFit="0" readingOrder="0"/>
      <border diagonalUp="0" diagonalDown="0" outline="0">
        <left style="double">
          <color rgb="FF3F3F3F"/>
        </left>
        <right style="double">
          <color rgb="FF3F3F3F"/>
        </right>
        <top/>
        <bottom/>
      </border>
    </dxf>
    <dxf>
      <numFmt numFmtId="3" formatCode="#,##0"/>
    </dxf>
    <dxf>
      <numFmt numFmtId="3" formatCode="#,##0"/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</dxfs>
  <tableStyles count="0" defaultTableStyle="TableStyleMedium2" defaultPivotStyle="PivotStyleLight16"/>
  <colors>
    <mruColors>
      <color rgb="FF99FF33"/>
      <color rgb="FFD561BC"/>
      <color rgb="FFFF3737"/>
      <color rgb="FFFF5757"/>
      <color rgb="FFECBA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D40C9CF-6046-479C-8743-54B48F665376}" name="Table2" displayName="Table2" ref="A1:H43" totalsRowShown="0" headerRowDxfId="24" dataDxfId="25" headerRowBorderDxfId="34" tableBorderDxfId="35" headerRowCellStyle="Check Cell">
  <autoFilter ref="A1:H43" xr:uid="{1E09AAD3-6706-4F4B-9B10-F50E52E2CC6A}"/>
  <tableColumns count="8">
    <tableColumn id="1" xr3:uid="{F9DB9D73-2A7F-444F-8C49-26FA29A97869}" name="Appellation " dataDxfId="33"/>
    <tableColumn id="2" xr3:uid="{5AFCC185-0329-4AEE-82E2-D0DA8DF2FEAE}" name="Designation " dataDxfId="32"/>
    <tableColumn id="3" xr3:uid="{F802C808-4439-4DD6-8E32-8E4FF7FE834D}" name="Year " dataDxfId="31"/>
    <tableColumn id="4" xr3:uid="{C320A3FB-FFF9-488C-A1B1-B1E8520B271D}" name="Color " dataDxfId="30"/>
    <tableColumn id="5" xr3:uid="{788A0C7A-DC5D-4412-89E2-DC74BCF6FEC4}" name="Retail price    (€ per bottle) " dataDxfId="29"/>
    <tableColumn id="6" xr3:uid="{74C95C9F-494E-4B2B-A2F8-EE576A717BAF}" name="Forecast " dataDxfId="28"/>
    <tableColumn id="7" xr3:uid="{B1C425EB-1FBE-4E99-9E28-E78979D9F975}" name="Demand " dataDxfId="27"/>
    <tableColumn id="8" xr3:uid="{E94253CC-7043-477C-9F7C-FB1BBFF1167E}" name="A/F ratio" dataDxfId="26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2CC602C-35D9-4AD2-8C59-AFC6AF8AC232}" name="Table4" displayName="Table4" ref="A1:Q31" totalsRowShown="0" headerRowDxfId="13" headerRowCellStyle="Check Cell">
  <autoFilter ref="A1:Q31" xr:uid="{B019BB21-9B70-45F1-AE68-0A5F9368C9C1}"/>
  <tableColumns count="17">
    <tableColumn id="1" xr3:uid="{58A5BEB2-B30F-433A-920E-347507CE6591}" name="Appellation " dataDxfId="23"/>
    <tableColumn id="2" xr3:uid="{64E47AD3-5D3E-4093-9A6C-89A70DEEAEC9}" name="Designation " dataDxfId="22"/>
    <tableColumn id="3" xr3:uid="{61C29386-8FD0-4C55-AE39-725714042EBD}" name="Year " dataDxfId="21"/>
    <tableColumn id="4" xr3:uid="{E413997E-CFCD-45EC-9CF1-6770D6EFFDE4}" name="Color " dataDxfId="20"/>
    <tableColumn id="5" xr3:uid="{269F2AF1-383F-46FC-9CCA-D6183E00471C}" name="Retail price    (€ per bottle) " dataDxfId="19"/>
    <tableColumn id="6" xr3:uid="{D18CDDBB-2093-4BF1-B039-723EF98F87BE}" name="Forecast " dataDxfId="18"/>
    <tableColumn id="7" xr3:uid="{CC655D07-2198-4019-A161-7B51F878A3A2}" name="Adjusted Fcast" dataDxfId="17">
      <calculatedColumnFormula>F2*$K$34</calculatedColumnFormula>
    </tableColumn>
    <tableColumn id="8" xr3:uid="{538AD067-2A7B-409B-918E-A213E62B6B9A}" name="Std of Fcast" dataDxfId="16">
      <calculatedColumnFormula>ROUND(F2*$K$35,0)</calculatedColumnFormula>
    </tableColumn>
    <tableColumn id="9" xr3:uid="{3D53833D-6E73-47A9-BC3F-8EB7D391823B}" name="Cu ">
      <calculatedColumnFormula>E2*0.5-$K$36</calculatedColumnFormula>
    </tableColumn>
    <tableColumn id="10" xr3:uid="{81D45D1A-6FB2-44AC-9ADE-B7BC8187213B}" name="Co ">
      <calculatedColumnFormula>(0.5*E2)+$K$36+$K$38+(0.15*0.5*E2*8/12)-(0.6*E2)</calculatedColumnFormula>
    </tableColumn>
    <tableColumn id="11" xr3:uid="{CD7D8A56-EECD-4A1B-B8BB-9F3C85D9A7A2}" name="Critical Ratio">
      <calculatedColumnFormula>ROUND(I2/(I2+J2),4)</calculatedColumnFormula>
    </tableColumn>
    <tableColumn id="12" xr3:uid="{827C42EA-8E64-4490-9BFC-97B27916290E}" name="Z-Score">
      <calculatedColumnFormula>NORMSINV(K2)</calculatedColumnFormula>
    </tableColumn>
    <tableColumn id="13" xr3:uid="{9419729F-6791-4EE9-824A-C1BB2BE70555}" name="Q">
      <calculatedColumnFormula>ROUND(G2+(L2*H2),0)</calculatedColumnFormula>
    </tableColumn>
    <tableColumn id="14" xr3:uid="{5D6D2B0A-5704-4F8D-B39F-C0FCAFB7F3C9}" name="Exp.Loss sales">
      <calculatedColumnFormula>ROUND(H2*(NORMDIST(L2,0,1,0)-L2*(1-NORMSDIST(L2))),0)</calculatedColumnFormula>
    </tableColumn>
    <tableColumn id="15" xr3:uid="{401AB634-E598-4BF6-8A93-3D580B0D408F}" name="Exp. Sales" dataDxfId="15">
      <calculatedColumnFormula>G2-N2</calculatedColumnFormula>
    </tableColumn>
    <tableColumn id="16" xr3:uid="{AFC95937-31FA-4A32-91BD-B3F3CE8E4BB8}" name="Exp. Leftover" dataDxfId="14">
      <calculatedColumnFormula>M2-O2</calculatedColumnFormula>
    </tableColumn>
    <tableColumn id="17" xr3:uid="{4787ED03-CAF1-4467-A61B-2147E8FEDAC1}" name="Exp. Profit">
      <calculatedColumnFormula>ROUND(O2*I2+P2*(-J2),0)</calculatedColumnFormula>
    </tableColumn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BE749-D4A7-4B38-91F5-A78ADF73C70F}">
  <dimension ref="A1:H44"/>
  <sheetViews>
    <sheetView workbookViewId="0">
      <selection activeCell="H14" sqref="H14"/>
    </sheetView>
  </sheetViews>
  <sheetFormatPr defaultRowHeight="14.4" x14ac:dyDescent="0.3"/>
  <cols>
    <col min="1" max="1" width="26.5546875" bestFit="1" customWidth="1"/>
    <col min="2" max="2" width="28.44140625" bestFit="1" customWidth="1"/>
    <col min="5" max="5" width="25.33203125" customWidth="1"/>
    <col min="6" max="6" width="10.33203125" customWidth="1"/>
    <col min="7" max="7" width="10.77734375" bestFit="1" customWidth="1"/>
    <col min="8" max="8" width="10.21875" customWidth="1"/>
  </cols>
  <sheetData>
    <row r="1" spans="1:8" ht="36" customHeight="1" x14ac:dyDescent="0.3">
      <c r="A1" s="29" t="s">
        <v>1</v>
      </c>
      <c r="B1" s="29" t="s">
        <v>2</v>
      </c>
      <c r="C1" s="29" t="s">
        <v>3</v>
      </c>
      <c r="D1" s="29" t="s">
        <v>4</v>
      </c>
      <c r="E1" s="30" t="s">
        <v>5</v>
      </c>
      <c r="F1" s="29" t="s">
        <v>6</v>
      </c>
      <c r="G1" s="29" t="s">
        <v>7</v>
      </c>
      <c r="H1" s="29" t="s">
        <v>89</v>
      </c>
    </row>
    <row r="2" spans="1:8" x14ac:dyDescent="0.3">
      <c r="A2" s="22" t="s">
        <v>8</v>
      </c>
      <c r="B2" s="22" t="s">
        <v>9</v>
      </c>
      <c r="C2" s="22">
        <v>1</v>
      </c>
      <c r="D2" s="22" t="s">
        <v>10</v>
      </c>
      <c r="E2" s="23">
        <v>5.9</v>
      </c>
      <c r="F2" s="24">
        <v>10000</v>
      </c>
      <c r="G2" s="24">
        <v>11280</v>
      </c>
      <c r="H2" s="22">
        <f>G2/F2</f>
        <v>1.1279999999999999</v>
      </c>
    </row>
    <row r="3" spans="1:8" x14ac:dyDescent="0.3">
      <c r="A3" s="22" t="s">
        <v>11</v>
      </c>
      <c r="B3" s="22" t="s">
        <v>12</v>
      </c>
      <c r="C3" s="22">
        <v>1</v>
      </c>
      <c r="D3" s="22" t="s">
        <v>10</v>
      </c>
      <c r="E3" s="23">
        <v>7.2</v>
      </c>
      <c r="F3" s="24">
        <v>1200</v>
      </c>
      <c r="G3" s="24">
        <v>252</v>
      </c>
      <c r="H3" s="22">
        <f t="shared" ref="H3:H41" si="0">G3/F3</f>
        <v>0.21</v>
      </c>
    </row>
    <row r="4" spans="1:8" x14ac:dyDescent="0.3">
      <c r="A4" s="22" t="s">
        <v>13</v>
      </c>
      <c r="B4" s="22" t="s">
        <v>14</v>
      </c>
      <c r="C4" s="22">
        <v>0</v>
      </c>
      <c r="D4" s="22" t="s">
        <v>10</v>
      </c>
      <c r="E4" s="23">
        <v>10.5</v>
      </c>
      <c r="F4" s="24">
        <v>900</v>
      </c>
      <c r="G4" s="24">
        <v>540</v>
      </c>
      <c r="H4" s="22">
        <f t="shared" si="0"/>
        <v>0.6</v>
      </c>
    </row>
    <row r="5" spans="1:8" x14ac:dyDescent="0.3">
      <c r="A5" s="22" t="s">
        <v>15</v>
      </c>
      <c r="B5" s="22" t="s">
        <v>16</v>
      </c>
      <c r="C5" s="22">
        <v>1</v>
      </c>
      <c r="D5" s="22" t="s">
        <v>10</v>
      </c>
      <c r="E5" s="23">
        <v>6.9</v>
      </c>
      <c r="F5" s="24">
        <v>800</v>
      </c>
      <c r="G5" s="24">
        <v>864</v>
      </c>
      <c r="H5" s="22">
        <f t="shared" si="0"/>
        <v>1.08</v>
      </c>
    </row>
    <row r="6" spans="1:8" x14ac:dyDescent="0.3">
      <c r="A6" s="22" t="s">
        <v>17</v>
      </c>
      <c r="B6" s="22" t="s">
        <v>18</v>
      </c>
      <c r="C6" s="22"/>
      <c r="D6" s="22"/>
      <c r="E6" s="23">
        <v>8.1999999999999993</v>
      </c>
      <c r="F6" s="24">
        <v>3000</v>
      </c>
      <c r="G6" s="24">
        <v>2169</v>
      </c>
      <c r="H6" s="22">
        <f t="shared" si="0"/>
        <v>0.72299999999999998</v>
      </c>
    </row>
    <row r="7" spans="1:8" x14ac:dyDescent="0.3">
      <c r="A7" s="22" t="s">
        <v>19</v>
      </c>
      <c r="B7" s="22" t="s">
        <v>20</v>
      </c>
      <c r="C7" s="22">
        <v>1</v>
      </c>
      <c r="D7" s="22" t="s">
        <v>10</v>
      </c>
      <c r="E7" s="23">
        <v>22.95</v>
      </c>
      <c r="F7" s="24">
        <v>900</v>
      </c>
      <c r="G7" s="24">
        <v>1034</v>
      </c>
      <c r="H7" s="22">
        <f t="shared" si="0"/>
        <v>1.1488888888888888</v>
      </c>
    </row>
    <row r="8" spans="1:8" x14ac:dyDescent="0.3">
      <c r="A8" s="22" t="s">
        <v>21</v>
      </c>
      <c r="B8" s="22" t="s">
        <v>22</v>
      </c>
      <c r="C8" s="22">
        <v>1</v>
      </c>
      <c r="D8" s="22" t="s">
        <v>10</v>
      </c>
      <c r="E8" s="23">
        <v>9.9499999999999993</v>
      </c>
      <c r="F8" s="24">
        <v>600</v>
      </c>
      <c r="G8" s="24">
        <v>384</v>
      </c>
      <c r="H8" s="22">
        <f t="shared" si="0"/>
        <v>0.64</v>
      </c>
    </row>
    <row r="9" spans="1:8" x14ac:dyDescent="0.3">
      <c r="A9" s="22" t="s">
        <v>23</v>
      </c>
      <c r="B9" s="22" t="s">
        <v>24</v>
      </c>
      <c r="C9" s="22">
        <v>1</v>
      </c>
      <c r="D9" s="22" t="s">
        <v>10</v>
      </c>
      <c r="E9" s="23">
        <v>10.7</v>
      </c>
      <c r="F9" s="24">
        <v>400</v>
      </c>
      <c r="G9" s="24">
        <v>414</v>
      </c>
      <c r="H9" s="22">
        <f t="shared" si="0"/>
        <v>1.0349999999999999</v>
      </c>
    </row>
    <row r="10" spans="1:8" x14ac:dyDescent="0.3">
      <c r="A10" s="22" t="s">
        <v>25</v>
      </c>
      <c r="B10" s="22" t="s">
        <v>26</v>
      </c>
      <c r="C10" s="22">
        <v>1</v>
      </c>
      <c r="D10" s="22" t="s">
        <v>10</v>
      </c>
      <c r="E10" s="23">
        <v>5.95</v>
      </c>
      <c r="F10" s="24">
        <v>1800</v>
      </c>
      <c r="G10" s="24">
        <v>612</v>
      </c>
      <c r="H10" s="22">
        <f t="shared" si="0"/>
        <v>0.34</v>
      </c>
    </row>
    <row r="11" spans="1:8" x14ac:dyDescent="0.3">
      <c r="A11" s="22" t="s">
        <v>17</v>
      </c>
      <c r="B11" s="22" t="s">
        <v>27</v>
      </c>
      <c r="C11" s="22"/>
      <c r="D11" s="22"/>
      <c r="E11" s="23">
        <v>13.74</v>
      </c>
      <c r="F11" s="24">
        <v>3960</v>
      </c>
      <c r="G11" s="24">
        <v>5436</v>
      </c>
      <c r="H11" s="22">
        <f t="shared" si="0"/>
        <v>1.3727272727272728</v>
      </c>
    </row>
    <row r="12" spans="1:8" x14ac:dyDescent="0.3">
      <c r="A12" s="22" t="s">
        <v>28</v>
      </c>
      <c r="B12" s="22" t="s">
        <v>29</v>
      </c>
      <c r="C12" s="22">
        <v>1</v>
      </c>
      <c r="D12" s="22" t="s">
        <v>10</v>
      </c>
      <c r="E12" s="23">
        <v>33.9</v>
      </c>
      <c r="F12" s="24">
        <v>600</v>
      </c>
      <c r="G12" s="24">
        <v>528</v>
      </c>
      <c r="H12" s="22">
        <f t="shared" si="0"/>
        <v>0.88</v>
      </c>
    </row>
    <row r="13" spans="1:8" x14ac:dyDescent="0.3">
      <c r="A13" s="22" t="s">
        <v>30</v>
      </c>
      <c r="B13" s="22" t="s">
        <v>31</v>
      </c>
      <c r="C13" s="22">
        <v>2</v>
      </c>
      <c r="D13" s="22" t="s">
        <v>32</v>
      </c>
      <c r="E13" s="23">
        <v>10.9</v>
      </c>
      <c r="F13" s="24">
        <v>900</v>
      </c>
      <c r="G13" s="24">
        <v>1014</v>
      </c>
      <c r="H13" s="22">
        <f t="shared" si="0"/>
        <v>1.1266666666666667</v>
      </c>
    </row>
    <row r="14" spans="1:8" x14ac:dyDescent="0.3">
      <c r="A14" s="22" t="s">
        <v>33</v>
      </c>
      <c r="B14" s="22" t="s">
        <v>34</v>
      </c>
      <c r="C14" s="22">
        <v>2</v>
      </c>
      <c r="D14" s="22" t="s">
        <v>10</v>
      </c>
      <c r="E14" s="23">
        <v>9.5</v>
      </c>
      <c r="F14" s="24">
        <v>1200</v>
      </c>
      <c r="G14" s="24">
        <v>1500</v>
      </c>
      <c r="H14" s="22">
        <f t="shared" si="0"/>
        <v>1.25</v>
      </c>
    </row>
    <row r="15" spans="1:8" x14ac:dyDescent="0.3">
      <c r="A15" s="22" t="s">
        <v>35</v>
      </c>
      <c r="B15" s="22" t="s">
        <v>36</v>
      </c>
      <c r="C15" s="22">
        <v>3</v>
      </c>
      <c r="D15" s="22" t="s">
        <v>37</v>
      </c>
      <c r="E15" s="23">
        <v>3.3</v>
      </c>
      <c r="F15" s="24">
        <v>2500</v>
      </c>
      <c r="G15" s="24">
        <v>2070</v>
      </c>
      <c r="H15" s="22">
        <f t="shared" si="0"/>
        <v>0.82799999999999996</v>
      </c>
    </row>
    <row r="16" spans="1:8" x14ac:dyDescent="0.3">
      <c r="A16" s="22" t="s">
        <v>35</v>
      </c>
      <c r="B16" s="22" t="s">
        <v>38</v>
      </c>
      <c r="C16" s="22">
        <v>2</v>
      </c>
      <c r="D16" s="22" t="s">
        <v>10</v>
      </c>
      <c r="E16" s="23">
        <v>3.25</v>
      </c>
      <c r="F16" s="24">
        <v>3000</v>
      </c>
      <c r="G16" s="24">
        <v>2784</v>
      </c>
      <c r="H16" s="22">
        <f t="shared" si="0"/>
        <v>0.92800000000000005</v>
      </c>
    </row>
    <row r="17" spans="1:8" x14ac:dyDescent="0.3">
      <c r="A17" s="22" t="s">
        <v>39</v>
      </c>
      <c r="B17" s="22" t="s">
        <v>40</v>
      </c>
      <c r="C17" s="22">
        <v>3</v>
      </c>
      <c r="D17" s="22" t="s">
        <v>32</v>
      </c>
      <c r="E17" s="23">
        <v>3.3</v>
      </c>
      <c r="F17" s="24">
        <v>2000</v>
      </c>
      <c r="G17" s="24">
        <v>1974</v>
      </c>
      <c r="H17" s="22">
        <f t="shared" si="0"/>
        <v>0.98699999999999999</v>
      </c>
    </row>
    <row r="18" spans="1:8" x14ac:dyDescent="0.3">
      <c r="A18" s="22" t="s">
        <v>41</v>
      </c>
      <c r="B18" s="22" t="s">
        <v>42</v>
      </c>
      <c r="C18" s="22">
        <v>2</v>
      </c>
      <c r="D18" s="22" t="s">
        <v>10</v>
      </c>
      <c r="E18" s="23">
        <v>4.5</v>
      </c>
      <c r="F18" s="24">
        <v>2500</v>
      </c>
      <c r="G18" s="24">
        <v>4057</v>
      </c>
      <c r="H18" s="22">
        <f t="shared" si="0"/>
        <v>1.6228</v>
      </c>
    </row>
    <row r="19" spans="1:8" x14ac:dyDescent="0.3">
      <c r="A19" s="22" t="s">
        <v>43</v>
      </c>
      <c r="B19" s="22" t="s">
        <v>44</v>
      </c>
      <c r="C19" s="22"/>
      <c r="D19" s="22"/>
      <c r="E19" s="23">
        <v>3.59</v>
      </c>
      <c r="F19" s="24">
        <v>2600</v>
      </c>
      <c r="G19" s="24">
        <v>1992</v>
      </c>
      <c r="H19" s="22">
        <f t="shared" si="0"/>
        <v>0.76615384615384619</v>
      </c>
    </row>
    <row r="20" spans="1:8" x14ac:dyDescent="0.3">
      <c r="A20" s="22" t="s">
        <v>45</v>
      </c>
      <c r="B20" s="22" t="s">
        <v>46</v>
      </c>
      <c r="C20" s="22">
        <v>1</v>
      </c>
      <c r="D20" s="22" t="s">
        <v>10</v>
      </c>
      <c r="E20" s="23">
        <v>11.9</v>
      </c>
      <c r="F20" s="24">
        <v>3000</v>
      </c>
      <c r="G20" s="24">
        <v>726</v>
      </c>
      <c r="H20" s="22">
        <f t="shared" si="0"/>
        <v>0.24199999999999999</v>
      </c>
    </row>
    <row r="21" spans="1:8" x14ac:dyDescent="0.3">
      <c r="A21" s="22" t="s">
        <v>47</v>
      </c>
      <c r="B21" s="22" t="s">
        <v>48</v>
      </c>
      <c r="C21" s="22">
        <v>1</v>
      </c>
      <c r="D21" s="22" t="s">
        <v>10</v>
      </c>
      <c r="E21" s="23">
        <v>5.9</v>
      </c>
      <c r="F21" s="24">
        <v>800</v>
      </c>
      <c r="G21" s="24">
        <v>402</v>
      </c>
      <c r="H21" s="22">
        <f t="shared" si="0"/>
        <v>0.50249999999999995</v>
      </c>
    </row>
    <row r="22" spans="1:8" x14ac:dyDescent="0.3">
      <c r="A22" s="22" t="s">
        <v>49</v>
      </c>
      <c r="B22" s="22" t="s">
        <v>50</v>
      </c>
      <c r="C22" s="22">
        <v>2</v>
      </c>
      <c r="D22" s="22" t="s">
        <v>32</v>
      </c>
      <c r="E22" s="23">
        <v>5.4</v>
      </c>
      <c r="F22" s="24">
        <v>2500</v>
      </c>
      <c r="G22" s="24">
        <v>1380</v>
      </c>
      <c r="H22" s="22">
        <f t="shared" si="0"/>
        <v>0.55200000000000005</v>
      </c>
    </row>
    <row r="23" spans="1:8" x14ac:dyDescent="0.3">
      <c r="A23" s="22" t="s">
        <v>51</v>
      </c>
      <c r="B23" s="22" t="s">
        <v>52</v>
      </c>
      <c r="C23" s="22">
        <v>1</v>
      </c>
      <c r="D23" s="22" t="s">
        <v>10</v>
      </c>
      <c r="E23" s="23">
        <v>6.1</v>
      </c>
      <c r="F23" s="24">
        <v>900</v>
      </c>
      <c r="G23" s="24">
        <v>612</v>
      </c>
      <c r="H23" s="22">
        <f t="shared" si="0"/>
        <v>0.68</v>
      </c>
    </row>
    <row r="24" spans="1:8" x14ac:dyDescent="0.3">
      <c r="A24" s="22" t="s">
        <v>47</v>
      </c>
      <c r="B24" s="22" t="s">
        <v>53</v>
      </c>
      <c r="C24" s="22">
        <v>1</v>
      </c>
      <c r="D24" s="22" t="s">
        <v>10</v>
      </c>
      <c r="E24" s="23">
        <v>5.2</v>
      </c>
      <c r="F24" s="24">
        <v>1800</v>
      </c>
      <c r="G24" s="24">
        <v>1170</v>
      </c>
      <c r="H24" s="22">
        <f t="shared" si="0"/>
        <v>0.65</v>
      </c>
    </row>
    <row r="25" spans="1:8" x14ac:dyDescent="0.3">
      <c r="A25" s="22" t="s">
        <v>54</v>
      </c>
      <c r="B25" s="22" t="s">
        <v>55</v>
      </c>
      <c r="C25" s="22">
        <v>2</v>
      </c>
      <c r="D25" s="22" t="s">
        <v>10</v>
      </c>
      <c r="E25" s="23">
        <v>7.55</v>
      </c>
      <c r="F25" s="24">
        <v>1500</v>
      </c>
      <c r="G25" s="24">
        <v>960</v>
      </c>
      <c r="H25" s="22">
        <f t="shared" si="0"/>
        <v>0.64</v>
      </c>
    </row>
    <row r="26" spans="1:8" x14ac:dyDescent="0.3">
      <c r="A26" s="22" t="s">
        <v>56</v>
      </c>
      <c r="B26" s="22" t="s">
        <v>57</v>
      </c>
      <c r="C26" s="22">
        <v>2</v>
      </c>
      <c r="D26" s="22" t="s">
        <v>32</v>
      </c>
      <c r="E26" s="23">
        <v>7.3</v>
      </c>
      <c r="F26" s="24">
        <v>3000</v>
      </c>
      <c r="G26" s="24">
        <v>2100</v>
      </c>
      <c r="H26" s="22">
        <f t="shared" si="0"/>
        <v>0.7</v>
      </c>
    </row>
    <row r="27" spans="1:8" x14ac:dyDescent="0.3">
      <c r="A27" s="22" t="s">
        <v>58</v>
      </c>
      <c r="B27" s="22" t="s">
        <v>59</v>
      </c>
      <c r="C27" s="22">
        <v>3</v>
      </c>
      <c r="D27" s="22" t="s">
        <v>37</v>
      </c>
      <c r="E27" s="23">
        <v>5.5</v>
      </c>
      <c r="F27" s="24">
        <v>2300</v>
      </c>
      <c r="G27" s="24">
        <v>2934</v>
      </c>
      <c r="H27" s="22">
        <f t="shared" si="0"/>
        <v>1.2756521739130435</v>
      </c>
    </row>
    <row r="28" spans="1:8" x14ac:dyDescent="0.3">
      <c r="A28" s="22" t="s">
        <v>60</v>
      </c>
      <c r="B28" s="22" t="s">
        <v>61</v>
      </c>
      <c r="C28" s="22">
        <v>0</v>
      </c>
      <c r="D28" s="22" t="s">
        <v>10</v>
      </c>
      <c r="E28" s="23">
        <v>19.95</v>
      </c>
      <c r="F28" s="24">
        <v>300</v>
      </c>
      <c r="G28" s="24">
        <v>703</v>
      </c>
      <c r="H28" s="22">
        <f t="shared" si="0"/>
        <v>2.3433333333333333</v>
      </c>
    </row>
    <row r="29" spans="1:8" x14ac:dyDescent="0.3">
      <c r="A29" s="22" t="s">
        <v>62</v>
      </c>
      <c r="B29" s="22" t="s">
        <v>63</v>
      </c>
      <c r="C29" s="22">
        <v>2</v>
      </c>
      <c r="D29" s="22" t="s">
        <v>10</v>
      </c>
      <c r="E29" s="23">
        <v>8.9</v>
      </c>
      <c r="F29" s="24">
        <v>500</v>
      </c>
      <c r="G29" s="24">
        <v>480</v>
      </c>
      <c r="H29" s="22">
        <f t="shared" si="0"/>
        <v>0.96</v>
      </c>
    </row>
    <row r="30" spans="1:8" x14ac:dyDescent="0.3">
      <c r="A30" s="22" t="s">
        <v>64</v>
      </c>
      <c r="B30" s="22" t="s">
        <v>65</v>
      </c>
      <c r="C30" s="22">
        <v>1</v>
      </c>
      <c r="D30" s="22" t="s">
        <v>10</v>
      </c>
      <c r="E30" s="23">
        <v>4.7</v>
      </c>
      <c r="F30" s="24">
        <v>2700</v>
      </c>
      <c r="G30" s="24">
        <v>1968</v>
      </c>
      <c r="H30" s="22">
        <f t="shared" si="0"/>
        <v>0.72888888888888892</v>
      </c>
    </row>
    <row r="31" spans="1:8" x14ac:dyDescent="0.3">
      <c r="A31" s="22" t="s">
        <v>43</v>
      </c>
      <c r="B31" s="22" t="s">
        <v>66</v>
      </c>
      <c r="C31" s="22"/>
      <c r="D31" s="22"/>
      <c r="E31" s="23">
        <v>13.73</v>
      </c>
      <c r="F31" s="24">
        <v>1800</v>
      </c>
      <c r="G31" s="24">
        <v>1356</v>
      </c>
      <c r="H31" s="22">
        <f t="shared" si="0"/>
        <v>0.7533333333333333</v>
      </c>
    </row>
    <row r="32" spans="1:8" x14ac:dyDescent="0.3">
      <c r="A32" s="22" t="s">
        <v>67</v>
      </c>
      <c r="B32" s="22" t="s">
        <v>68</v>
      </c>
      <c r="C32" s="22">
        <v>93</v>
      </c>
      <c r="D32" s="22" t="s">
        <v>69</v>
      </c>
      <c r="E32" s="23">
        <v>29.5</v>
      </c>
      <c r="F32" s="24">
        <v>300</v>
      </c>
      <c r="G32" s="24">
        <v>324</v>
      </c>
      <c r="H32" s="22">
        <f t="shared" si="0"/>
        <v>1.08</v>
      </c>
    </row>
    <row r="33" spans="1:8" x14ac:dyDescent="0.3">
      <c r="A33" s="22" t="s">
        <v>70</v>
      </c>
      <c r="B33" s="22" t="s">
        <v>71</v>
      </c>
      <c r="C33" s="22">
        <v>2</v>
      </c>
      <c r="D33" s="22" t="s">
        <v>32</v>
      </c>
      <c r="E33" s="23">
        <v>7.5</v>
      </c>
      <c r="F33" s="24">
        <v>1200</v>
      </c>
      <c r="G33" s="24">
        <v>567</v>
      </c>
      <c r="H33" s="22">
        <f t="shared" si="0"/>
        <v>0.47249999999999998</v>
      </c>
    </row>
    <row r="34" spans="1:8" x14ac:dyDescent="0.3">
      <c r="A34" s="22" t="s">
        <v>72</v>
      </c>
      <c r="B34" s="22" t="s">
        <v>73</v>
      </c>
      <c r="C34" s="22">
        <v>0</v>
      </c>
      <c r="D34" s="22" t="s">
        <v>32</v>
      </c>
      <c r="E34" s="23">
        <v>8.9</v>
      </c>
      <c r="F34" s="24">
        <v>900</v>
      </c>
      <c r="G34" s="24">
        <v>741</v>
      </c>
      <c r="H34" s="22">
        <f t="shared" si="0"/>
        <v>0.82333333333333336</v>
      </c>
    </row>
    <row r="35" spans="1:8" x14ac:dyDescent="0.3">
      <c r="A35" s="22" t="s">
        <v>74</v>
      </c>
      <c r="B35" s="22" t="s">
        <v>75</v>
      </c>
      <c r="C35" s="22">
        <v>0</v>
      </c>
      <c r="D35" s="22" t="s">
        <v>10</v>
      </c>
      <c r="E35" s="23">
        <v>12.47</v>
      </c>
      <c r="F35" s="24">
        <v>2100</v>
      </c>
      <c r="G35" s="24">
        <v>1910</v>
      </c>
      <c r="H35" s="22">
        <f t="shared" si="0"/>
        <v>0.90952380952380951</v>
      </c>
    </row>
    <row r="36" spans="1:8" x14ac:dyDescent="0.3">
      <c r="A36" s="22" t="s">
        <v>76</v>
      </c>
      <c r="B36" s="22" t="s">
        <v>77</v>
      </c>
      <c r="C36" s="22">
        <v>0</v>
      </c>
      <c r="D36" s="22" t="s">
        <v>10</v>
      </c>
      <c r="E36" s="23">
        <v>6.83</v>
      </c>
      <c r="F36" s="24">
        <v>2000</v>
      </c>
      <c r="G36" s="24">
        <v>1176</v>
      </c>
      <c r="H36" s="22">
        <f t="shared" si="0"/>
        <v>0.58799999999999997</v>
      </c>
    </row>
    <row r="37" spans="1:8" x14ac:dyDescent="0.3">
      <c r="A37" s="22" t="s">
        <v>78</v>
      </c>
      <c r="B37" s="22" t="s">
        <v>79</v>
      </c>
      <c r="C37" s="22">
        <v>1</v>
      </c>
      <c r="D37" s="22" t="s">
        <v>10</v>
      </c>
      <c r="E37" s="23">
        <v>5.18</v>
      </c>
      <c r="F37" s="24">
        <v>2200</v>
      </c>
      <c r="G37" s="24">
        <v>1788</v>
      </c>
      <c r="H37" s="22">
        <f t="shared" si="0"/>
        <v>0.81272727272727274</v>
      </c>
    </row>
    <row r="38" spans="1:8" x14ac:dyDescent="0.3">
      <c r="A38" s="22" t="s">
        <v>80</v>
      </c>
      <c r="B38" s="22" t="s">
        <v>81</v>
      </c>
      <c r="C38" s="22">
        <v>99</v>
      </c>
      <c r="D38" s="22" t="s">
        <v>32</v>
      </c>
      <c r="E38" s="23">
        <v>6.17</v>
      </c>
      <c r="F38" s="24">
        <v>900</v>
      </c>
      <c r="G38" s="24">
        <v>834</v>
      </c>
      <c r="H38" s="22">
        <f t="shared" si="0"/>
        <v>0.92666666666666664</v>
      </c>
    </row>
    <row r="39" spans="1:8" x14ac:dyDescent="0.3">
      <c r="A39" s="22" t="s">
        <v>82</v>
      </c>
      <c r="B39" s="22" t="s">
        <v>83</v>
      </c>
      <c r="C39" s="22">
        <v>0</v>
      </c>
      <c r="D39" s="22" t="s">
        <v>10</v>
      </c>
      <c r="E39" s="23">
        <v>6.38</v>
      </c>
      <c r="F39" s="24">
        <v>2100</v>
      </c>
      <c r="G39" s="24">
        <v>2208</v>
      </c>
      <c r="H39" s="22">
        <f t="shared" si="0"/>
        <v>1.0514285714285714</v>
      </c>
    </row>
    <row r="40" spans="1:8" x14ac:dyDescent="0.3">
      <c r="A40" s="22" t="s">
        <v>84</v>
      </c>
      <c r="B40" s="22" t="s">
        <v>85</v>
      </c>
      <c r="C40" s="22">
        <v>1</v>
      </c>
      <c r="D40" s="22" t="s">
        <v>32</v>
      </c>
      <c r="E40" s="23">
        <v>9.7100000000000009</v>
      </c>
      <c r="F40" s="24">
        <v>1100</v>
      </c>
      <c r="G40" s="24">
        <v>1191</v>
      </c>
      <c r="H40" s="22">
        <f t="shared" si="0"/>
        <v>1.0827272727272728</v>
      </c>
    </row>
    <row r="41" spans="1:8" x14ac:dyDescent="0.3">
      <c r="A41" s="22" t="s">
        <v>86</v>
      </c>
      <c r="B41" s="22" t="s">
        <v>87</v>
      </c>
      <c r="C41" s="22">
        <v>2</v>
      </c>
      <c r="D41" s="22" t="s">
        <v>88</v>
      </c>
      <c r="E41" s="23">
        <v>10.4</v>
      </c>
      <c r="F41" s="24">
        <v>10000</v>
      </c>
      <c r="G41" s="24">
        <v>1704</v>
      </c>
      <c r="H41" s="22">
        <f t="shared" si="0"/>
        <v>0.1704</v>
      </c>
    </row>
    <row r="42" spans="1:8" ht="15" thickBot="1" x14ac:dyDescent="0.35">
      <c r="A42" s="31"/>
      <c r="B42" s="31"/>
      <c r="C42" s="31"/>
      <c r="D42" s="31"/>
      <c r="E42" s="31"/>
      <c r="F42" s="32"/>
      <c r="G42" s="27" t="s">
        <v>144</v>
      </c>
      <c r="H42" s="28">
        <f>AVERAGE(H2:H41)</f>
        <v>0.86528128325780518</v>
      </c>
    </row>
    <row r="43" spans="1:8" ht="15.6" thickTop="1" thickBot="1" x14ac:dyDescent="0.35">
      <c r="A43" s="25"/>
      <c r="B43" s="25"/>
      <c r="C43" s="25"/>
      <c r="D43" s="25"/>
      <c r="E43" s="25"/>
      <c r="F43" s="25"/>
      <c r="G43" s="33" t="s">
        <v>145</v>
      </c>
      <c r="H43" s="26">
        <f>STDEV(H2:H41)</f>
        <v>0.39779298288018144</v>
      </c>
    </row>
    <row r="44" spans="1:8" ht="15" thickTop="1" x14ac:dyDescent="0.3"/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7DB8C-A326-4E0A-A5CF-B1223D3B06C2}">
  <dimension ref="A1:Q38"/>
  <sheetViews>
    <sheetView tabSelected="1" zoomScale="107" workbookViewId="0"/>
  </sheetViews>
  <sheetFormatPr defaultRowHeight="14.4" x14ac:dyDescent="0.3"/>
  <cols>
    <col min="1" max="1" width="26.5546875" bestFit="1" customWidth="1"/>
    <col min="2" max="2" width="33.44140625" customWidth="1"/>
    <col min="3" max="3" width="7.44140625" customWidth="1"/>
    <col min="4" max="4" width="8.109375" customWidth="1"/>
    <col min="5" max="5" width="27.109375" customWidth="1"/>
    <col min="6" max="6" width="11.109375" customWidth="1"/>
    <col min="7" max="7" width="15.77734375" bestFit="1" customWidth="1"/>
    <col min="8" max="8" width="13.33203125" bestFit="1" customWidth="1"/>
    <col min="10" max="10" width="13.33203125" bestFit="1" customWidth="1"/>
    <col min="11" max="11" width="13.77734375" customWidth="1"/>
    <col min="12" max="12" width="9" customWidth="1"/>
    <col min="14" max="14" width="14.77734375" customWidth="1"/>
    <col min="15" max="15" width="11.21875" customWidth="1"/>
    <col min="16" max="16" width="13.88671875" customWidth="1"/>
    <col min="17" max="17" width="11.77734375" customWidth="1"/>
  </cols>
  <sheetData>
    <row r="1" spans="1:17" ht="15.6" thickTop="1" thickBot="1" x14ac:dyDescent="0.35">
      <c r="A1" s="20" t="s">
        <v>1</v>
      </c>
      <c r="B1" s="7" t="s">
        <v>2</v>
      </c>
      <c r="C1" s="20" t="s">
        <v>3</v>
      </c>
      <c r="D1" s="7" t="s">
        <v>4</v>
      </c>
      <c r="E1" s="7" t="s">
        <v>5</v>
      </c>
      <c r="F1" s="7" t="s">
        <v>6</v>
      </c>
      <c r="G1" s="20" t="s">
        <v>139</v>
      </c>
      <c r="H1" s="7" t="s">
        <v>140</v>
      </c>
      <c r="I1" s="7" t="s">
        <v>147</v>
      </c>
      <c r="J1" s="7" t="s">
        <v>148</v>
      </c>
      <c r="K1" s="7" t="s">
        <v>0</v>
      </c>
      <c r="L1" s="21" t="s">
        <v>149</v>
      </c>
      <c r="M1" s="7" t="s">
        <v>146</v>
      </c>
      <c r="N1" s="21" t="s">
        <v>150</v>
      </c>
      <c r="O1" s="21" t="s">
        <v>151</v>
      </c>
      <c r="P1" s="21" t="s">
        <v>152</v>
      </c>
      <c r="Q1" s="21" t="s">
        <v>153</v>
      </c>
    </row>
    <row r="2" spans="1:17" ht="15" thickTop="1" x14ac:dyDescent="0.3">
      <c r="A2" s="1" t="s">
        <v>92</v>
      </c>
      <c r="B2" s="1" t="s">
        <v>93</v>
      </c>
      <c r="C2" s="1">
        <v>2</v>
      </c>
      <c r="D2" s="34" t="s">
        <v>10</v>
      </c>
      <c r="E2" s="2">
        <v>6.8</v>
      </c>
      <c r="F2" s="3">
        <v>12000</v>
      </c>
      <c r="G2" s="3">
        <f>F2*$K$34</f>
        <v>10383.375399093662</v>
      </c>
      <c r="H2" s="1">
        <f>ROUND(F2*$K$35,0)</f>
        <v>4774</v>
      </c>
      <c r="I2">
        <f>E2*0.5-$K$36</f>
        <v>2.15</v>
      </c>
      <c r="J2">
        <f>(0.5*E2)+$K$36+$K$37+(0.15*0.5*E2*15/12)-(0.7*E2)</f>
        <v>2.0275000000000007</v>
      </c>
      <c r="K2">
        <f>ROUND(I2/(I2+J2),4)</f>
        <v>0.51470000000000005</v>
      </c>
      <c r="L2">
        <f>NORMSINV(K2)</f>
        <v>3.6855777768126312E-2</v>
      </c>
      <c r="M2">
        <f>ROUND(G2+(L2*H2),0)</f>
        <v>10559</v>
      </c>
      <c r="N2">
        <f>ROUND(H2*(NORMDIST(L2,0,1,0)-L2*(1-NORMSDIST(L2))),0)</f>
        <v>1818</v>
      </c>
      <c r="O2" s="8">
        <f>G2-N2</f>
        <v>8565.3753990936621</v>
      </c>
      <c r="P2" s="8">
        <f>M2-O2</f>
        <v>1993.6246009063379</v>
      </c>
      <c r="Q2">
        <f>ROUND(O2*I2+P2*(-J2),0)</f>
        <v>14373</v>
      </c>
    </row>
    <row r="3" spans="1:17" x14ac:dyDescent="0.3">
      <c r="A3" s="1" t="s">
        <v>21</v>
      </c>
      <c r="B3" s="1" t="s">
        <v>95</v>
      </c>
      <c r="C3" s="1">
        <v>2</v>
      </c>
      <c r="D3" s="34" t="s">
        <v>10</v>
      </c>
      <c r="E3" s="12">
        <v>8.4</v>
      </c>
      <c r="F3" s="13">
        <v>1000</v>
      </c>
      <c r="G3" s="3">
        <f t="shared" ref="G3:G30" si="0">F3*$K$34</f>
        <v>865.28128325780517</v>
      </c>
      <c r="H3" s="1">
        <f t="shared" ref="H3:H31" si="1">ROUND(F3*$K$35,0)</f>
        <v>398</v>
      </c>
      <c r="I3">
        <f t="shared" ref="I3:I31" si="2">E3*0.5-$K$36</f>
        <v>2.95</v>
      </c>
      <c r="J3">
        <f>(0.5*E3)+$K$36+$K$37+(0.15*0.5*E3*15/12)-(0.7*E3)</f>
        <v>1.8574999999999999</v>
      </c>
      <c r="K3">
        <f t="shared" ref="K3:K30" si="3">ROUND(I3/(I3+J3),4)</f>
        <v>0.61360000000000003</v>
      </c>
      <c r="L3">
        <f t="shared" ref="L3:L31" si="4">NORMSINV(K3)</f>
        <v>0.28871432442097011</v>
      </c>
      <c r="M3">
        <f t="shared" ref="M3:M31" si="5">ROUND(G3+(L3*H3),0)</f>
        <v>980</v>
      </c>
      <c r="N3">
        <f t="shared" ref="N3:N31" si="6">ROUND(H3*(NORMDIST(L3,0,1,0)-L3*(1-NORMSDIST(L3))),0)</f>
        <v>108</v>
      </c>
      <c r="O3" s="8">
        <f t="shared" ref="O3:O31" si="7">G3-N3</f>
        <v>757.28128325780517</v>
      </c>
      <c r="P3" s="8">
        <f t="shared" ref="P3:P31" si="8">M3-O3</f>
        <v>222.71871674219483</v>
      </c>
      <c r="Q3">
        <f t="shared" ref="Q3:Q30" si="9">ROUND(O3*I3+P3*(-J3),0)</f>
        <v>1820</v>
      </c>
    </row>
    <row r="4" spans="1:17" x14ac:dyDescent="0.3">
      <c r="A4" s="9" t="s">
        <v>96</v>
      </c>
      <c r="B4" s="9" t="s">
        <v>97</v>
      </c>
      <c r="C4" s="9">
        <v>1</v>
      </c>
      <c r="D4" s="35" t="s">
        <v>10</v>
      </c>
      <c r="E4" s="14">
        <v>18.899999999999999</v>
      </c>
      <c r="F4" s="15">
        <v>1300</v>
      </c>
      <c r="G4" s="3">
        <f t="shared" si="0"/>
        <v>1124.8656682351468</v>
      </c>
      <c r="H4" s="1">
        <f t="shared" si="1"/>
        <v>517</v>
      </c>
      <c r="I4">
        <f t="shared" si="2"/>
        <v>8.1999999999999993</v>
      </c>
      <c r="J4">
        <f t="shared" ref="J4:J19" si="10">(0.5*E4)+$K$36+$K$37+(0.15*0.5*E4*15/12)-(0.7*E4)</f>
        <v>0.74187500000000028</v>
      </c>
      <c r="K4">
        <f t="shared" si="3"/>
        <v>0.91700000000000004</v>
      </c>
      <c r="L4">
        <f t="shared" si="4"/>
        <v>1.3851716082134369</v>
      </c>
      <c r="M4">
        <f t="shared" si="5"/>
        <v>1841</v>
      </c>
      <c r="N4">
        <f t="shared" si="6"/>
        <v>20</v>
      </c>
      <c r="O4" s="8">
        <f t="shared" si="7"/>
        <v>1104.8656682351468</v>
      </c>
      <c r="P4" s="8">
        <f t="shared" si="8"/>
        <v>736.13433176485319</v>
      </c>
      <c r="Q4">
        <f t="shared" si="9"/>
        <v>8514</v>
      </c>
    </row>
    <row r="5" spans="1:17" x14ac:dyDescent="0.3">
      <c r="A5" s="1" t="s">
        <v>101</v>
      </c>
      <c r="B5" s="1" t="s">
        <v>102</v>
      </c>
      <c r="C5" s="1">
        <v>2</v>
      </c>
      <c r="D5" s="34" t="s">
        <v>10</v>
      </c>
      <c r="E5" s="2">
        <v>7.2</v>
      </c>
      <c r="F5" s="3">
        <v>1300</v>
      </c>
      <c r="G5" s="3">
        <f t="shared" si="0"/>
        <v>1124.8656682351468</v>
      </c>
      <c r="H5" s="1">
        <f t="shared" si="1"/>
        <v>517</v>
      </c>
      <c r="I5">
        <f t="shared" si="2"/>
        <v>2.35</v>
      </c>
      <c r="J5">
        <f t="shared" si="10"/>
        <v>1.9849999999999994</v>
      </c>
      <c r="K5">
        <f t="shared" si="3"/>
        <v>0.54210000000000003</v>
      </c>
      <c r="L5">
        <f t="shared" si="4"/>
        <v>0.10572568610707414</v>
      </c>
      <c r="M5">
        <f t="shared" si="5"/>
        <v>1180</v>
      </c>
      <c r="N5">
        <f t="shared" si="6"/>
        <v>180</v>
      </c>
      <c r="O5" s="8">
        <f t="shared" si="7"/>
        <v>944.86566823514681</v>
      </c>
      <c r="P5" s="8">
        <f t="shared" si="8"/>
        <v>235.13433176485319</v>
      </c>
      <c r="Q5">
        <f t="shared" si="9"/>
        <v>1754</v>
      </c>
    </row>
    <row r="6" spans="1:17" x14ac:dyDescent="0.3">
      <c r="A6" s="9" t="s">
        <v>25</v>
      </c>
      <c r="B6" s="9" t="s">
        <v>105</v>
      </c>
      <c r="C6" s="9">
        <v>2</v>
      </c>
      <c r="D6" s="35" t="s">
        <v>10</v>
      </c>
      <c r="E6" s="10">
        <v>4.6500000000000004</v>
      </c>
      <c r="F6" s="11">
        <v>6000</v>
      </c>
      <c r="G6" s="3">
        <f t="shared" si="0"/>
        <v>5191.687699546831</v>
      </c>
      <c r="H6" s="1">
        <f t="shared" si="1"/>
        <v>2387</v>
      </c>
      <c r="I6">
        <f t="shared" si="2"/>
        <v>1.0750000000000002</v>
      </c>
      <c r="J6">
        <f t="shared" si="10"/>
        <v>2.2559374999999999</v>
      </c>
      <c r="K6">
        <f t="shared" si="3"/>
        <v>0.32269999999999999</v>
      </c>
      <c r="L6">
        <f t="shared" si="4"/>
        <v>-0.46016192250454402</v>
      </c>
      <c r="M6">
        <f t="shared" si="5"/>
        <v>4093</v>
      </c>
      <c r="N6">
        <f t="shared" si="6"/>
        <v>1601</v>
      </c>
      <c r="O6" s="8">
        <f t="shared" si="7"/>
        <v>3590.687699546831</v>
      </c>
      <c r="P6" s="8">
        <f t="shared" si="8"/>
        <v>502.31230045316897</v>
      </c>
      <c r="Q6">
        <f t="shared" si="9"/>
        <v>2727</v>
      </c>
    </row>
    <row r="7" spans="1:17" x14ac:dyDescent="0.3">
      <c r="A7" s="1" t="s">
        <v>41</v>
      </c>
      <c r="B7" s="1" t="s">
        <v>42</v>
      </c>
      <c r="C7" s="1">
        <v>2</v>
      </c>
      <c r="D7" s="34" t="s">
        <v>10</v>
      </c>
      <c r="E7" s="2">
        <v>4.5</v>
      </c>
      <c r="F7" s="3">
        <v>2900</v>
      </c>
      <c r="G7" s="3">
        <f t="shared" si="0"/>
        <v>2509.315721447635</v>
      </c>
      <c r="H7" s="1">
        <f t="shared" si="1"/>
        <v>1154</v>
      </c>
      <c r="I7">
        <f t="shared" si="2"/>
        <v>1</v>
      </c>
      <c r="J7">
        <f t="shared" si="10"/>
        <v>2.2718750000000001</v>
      </c>
      <c r="K7">
        <f t="shared" si="3"/>
        <v>0.30559999999999998</v>
      </c>
      <c r="L7">
        <f t="shared" si="4"/>
        <v>-0.50836128252912938</v>
      </c>
      <c r="M7">
        <f t="shared" si="5"/>
        <v>1923</v>
      </c>
      <c r="N7">
        <f t="shared" si="6"/>
        <v>812</v>
      </c>
      <c r="O7" s="8">
        <f t="shared" si="7"/>
        <v>1697.315721447635</v>
      </c>
      <c r="P7" s="8">
        <f t="shared" si="8"/>
        <v>225.68427855236496</v>
      </c>
      <c r="Q7">
        <f t="shared" si="9"/>
        <v>1185</v>
      </c>
    </row>
    <row r="8" spans="1:17" x14ac:dyDescent="0.3">
      <c r="A8" s="1" t="s">
        <v>35</v>
      </c>
      <c r="B8" s="1" t="s">
        <v>38</v>
      </c>
      <c r="C8" s="1">
        <v>3</v>
      </c>
      <c r="D8" s="34" t="s">
        <v>10</v>
      </c>
      <c r="E8" s="2">
        <v>3.25</v>
      </c>
      <c r="F8" s="3">
        <v>3500</v>
      </c>
      <c r="G8" s="3">
        <f t="shared" si="0"/>
        <v>3028.4844914023183</v>
      </c>
      <c r="H8" s="1">
        <f t="shared" si="1"/>
        <v>1392</v>
      </c>
      <c r="I8">
        <f t="shared" si="2"/>
        <v>0.375</v>
      </c>
      <c r="J8">
        <f t="shared" si="10"/>
        <v>2.4046875000000001</v>
      </c>
      <c r="K8">
        <f t="shared" si="3"/>
        <v>0.13489999999999999</v>
      </c>
      <c r="L8">
        <f t="shared" si="4"/>
        <v>-1.1035232512521835</v>
      </c>
      <c r="M8">
        <f t="shared" si="5"/>
        <v>1492</v>
      </c>
      <c r="N8">
        <f t="shared" si="6"/>
        <v>1631</v>
      </c>
      <c r="O8" s="8">
        <f t="shared" si="7"/>
        <v>1397.4844914023183</v>
      </c>
      <c r="P8" s="8">
        <f t="shared" si="8"/>
        <v>94.515508597681674</v>
      </c>
      <c r="Q8">
        <f t="shared" si="9"/>
        <v>297</v>
      </c>
    </row>
    <row r="9" spans="1:17" x14ac:dyDescent="0.3">
      <c r="A9" s="1" t="s">
        <v>54</v>
      </c>
      <c r="B9" s="1" t="s">
        <v>111</v>
      </c>
      <c r="C9" s="1">
        <v>2</v>
      </c>
      <c r="D9" s="34" t="s">
        <v>10</v>
      </c>
      <c r="E9" s="2">
        <v>5.85</v>
      </c>
      <c r="F9" s="3">
        <v>4500</v>
      </c>
      <c r="G9" s="3">
        <f t="shared" si="0"/>
        <v>3893.7657746601235</v>
      </c>
      <c r="H9" s="1">
        <f t="shared" si="1"/>
        <v>1790</v>
      </c>
      <c r="I9">
        <f t="shared" si="2"/>
        <v>1.6749999999999998</v>
      </c>
      <c r="J9">
        <f t="shared" si="10"/>
        <v>2.1284375000000004</v>
      </c>
      <c r="K9">
        <f t="shared" si="3"/>
        <v>0.44040000000000001</v>
      </c>
      <c r="L9">
        <f t="shared" si="4"/>
        <v>-0.1499551502211906</v>
      </c>
      <c r="M9">
        <f t="shared" si="5"/>
        <v>3625</v>
      </c>
      <c r="N9">
        <f t="shared" si="6"/>
        <v>856</v>
      </c>
      <c r="O9" s="8">
        <f t="shared" si="7"/>
        <v>3037.7657746601235</v>
      </c>
      <c r="P9" s="8">
        <f t="shared" si="8"/>
        <v>587.2342253398765</v>
      </c>
      <c r="Q9">
        <f t="shared" si="9"/>
        <v>3838</v>
      </c>
    </row>
    <row r="10" spans="1:17" x14ac:dyDescent="0.3">
      <c r="A10" s="1" t="s">
        <v>112</v>
      </c>
      <c r="B10" s="1" t="s">
        <v>113</v>
      </c>
      <c r="C10" s="1">
        <v>2</v>
      </c>
      <c r="D10" s="34" t="s">
        <v>10</v>
      </c>
      <c r="E10" s="2">
        <v>21.9</v>
      </c>
      <c r="F10" s="3">
        <v>1200</v>
      </c>
      <c r="G10" s="3">
        <f t="shared" si="0"/>
        <v>1038.3375399093661</v>
      </c>
      <c r="H10" s="1">
        <f t="shared" si="1"/>
        <v>477</v>
      </c>
      <c r="I10">
        <f t="shared" si="2"/>
        <v>9.6999999999999993</v>
      </c>
      <c r="J10">
        <f t="shared" si="10"/>
        <v>0.42312500000000064</v>
      </c>
      <c r="K10">
        <f t="shared" si="3"/>
        <v>0.95820000000000005</v>
      </c>
      <c r="L10">
        <f t="shared" si="4"/>
        <v>1.7301694770882559</v>
      </c>
      <c r="M10">
        <f t="shared" si="5"/>
        <v>1864</v>
      </c>
      <c r="N10">
        <f t="shared" si="6"/>
        <v>8</v>
      </c>
      <c r="O10" s="8">
        <f t="shared" si="7"/>
        <v>1030.3375399093661</v>
      </c>
      <c r="P10" s="8">
        <f t="shared" si="8"/>
        <v>833.66246009063389</v>
      </c>
      <c r="Q10">
        <f t="shared" si="9"/>
        <v>9642</v>
      </c>
    </row>
    <row r="11" spans="1:17" x14ac:dyDescent="0.3">
      <c r="A11" s="9" t="s">
        <v>116</v>
      </c>
      <c r="B11" s="9" t="s">
        <v>117</v>
      </c>
      <c r="C11" s="9">
        <v>2</v>
      </c>
      <c r="D11" s="35" t="s">
        <v>10</v>
      </c>
      <c r="E11" s="10">
        <v>12.9</v>
      </c>
      <c r="F11" s="11">
        <v>900</v>
      </c>
      <c r="G11" s="3">
        <f t="shared" si="0"/>
        <v>778.7531549320247</v>
      </c>
      <c r="H11" s="1">
        <f t="shared" si="1"/>
        <v>358</v>
      </c>
      <c r="I11">
        <f t="shared" si="2"/>
        <v>5.2</v>
      </c>
      <c r="J11">
        <f t="shared" si="10"/>
        <v>1.3793749999999996</v>
      </c>
      <c r="K11">
        <f t="shared" si="3"/>
        <v>0.7903</v>
      </c>
      <c r="L11">
        <f t="shared" si="4"/>
        <v>0.80746262351029463</v>
      </c>
      <c r="M11">
        <f t="shared" si="5"/>
        <v>1068</v>
      </c>
      <c r="N11">
        <f t="shared" si="6"/>
        <v>42</v>
      </c>
      <c r="O11" s="8">
        <f t="shared" si="7"/>
        <v>736.7531549320247</v>
      </c>
      <c r="P11" s="8">
        <f t="shared" si="8"/>
        <v>331.2468450679753</v>
      </c>
      <c r="Q11">
        <f t="shared" si="9"/>
        <v>3374</v>
      </c>
    </row>
    <row r="12" spans="1:17" x14ac:dyDescent="0.3">
      <c r="A12" s="1" t="s">
        <v>118</v>
      </c>
      <c r="B12" s="1" t="s">
        <v>119</v>
      </c>
      <c r="C12" s="1">
        <v>3</v>
      </c>
      <c r="D12" s="34" t="s">
        <v>10</v>
      </c>
      <c r="E12" s="2">
        <v>5.35</v>
      </c>
      <c r="F12" s="3">
        <v>3000</v>
      </c>
      <c r="G12" s="3">
        <f t="shared" si="0"/>
        <v>2595.8438497734155</v>
      </c>
      <c r="H12" s="1">
        <f t="shared" si="1"/>
        <v>1193</v>
      </c>
      <c r="I12">
        <f t="shared" si="2"/>
        <v>1.4249999999999998</v>
      </c>
      <c r="J12">
        <f t="shared" si="10"/>
        <v>2.1815624999999996</v>
      </c>
      <c r="K12">
        <f t="shared" si="3"/>
        <v>0.39510000000000001</v>
      </c>
      <c r="L12">
        <f t="shared" si="4"/>
        <v>-0.26605091120382102</v>
      </c>
      <c r="M12">
        <f t="shared" si="5"/>
        <v>2278</v>
      </c>
      <c r="N12">
        <f t="shared" si="6"/>
        <v>651</v>
      </c>
      <c r="O12" s="8">
        <f t="shared" si="7"/>
        <v>1944.8438497734155</v>
      </c>
      <c r="P12" s="8">
        <f t="shared" si="8"/>
        <v>333.15615022658449</v>
      </c>
      <c r="Q12">
        <f t="shared" si="9"/>
        <v>2045</v>
      </c>
    </row>
    <row r="13" spans="1:17" x14ac:dyDescent="0.3">
      <c r="A13" s="1" t="s">
        <v>120</v>
      </c>
      <c r="B13" s="1" t="s">
        <v>121</v>
      </c>
      <c r="C13" s="1">
        <v>2</v>
      </c>
      <c r="D13" s="34" t="s">
        <v>10</v>
      </c>
      <c r="E13" s="2">
        <v>8.9</v>
      </c>
      <c r="F13" s="3">
        <v>900</v>
      </c>
      <c r="G13" s="3">
        <f t="shared" si="0"/>
        <v>778.7531549320247</v>
      </c>
      <c r="H13" s="1">
        <f t="shared" si="1"/>
        <v>358</v>
      </c>
      <c r="I13">
        <f t="shared" si="2"/>
        <v>3.2</v>
      </c>
      <c r="J13">
        <f t="shared" si="10"/>
        <v>1.8043750000000012</v>
      </c>
      <c r="K13">
        <f t="shared" si="3"/>
        <v>0.63939999999999997</v>
      </c>
      <c r="L13">
        <f t="shared" si="4"/>
        <v>0.35685547992561495</v>
      </c>
      <c r="M13">
        <f t="shared" si="5"/>
        <v>907</v>
      </c>
      <c r="N13">
        <f t="shared" si="6"/>
        <v>88</v>
      </c>
      <c r="O13" s="8">
        <f t="shared" si="7"/>
        <v>690.7531549320247</v>
      </c>
      <c r="P13" s="8">
        <f t="shared" si="8"/>
        <v>216.2468450679753</v>
      </c>
      <c r="Q13">
        <f t="shared" si="9"/>
        <v>1820</v>
      </c>
    </row>
    <row r="14" spans="1:17" x14ac:dyDescent="0.3">
      <c r="A14" s="1" t="s">
        <v>122</v>
      </c>
      <c r="B14" s="1" t="s">
        <v>123</v>
      </c>
      <c r="C14" s="1">
        <v>99</v>
      </c>
      <c r="D14" s="34" t="s">
        <v>10</v>
      </c>
      <c r="E14" s="2">
        <v>13.9</v>
      </c>
      <c r="F14" s="3">
        <v>1000</v>
      </c>
      <c r="G14" s="3">
        <f t="shared" si="0"/>
        <v>865.28128325780517</v>
      </c>
      <c r="H14" s="1">
        <f t="shared" si="1"/>
        <v>398</v>
      </c>
      <c r="I14">
        <f t="shared" si="2"/>
        <v>5.7</v>
      </c>
      <c r="J14">
        <f t="shared" si="10"/>
        <v>1.2731249999999985</v>
      </c>
      <c r="K14">
        <f t="shared" si="3"/>
        <v>0.81740000000000002</v>
      </c>
      <c r="L14">
        <f t="shared" si="4"/>
        <v>0.90550105730477548</v>
      </c>
      <c r="M14">
        <f t="shared" si="5"/>
        <v>1226</v>
      </c>
      <c r="N14">
        <f t="shared" si="6"/>
        <v>40</v>
      </c>
      <c r="O14" s="8">
        <f t="shared" si="7"/>
        <v>825.28128325780517</v>
      </c>
      <c r="P14" s="8">
        <f t="shared" si="8"/>
        <v>400.71871674219483</v>
      </c>
      <c r="Q14">
        <f t="shared" si="9"/>
        <v>4194</v>
      </c>
    </row>
    <row r="15" spans="1:17" x14ac:dyDescent="0.3">
      <c r="A15" s="1" t="s">
        <v>124</v>
      </c>
      <c r="B15" s="1" t="s">
        <v>125</v>
      </c>
      <c r="C15" s="1">
        <v>3</v>
      </c>
      <c r="D15" s="34" t="s">
        <v>10</v>
      </c>
      <c r="E15" s="2">
        <v>5.6</v>
      </c>
      <c r="F15" s="3">
        <v>1200</v>
      </c>
      <c r="G15" s="3">
        <f t="shared" si="0"/>
        <v>1038.3375399093661</v>
      </c>
      <c r="H15" s="1">
        <f t="shared" si="1"/>
        <v>477</v>
      </c>
      <c r="I15">
        <f t="shared" si="2"/>
        <v>1.5499999999999998</v>
      </c>
      <c r="J15">
        <f t="shared" si="10"/>
        <v>2.1550000000000007</v>
      </c>
      <c r="K15">
        <f t="shared" si="3"/>
        <v>0.41839999999999999</v>
      </c>
      <c r="L15">
        <f t="shared" si="4"/>
        <v>-0.20598836474789717</v>
      </c>
      <c r="M15">
        <f t="shared" si="5"/>
        <v>940</v>
      </c>
      <c r="N15">
        <f t="shared" si="6"/>
        <v>243</v>
      </c>
      <c r="O15" s="8">
        <f t="shared" si="7"/>
        <v>795.33753990936611</v>
      </c>
      <c r="P15" s="8">
        <f t="shared" si="8"/>
        <v>144.66246009063389</v>
      </c>
      <c r="Q15">
        <f t="shared" si="9"/>
        <v>921</v>
      </c>
    </row>
    <row r="16" spans="1:17" x14ac:dyDescent="0.3">
      <c r="A16" s="1" t="s">
        <v>126</v>
      </c>
      <c r="B16" s="1" t="s">
        <v>127</v>
      </c>
      <c r="C16" s="1">
        <v>1</v>
      </c>
      <c r="D16" s="34" t="s">
        <v>10</v>
      </c>
      <c r="E16" s="2">
        <v>5.7</v>
      </c>
      <c r="F16" s="3">
        <v>1300</v>
      </c>
      <c r="G16" s="3">
        <f t="shared" si="0"/>
        <v>1124.8656682351468</v>
      </c>
      <c r="H16" s="1">
        <f t="shared" si="1"/>
        <v>517</v>
      </c>
      <c r="I16">
        <f t="shared" si="2"/>
        <v>1.6</v>
      </c>
      <c r="J16">
        <f t="shared" si="10"/>
        <v>2.1443749999999997</v>
      </c>
      <c r="K16">
        <f t="shared" si="3"/>
        <v>0.42730000000000001</v>
      </c>
      <c r="L16">
        <f t="shared" si="4"/>
        <v>-0.18325237599243829</v>
      </c>
      <c r="M16">
        <f t="shared" si="5"/>
        <v>1030</v>
      </c>
      <c r="N16">
        <f t="shared" si="6"/>
        <v>257</v>
      </c>
      <c r="O16" s="8">
        <f t="shared" si="7"/>
        <v>867.86566823514681</v>
      </c>
      <c r="P16" s="8">
        <f t="shared" si="8"/>
        <v>162.13433176485319</v>
      </c>
      <c r="Q16">
        <f t="shared" si="9"/>
        <v>1041</v>
      </c>
    </row>
    <row r="17" spans="1:17" x14ac:dyDescent="0.3">
      <c r="A17" s="1" t="s">
        <v>128</v>
      </c>
      <c r="B17" s="1" t="s">
        <v>129</v>
      </c>
      <c r="C17" s="1">
        <v>3</v>
      </c>
      <c r="D17" s="34" t="s">
        <v>10</v>
      </c>
      <c r="E17" s="2">
        <v>5.8</v>
      </c>
      <c r="F17" s="3">
        <v>2500</v>
      </c>
      <c r="G17" s="3">
        <f t="shared" si="0"/>
        <v>2163.2032081445132</v>
      </c>
      <c r="H17" s="1">
        <f t="shared" si="1"/>
        <v>994</v>
      </c>
      <c r="I17">
        <f t="shared" si="2"/>
        <v>1.65</v>
      </c>
      <c r="J17">
        <f t="shared" si="10"/>
        <v>2.1337500000000009</v>
      </c>
      <c r="K17">
        <f t="shared" si="3"/>
        <v>0.43609999999999999</v>
      </c>
      <c r="L17">
        <f t="shared" si="4"/>
        <v>-0.16086465616580381</v>
      </c>
      <c r="M17">
        <f t="shared" si="5"/>
        <v>2003</v>
      </c>
      <c r="N17">
        <f t="shared" si="6"/>
        <v>482</v>
      </c>
      <c r="O17" s="8">
        <f t="shared" si="7"/>
        <v>1681.2032081445132</v>
      </c>
      <c r="P17" s="8">
        <f t="shared" si="8"/>
        <v>321.79679185548684</v>
      </c>
      <c r="Q17">
        <f t="shared" si="9"/>
        <v>2087</v>
      </c>
    </row>
    <row r="18" spans="1:17" x14ac:dyDescent="0.3">
      <c r="A18" s="1" t="s">
        <v>130</v>
      </c>
      <c r="B18" s="1" t="s">
        <v>131</v>
      </c>
      <c r="C18" s="1">
        <v>0</v>
      </c>
      <c r="D18" s="34" t="s">
        <v>10</v>
      </c>
      <c r="E18" s="2">
        <v>5.21</v>
      </c>
      <c r="F18" s="3">
        <v>4000</v>
      </c>
      <c r="G18" s="3">
        <f t="shared" si="0"/>
        <v>3461.1251330312207</v>
      </c>
      <c r="H18" s="1">
        <f t="shared" si="1"/>
        <v>1591</v>
      </c>
      <c r="I18">
        <f t="shared" si="2"/>
        <v>1.355</v>
      </c>
      <c r="J18">
        <f t="shared" si="10"/>
        <v>2.1964375000000005</v>
      </c>
      <c r="K18">
        <f t="shared" si="3"/>
        <v>0.38150000000000001</v>
      </c>
      <c r="L18">
        <f t="shared" si="4"/>
        <v>-0.30154361075976027</v>
      </c>
      <c r="M18">
        <f t="shared" si="5"/>
        <v>2981</v>
      </c>
      <c r="N18">
        <f t="shared" si="6"/>
        <v>903</v>
      </c>
      <c r="O18" s="8">
        <f t="shared" si="7"/>
        <v>2558.1251330312207</v>
      </c>
      <c r="P18" s="8">
        <f t="shared" si="8"/>
        <v>422.87486696877932</v>
      </c>
      <c r="Q18">
        <f t="shared" si="9"/>
        <v>2537</v>
      </c>
    </row>
    <row r="19" spans="1:17" ht="15" thickBot="1" x14ac:dyDescent="0.35">
      <c r="A19" s="4" t="s">
        <v>132</v>
      </c>
      <c r="B19" s="4" t="s">
        <v>133</v>
      </c>
      <c r="C19" s="4">
        <v>1</v>
      </c>
      <c r="D19" s="36" t="s">
        <v>10</v>
      </c>
      <c r="E19" s="5">
        <v>9</v>
      </c>
      <c r="F19" s="6">
        <v>12000</v>
      </c>
      <c r="G19" s="3">
        <f t="shared" si="0"/>
        <v>10383.375399093662</v>
      </c>
      <c r="H19" s="1">
        <f t="shared" si="1"/>
        <v>4774</v>
      </c>
      <c r="I19">
        <f t="shared" si="2"/>
        <v>3.25</v>
      </c>
      <c r="J19">
        <f t="shared" si="10"/>
        <v>1.7937500000000002</v>
      </c>
      <c r="K19">
        <f t="shared" si="3"/>
        <v>0.64439999999999997</v>
      </c>
      <c r="L19">
        <f t="shared" si="4"/>
        <v>0.37024493288586968</v>
      </c>
      <c r="M19">
        <f t="shared" si="5"/>
        <v>12151</v>
      </c>
      <c r="N19">
        <f t="shared" si="6"/>
        <v>1150</v>
      </c>
      <c r="O19" s="8">
        <f t="shared" si="7"/>
        <v>9233.3753990936621</v>
      </c>
      <c r="P19" s="8">
        <f t="shared" si="8"/>
        <v>2917.6246009063379</v>
      </c>
      <c r="Q19">
        <f t="shared" si="9"/>
        <v>24775</v>
      </c>
    </row>
    <row r="20" spans="1:17" x14ac:dyDescent="0.3">
      <c r="A20" s="1" t="s">
        <v>21</v>
      </c>
      <c r="B20" s="1" t="s">
        <v>94</v>
      </c>
      <c r="C20" s="1">
        <v>2</v>
      </c>
      <c r="D20" s="34" t="s">
        <v>32</v>
      </c>
      <c r="E20" s="2">
        <v>9.9</v>
      </c>
      <c r="F20" s="3">
        <v>750</v>
      </c>
      <c r="G20" s="3">
        <f t="shared" si="0"/>
        <v>648.96096244335388</v>
      </c>
      <c r="H20" s="1">
        <f t="shared" si="1"/>
        <v>298</v>
      </c>
      <c r="I20">
        <f t="shared" si="2"/>
        <v>3.7</v>
      </c>
      <c r="J20">
        <f>(0.5*E20)+$K$36+$K$38+(0.15*0.5*E20*8/12)-(0.6*E20)</f>
        <v>1.5549999999999997</v>
      </c>
      <c r="K20">
        <f t="shared" si="3"/>
        <v>0.70409999999999995</v>
      </c>
      <c r="L20">
        <f t="shared" si="4"/>
        <v>0.53622942442605259</v>
      </c>
      <c r="M20">
        <f t="shared" si="5"/>
        <v>809</v>
      </c>
      <c r="N20">
        <f t="shared" si="6"/>
        <v>56</v>
      </c>
      <c r="O20" s="8">
        <f t="shared" si="7"/>
        <v>592.96096244335388</v>
      </c>
      <c r="P20" s="8">
        <f t="shared" si="8"/>
        <v>216.03903755664612</v>
      </c>
      <c r="Q20">
        <f t="shared" si="9"/>
        <v>1858</v>
      </c>
    </row>
    <row r="21" spans="1:17" x14ac:dyDescent="0.3">
      <c r="A21" s="1" t="s">
        <v>17</v>
      </c>
      <c r="B21" s="1" t="s">
        <v>98</v>
      </c>
      <c r="C21" s="1"/>
      <c r="D21" s="34" t="s">
        <v>154</v>
      </c>
      <c r="E21" s="2">
        <v>12.15</v>
      </c>
      <c r="F21" s="3">
        <v>3200</v>
      </c>
      <c r="G21" s="3">
        <f t="shared" si="0"/>
        <v>2768.9001064249765</v>
      </c>
      <c r="H21" s="1">
        <f t="shared" si="1"/>
        <v>1273</v>
      </c>
      <c r="I21">
        <f t="shared" si="2"/>
        <v>4.8250000000000002</v>
      </c>
      <c r="J21">
        <f t="shared" ref="J21:J30" si="11">(0.5*E21)+$K$36+$K$38+(0.15*0.5*E21*8/12)-(0.6*E21)</f>
        <v>1.4424999999999999</v>
      </c>
      <c r="K21">
        <f t="shared" si="3"/>
        <v>0.76980000000000004</v>
      </c>
      <c r="L21">
        <f t="shared" si="4"/>
        <v>0.73818835214185419</v>
      </c>
      <c r="M21">
        <f t="shared" si="5"/>
        <v>3709</v>
      </c>
      <c r="N21">
        <f t="shared" si="6"/>
        <v>170</v>
      </c>
      <c r="O21" s="8">
        <f t="shared" si="7"/>
        <v>2598.9001064249765</v>
      </c>
      <c r="P21" s="8">
        <f t="shared" si="8"/>
        <v>1110.0998935750235</v>
      </c>
      <c r="Q21">
        <f t="shared" si="9"/>
        <v>10938</v>
      </c>
    </row>
    <row r="22" spans="1:17" x14ac:dyDescent="0.3">
      <c r="A22" s="1" t="s">
        <v>99</v>
      </c>
      <c r="B22" s="1" t="s">
        <v>100</v>
      </c>
      <c r="C22" s="1">
        <v>3</v>
      </c>
      <c r="D22" s="34" t="s">
        <v>37</v>
      </c>
      <c r="E22" s="2">
        <v>5.5</v>
      </c>
      <c r="F22" s="3">
        <v>4000</v>
      </c>
      <c r="G22" s="3">
        <f t="shared" si="0"/>
        <v>3461.1251330312207</v>
      </c>
      <c r="H22" s="1">
        <f t="shared" si="1"/>
        <v>1591</v>
      </c>
      <c r="I22">
        <f t="shared" si="2"/>
        <v>1.5</v>
      </c>
      <c r="J22">
        <f t="shared" si="11"/>
        <v>1.7750000000000004</v>
      </c>
      <c r="K22">
        <f t="shared" si="3"/>
        <v>0.45800000000000002</v>
      </c>
      <c r="L22">
        <f t="shared" si="4"/>
        <v>-0.10547362176886803</v>
      </c>
      <c r="M22">
        <f t="shared" si="5"/>
        <v>3293</v>
      </c>
      <c r="N22">
        <f t="shared" si="6"/>
        <v>722</v>
      </c>
      <c r="O22" s="8">
        <f t="shared" si="7"/>
        <v>2739.1251330312207</v>
      </c>
      <c r="P22" s="8">
        <f t="shared" si="8"/>
        <v>553.87486696877932</v>
      </c>
      <c r="Q22">
        <f t="shared" si="9"/>
        <v>3126</v>
      </c>
    </row>
    <row r="23" spans="1:17" x14ac:dyDescent="0.3">
      <c r="A23" s="1" t="s">
        <v>103</v>
      </c>
      <c r="B23" s="1" t="s">
        <v>104</v>
      </c>
      <c r="C23" s="1">
        <v>3</v>
      </c>
      <c r="D23" s="34" t="s">
        <v>32</v>
      </c>
      <c r="E23" s="2">
        <v>5.15</v>
      </c>
      <c r="F23" s="3">
        <v>1500</v>
      </c>
      <c r="G23" s="3">
        <f t="shared" si="0"/>
        <v>1297.9219248867078</v>
      </c>
      <c r="H23" s="1">
        <f t="shared" si="1"/>
        <v>597</v>
      </c>
      <c r="I23">
        <f t="shared" si="2"/>
        <v>1.3250000000000002</v>
      </c>
      <c r="J23">
        <f t="shared" si="11"/>
        <v>1.7925</v>
      </c>
      <c r="K23">
        <f t="shared" si="3"/>
        <v>0.42499999999999999</v>
      </c>
      <c r="L23">
        <f t="shared" si="4"/>
        <v>-0.18911842627279254</v>
      </c>
      <c r="M23">
        <f t="shared" si="5"/>
        <v>1185</v>
      </c>
      <c r="N23">
        <f t="shared" si="6"/>
        <v>299</v>
      </c>
      <c r="O23" s="8">
        <f t="shared" si="7"/>
        <v>998.92192488670776</v>
      </c>
      <c r="P23" s="8">
        <f t="shared" si="8"/>
        <v>186.07807511329224</v>
      </c>
      <c r="Q23">
        <f t="shared" si="9"/>
        <v>990</v>
      </c>
    </row>
    <row r="24" spans="1:17" x14ac:dyDescent="0.3">
      <c r="A24" s="1" t="s">
        <v>17</v>
      </c>
      <c r="B24" s="1" t="s">
        <v>106</v>
      </c>
      <c r="C24" s="1"/>
      <c r="D24" s="34" t="s">
        <v>154</v>
      </c>
      <c r="E24" s="2">
        <v>5.95</v>
      </c>
      <c r="F24" s="3">
        <v>6000</v>
      </c>
      <c r="G24" s="3">
        <f t="shared" si="0"/>
        <v>5191.687699546831</v>
      </c>
      <c r="H24" s="1">
        <f t="shared" si="1"/>
        <v>2387</v>
      </c>
      <c r="I24">
        <f t="shared" si="2"/>
        <v>1.7250000000000001</v>
      </c>
      <c r="J24">
        <f t="shared" si="11"/>
        <v>1.7524999999999999</v>
      </c>
      <c r="K24">
        <f t="shared" si="3"/>
        <v>0.496</v>
      </c>
      <c r="L24">
        <f t="shared" si="4"/>
        <v>-1.0026681100274763E-2</v>
      </c>
      <c r="M24">
        <f t="shared" si="5"/>
        <v>5168</v>
      </c>
      <c r="N24">
        <f t="shared" si="6"/>
        <v>964</v>
      </c>
      <c r="O24" s="8">
        <f t="shared" si="7"/>
        <v>4227.687699546831</v>
      </c>
      <c r="P24" s="8">
        <f t="shared" si="8"/>
        <v>940.31230045316897</v>
      </c>
      <c r="Q24">
        <f t="shared" si="9"/>
        <v>5645</v>
      </c>
    </row>
    <row r="25" spans="1:17" x14ac:dyDescent="0.3">
      <c r="A25" s="1" t="s">
        <v>35</v>
      </c>
      <c r="B25" s="1" t="s">
        <v>36</v>
      </c>
      <c r="C25" s="1">
        <v>3</v>
      </c>
      <c r="D25" s="34" t="s">
        <v>37</v>
      </c>
      <c r="E25" s="2">
        <v>3.3</v>
      </c>
      <c r="F25" s="3">
        <v>2900</v>
      </c>
      <c r="G25" s="3">
        <f t="shared" si="0"/>
        <v>2509.315721447635</v>
      </c>
      <c r="H25" s="1">
        <f t="shared" si="1"/>
        <v>1154</v>
      </c>
      <c r="I25">
        <f t="shared" si="2"/>
        <v>0.39999999999999991</v>
      </c>
      <c r="J25">
        <f t="shared" si="11"/>
        <v>1.8850000000000005</v>
      </c>
      <c r="K25">
        <f t="shared" si="3"/>
        <v>0.17510000000000001</v>
      </c>
      <c r="L25">
        <f t="shared" si="4"/>
        <v>-0.93420142656903604</v>
      </c>
      <c r="M25">
        <f t="shared" si="5"/>
        <v>1431</v>
      </c>
      <c r="N25">
        <f t="shared" si="6"/>
        <v>1187</v>
      </c>
      <c r="O25" s="8">
        <f t="shared" si="7"/>
        <v>1322.315721447635</v>
      </c>
      <c r="P25" s="8">
        <f t="shared" si="8"/>
        <v>108.68427855236496</v>
      </c>
      <c r="Q25">
        <f t="shared" si="9"/>
        <v>324</v>
      </c>
    </row>
    <row r="26" spans="1:17" x14ac:dyDescent="0.3">
      <c r="A26" s="1" t="s">
        <v>39</v>
      </c>
      <c r="B26" s="1" t="s">
        <v>40</v>
      </c>
      <c r="C26" s="1">
        <v>3</v>
      </c>
      <c r="D26" s="34" t="s">
        <v>32</v>
      </c>
      <c r="E26" s="2">
        <v>3.3</v>
      </c>
      <c r="F26" s="3">
        <v>2300</v>
      </c>
      <c r="G26" s="3">
        <f t="shared" si="0"/>
        <v>1990.146951492952</v>
      </c>
      <c r="H26" s="1">
        <f t="shared" si="1"/>
        <v>915</v>
      </c>
      <c r="I26">
        <f t="shared" si="2"/>
        <v>0.39999999999999991</v>
      </c>
      <c r="J26">
        <f t="shared" si="11"/>
        <v>1.8850000000000005</v>
      </c>
      <c r="K26">
        <f t="shared" si="3"/>
        <v>0.17510000000000001</v>
      </c>
      <c r="L26">
        <f t="shared" si="4"/>
        <v>-0.93420142656903604</v>
      </c>
      <c r="M26">
        <f t="shared" si="5"/>
        <v>1135</v>
      </c>
      <c r="N26">
        <f t="shared" si="6"/>
        <v>941</v>
      </c>
      <c r="O26" s="8">
        <f t="shared" si="7"/>
        <v>1049.146951492952</v>
      </c>
      <c r="P26" s="8">
        <f t="shared" si="8"/>
        <v>85.853048507048015</v>
      </c>
      <c r="Q26">
        <f t="shared" si="9"/>
        <v>258</v>
      </c>
    </row>
    <row r="27" spans="1:17" x14ac:dyDescent="0.3">
      <c r="A27" s="9" t="s">
        <v>43</v>
      </c>
      <c r="B27" s="9" t="s">
        <v>44</v>
      </c>
      <c r="C27" s="9"/>
      <c r="D27" s="35" t="s">
        <v>154</v>
      </c>
      <c r="E27" s="10">
        <v>3.59</v>
      </c>
      <c r="F27" s="11">
        <v>3000</v>
      </c>
      <c r="G27" s="3">
        <f t="shared" si="0"/>
        <v>2595.8438497734155</v>
      </c>
      <c r="H27" s="1">
        <f t="shared" si="1"/>
        <v>1193</v>
      </c>
      <c r="I27">
        <f t="shared" si="2"/>
        <v>0.54499999999999993</v>
      </c>
      <c r="J27">
        <f t="shared" si="11"/>
        <v>1.8704999999999998</v>
      </c>
      <c r="K27">
        <f t="shared" si="3"/>
        <v>0.22559999999999999</v>
      </c>
      <c r="L27">
        <f t="shared" si="4"/>
        <v>-0.75341595181486809</v>
      </c>
      <c r="M27">
        <f t="shared" si="5"/>
        <v>1697</v>
      </c>
      <c r="N27">
        <f t="shared" si="6"/>
        <v>1054</v>
      </c>
      <c r="O27" s="8">
        <f t="shared" si="7"/>
        <v>1541.8438497734155</v>
      </c>
      <c r="P27" s="8">
        <f t="shared" si="8"/>
        <v>155.15615022658449</v>
      </c>
      <c r="Q27">
        <f t="shared" si="9"/>
        <v>550</v>
      </c>
    </row>
    <row r="28" spans="1:17" x14ac:dyDescent="0.3">
      <c r="A28" s="1" t="s">
        <v>107</v>
      </c>
      <c r="B28" s="1" t="s">
        <v>108</v>
      </c>
      <c r="C28" s="1">
        <v>3</v>
      </c>
      <c r="D28" s="34" t="s">
        <v>37</v>
      </c>
      <c r="E28" s="2">
        <v>5.6</v>
      </c>
      <c r="F28" s="3">
        <v>3000</v>
      </c>
      <c r="G28" s="3">
        <f t="shared" si="0"/>
        <v>2595.8438497734155</v>
      </c>
      <c r="H28" s="1">
        <f t="shared" si="1"/>
        <v>1193</v>
      </c>
      <c r="I28">
        <f t="shared" si="2"/>
        <v>1.5499999999999998</v>
      </c>
      <c r="J28">
        <f t="shared" si="11"/>
        <v>1.77</v>
      </c>
      <c r="K28">
        <f t="shared" si="3"/>
        <v>0.46689999999999998</v>
      </c>
      <c r="L28">
        <f t="shared" si="4"/>
        <v>-8.3064818384962505E-2</v>
      </c>
      <c r="M28">
        <f t="shared" si="5"/>
        <v>2497</v>
      </c>
      <c r="N28">
        <f t="shared" si="6"/>
        <v>527</v>
      </c>
      <c r="O28" s="8">
        <f t="shared" si="7"/>
        <v>2068.8438497734155</v>
      </c>
      <c r="P28" s="8">
        <f t="shared" si="8"/>
        <v>428.15615022658449</v>
      </c>
      <c r="Q28">
        <f t="shared" si="9"/>
        <v>2449</v>
      </c>
    </row>
    <row r="29" spans="1:17" x14ac:dyDescent="0.3">
      <c r="A29" s="1" t="s">
        <v>109</v>
      </c>
      <c r="B29" s="1" t="s">
        <v>110</v>
      </c>
      <c r="C29" s="1">
        <v>2</v>
      </c>
      <c r="D29" s="34" t="s">
        <v>32</v>
      </c>
      <c r="E29" s="2">
        <v>12</v>
      </c>
      <c r="F29" s="3">
        <v>1800</v>
      </c>
      <c r="G29" s="3">
        <f t="shared" si="0"/>
        <v>1557.5063098640494</v>
      </c>
      <c r="H29" s="1">
        <f t="shared" si="1"/>
        <v>716</v>
      </c>
      <c r="I29">
        <f t="shared" si="2"/>
        <v>4.75</v>
      </c>
      <c r="J29">
        <f t="shared" si="11"/>
        <v>1.4500000000000011</v>
      </c>
      <c r="K29">
        <f t="shared" si="3"/>
        <v>0.7661</v>
      </c>
      <c r="L29">
        <f t="shared" si="4"/>
        <v>0.7260632448261598</v>
      </c>
      <c r="M29">
        <f t="shared" si="5"/>
        <v>2077</v>
      </c>
      <c r="N29">
        <f t="shared" si="6"/>
        <v>98</v>
      </c>
      <c r="O29" s="8">
        <f t="shared" si="7"/>
        <v>1459.5063098640494</v>
      </c>
      <c r="P29" s="8">
        <f t="shared" si="8"/>
        <v>617.4936901359506</v>
      </c>
      <c r="Q29">
        <f t="shared" si="9"/>
        <v>6037</v>
      </c>
    </row>
    <row r="30" spans="1:17" x14ac:dyDescent="0.3">
      <c r="A30" s="1" t="s">
        <v>114</v>
      </c>
      <c r="B30" s="1" t="s">
        <v>115</v>
      </c>
      <c r="C30" s="1">
        <v>3</v>
      </c>
      <c r="D30" s="34" t="s">
        <v>32</v>
      </c>
      <c r="E30" s="2">
        <v>7.2</v>
      </c>
      <c r="F30" s="3">
        <v>1100</v>
      </c>
      <c r="G30" s="3">
        <f t="shared" si="0"/>
        <v>951.80941158358564</v>
      </c>
      <c r="H30" s="1">
        <f t="shared" si="1"/>
        <v>438</v>
      </c>
      <c r="I30">
        <f t="shared" si="2"/>
        <v>2.35</v>
      </c>
      <c r="J30">
        <f t="shared" si="11"/>
        <v>1.6899999999999995</v>
      </c>
      <c r="K30">
        <f t="shared" si="3"/>
        <v>0.58169999999999999</v>
      </c>
      <c r="L30">
        <f t="shared" si="4"/>
        <v>0.2062444091062508</v>
      </c>
      <c r="M30">
        <f t="shared" si="5"/>
        <v>1042</v>
      </c>
      <c r="N30">
        <f t="shared" si="6"/>
        <v>133</v>
      </c>
      <c r="O30" s="8">
        <f t="shared" si="7"/>
        <v>818.80941158358564</v>
      </c>
      <c r="P30" s="8">
        <f t="shared" si="8"/>
        <v>223.19058841641436</v>
      </c>
      <c r="Q30">
        <f t="shared" si="9"/>
        <v>1547</v>
      </c>
    </row>
    <row r="31" spans="1:17" x14ac:dyDescent="0.3">
      <c r="A31" s="9" t="s">
        <v>17</v>
      </c>
      <c r="B31" s="9"/>
      <c r="C31" s="9"/>
      <c r="D31" s="9" t="s">
        <v>154</v>
      </c>
      <c r="E31" s="10">
        <v>9.4700000000000006</v>
      </c>
      <c r="F31" s="11">
        <v>3000</v>
      </c>
      <c r="G31" s="3">
        <f>F31*$K$34</f>
        <v>2595.8438497734155</v>
      </c>
      <c r="H31" s="1">
        <f t="shared" si="1"/>
        <v>1193</v>
      </c>
      <c r="I31">
        <f t="shared" si="2"/>
        <v>3.4850000000000003</v>
      </c>
      <c r="J31">
        <f>(0.5*E31)+$K$36+$K$38+(0.15*0.5*E31*8/12)-(0.6*E31)</f>
        <v>1.5764999999999993</v>
      </c>
      <c r="K31">
        <f>ROUND(I31/(I31+J31),4)</f>
        <v>0.6885</v>
      </c>
      <c r="L31">
        <f t="shared" si="4"/>
        <v>0.49160303144249357</v>
      </c>
      <c r="M31">
        <f t="shared" si="5"/>
        <v>3182</v>
      </c>
      <c r="N31">
        <f t="shared" si="6"/>
        <v>239</v>
      </c>
      <c r="O31" s="8">
        <f t="shared" si="7"/>
        <v>2356.8438497734155</v>
      </c>
      <c r="P31" s="8">
        <f t="shared" si="8"/>
        <v>825.15615022658449</v>
      </c>
      <c r="Q31">
        <f>ROUND(O31*I31+P31*(-J31),0)</f>
        <v>6913</v>
      </c>
    </row>
    <row r="32" spans="1:17" x14ac:dyDescent="0.3">
      <c r="A32" s="1"/>
      <c r="B32" s="1"/>
      <c r="C32" s="1"/>
      <c r="D32" s="1" t="s">
        <v>91</v>
      </c>
      <c r="E32" s="2"/>
      <c r="F32" s="3"/>
      <c r="G32" s="3"/>
    </row>
    <row r="33" spans="1:11" x14ac:dyDescent="0.3">
      <c r="A33" s="16" t="s">
        <v>134</v>
      </c>
      <c r="B33" s="17" t="s">
        <v>135</v>
      </c>
      <c r="C33" s="17"/>
      <c r="D33" s="17"/>
      <c r="E33" s="18"/>
      <c r="F33" s="3"/>
      <c r="G33" s="3"/>
    </row>
    <row r="34" spans="1:11" x14ac:dyDescent="0.3">
      <c r="A34" s="17"/>
      <c r="B34" s="19" t="s">
        <v>136</v>
      </c>
      <c r="C34" s="17"/>
      <c r="D34" s="17"/>
      <c r="E34" s="18"/>
      <c r="F34" s="3"/>
      <c r="G34" s="3"/>
      <c r="J34" t="s">
        <v>144</v>
      </c>
      <c r="K34" s="1">
        <v>0.86528128325780518</v>
      </c>
    </row>
    <row r="35" spans="1:11" x14ac:dyDescent="0.3">
      <c r="A35" s="17"/>
      <c r="B35" s="17" t="s">
        <v>137</v>
      </c>
      <c r="C35" s="17"/>
      <c r="D35" s="17"/>
      <c r="E35" s="18"/>
      <c r="F35" s="3"/>
      <c r="G35" s="3"/>
      <c r="J35" t="s">
        <v>90</v>
      </c>
      <c r="K35" s="1">
        <v>0.39779298288018144</v>
      </c>
    </row>
    <row r="36" spans="1:11" x14ac:dyDescent="0.3">
      <c r="A36" s="17"/>
      <c r="B36" s="16" t="s">
        <v>138</v>
      </c>
      <c r="C36" s="17"/>
      <c r="D36" s="17"/>
      <c r="E36" s="18"/>
      <c r="F36" s="3"/>
      <c r="G36" s="3"/>
      <c r="J36" t="s">
        <v>141</v>
      </c>
      <c r="K36">
        <v>1.25</v>
      </c>
    </row>
    <row r="37" spans="1:11" x14ac:dyDescent="0.3">
      <c r="J37" t="s">
        <v>142</v>
      </c>
      <c r="K37">
        <f>15*0.1</f>
        <v>1.5</v>
      </c>
    </row>
    <row r="38" spans="1:11" x14ac:dyDescent="0.3">
      <c r="J38" t="s">
        <v>143</v>
      </c>
      <c r="K38">
        <f>8*0.1</f>
        <v>0.8</v>
      </c>
    </row>
  </sheetData>
  <conditionalFormatting sqref="D1:D31">
    <cfRule type="containsText" dxfId="8" priority="5" operator="containsText" text="Rouge">
      <formula>NOT(ISERROR(SEARCH("Rouge",D1)))</formula>
    </cfRule>
  </conditionalFormatting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4" operator="containsText" id="{7F7ED823-ACFE-437A-B72C-F1DAFB49470D}">
            <xm:f>NOT(ISERROR(SEARCH($D$22,D1)))</xm:f>
            <xm:f>$D$22</xm:f>
            <x14:dxf>
              <fill>
                <patternFill>
                  <bgColor rgb="FFFF3737"/>
                </patternFill>
              </fill>
            </x14:dxf>
          </x14:cfRule>
          <x14:cfRule type="containsText" priority="1" operator="containsText" id="{10C4BDF8-C68D-4AA2-BA0A-7E48FD2A303A}">
            <xm:f>NOT(ISERROR(SEARCH($D$23,D1)))</xm:f>
            <xm:f>$D$23</xm:f>
            <x14:dxf>
              <fill>
                <patternFill>
                  <bgColor theme="0" tint="-0.14996795556505021"/>
                </patternFill>
              </fill>
            </x14:dxf>
          </x14:cfRule>
          <xm:sqref>D1:D31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Exhibit1</vt:lpstr>
      <vt:lpstr>Exhibit2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Ravikant Parekh</dc:creator>
  <cp:lastModifiedBy>Ravikant Parekh</cp:lastModifiedBy>
  <dcterms:created xsi:type="dcterms:W3CDTF">2020-02-07T06:48:06Z</dcterms:created>
  <dcterms:modified xsi:type="dcterms:W3CDTF">2020-12-16T19:18:43Z</dcterms:modified>
</cp:coreProperties>
</file>