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smcl-my.sharepoint.com/personal/rodrigo_verav_usm_cl/Documents/Escritorio/"/>
    </mc:Choice>
  </mc:AlternateContent>
  <xr:revisionPtr revIDLastSave="0" documentId="8_{809C2ADE-0C9D-4C2C-A426-E6DA36BAEE0C}" xr6:coauthVersionLast="47" xr6:coauthVersionMax="47" xr10:uidLastSave="{00000000-0000-0000-0000-000000000000}"/>
  <bookViews>
    <workbookView xWindow="-108" yWindow="-108" windowWidth="23256" windowHeight="12456" xr2:uid="{7435C10F-B727-4902-A8D8-A6D25BCF9D7C}"/>
  </bookViews>
  <sheets>
    <sheet name="Series" sheetId="3" r:id="rId1"/>
  </sheets>
  <definedNames>
    <definedName name="_xlnm.Print_Area" localSheetId="0">Series!$A$1:$K$1126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5" i="3" l="1"/>
  <c r="L914" i="3"/>
  <c r="L1010" i="3"/>
  <c r="L1043" i="3"/>
  <c r="L1088" i="3"/>
  <c r="L1108" i="3"/>
  <c r="L715" i="3"/>
  <c r="L696" i="3"/>
  <c r="L684" i="3"/>
  <c r="L670" i="3"/>
  <c r="L666" i="3"/>
  <c r="L616" i="3"/>
  <c r="L415" i="3"/>
  <c r="L411" i="3" s="1"/>
  <c r="L387" i="3"/>
  <c r="L503" i="3"/>
  <c r="L244" i="3"/>
  <c r="L243" i="3" s="1"/>
  <c r="L662" i="3"/>
  <c r="L658" i="3"/>
  <c r="L657" i="3"/>
  <c r="L643" i="3"/>
  <c r="L639" i="3"/>
  <c r="L576" i="3"/>
  <c r="L566" i="3"/>
  <c r="L534" i="3"/>
  <c r="L515" i="3"/>
  <c r="L490" i="3"/>
  <c r="L461" i="3"/>
  <c r="L362" i="3"/>
  <c r="L325" i="3"/>
  <c r="L615" i="3"/>
  <c r="L209" i="3"/>
  <c r="L140" i="3"/>
  <c r="L107" i="3"/>
  <c r="K1108" i="3"/>
  <c r="K1088" i="3"/>
  <c r="K1043" i="3"/>
  <c r="K1010" i="3"/>
  <c r="K914" i="3"/>
  <c r="J1108" i="3"/>
  <c r="I1108" i="3"/>
  <c r="H1108" i="3"/>
  <c r="G1108" i="3"/>
  <c r="F1108" i="3"/>
  <c r="E1108" i="3"/>
  <c r="D1108" i="3"/>
  <c r="C1108" i="3"/>
  <c r="B1108" i="3"/>
  <c r="J1088" i="3"/>
  <c r="I1088" i="3"/>
  <c r="H1088" i="3"/>
  <c r="G1088" i="3"/>
  <c r="F1088" i="3"/>
  <c r="E1088" i="3"/>
  <c r="D1088" i="3"/>
  <c r="C1088" i="3"/>
  <c r="B1088" i="3"/>
  <c r="J1043" i="3"/>
  <c r="I1043" i="3"/>
  <c r="H1043" i="3"/>
  <c r="G1043" i="3"/>
  <c r="F1043" i="3"/>
  <c r="E1043" i="3"/>
  <c r="D1043" i="3"/>
  <c r="C1043" i="3"/>
  <c r="B1043" i="3"/>
  <c r="J1010" i="3"/>
  <c r="I1010" i="3"/>
  <c r="H1010" i="3"/>
  <c r="G1010" i="3"/>
  <c r="F1010" i="3"/>
  <c r="E1010" i="3"/>
  <c r="D1010" i="3"/>
  <c r="C1010" i="3"/>
  <c r="B1010" i="3"/>
  <c r="J914" i="3"/>
  <c r="I914" i="3"/>
  <c r="H914" i="3"/>
  <c r="G914" i="3"/>
  <c r="F914" i="3"/>
  <c r="E914" i="3"/>
  <c r="D914" i="3"/>
  <c r="C914" i="3"/>
  <c r="B914" i="3"/>
  <c r="J235" i="3"/>
  <c r="G226" i="3"/>
  <c r="G212" i="3"/>
  <c r="K209" i="3"/>
  <c r="D209" i="3"/>
  <c r="C209" i="3"/>
  <c r="B209" i="3"/>
  <c r="K185" i="3"/>
  <c r="D185" i="3"/>
  <c r="C185" i="3"/>
  <c r="B185" i="3"/>
  <c r="I177" i="3"/>
  <c r="I174" i="3"/>
  <c r="H174" i="3"/>
  <c r="F174" i="3"/>
  <c r="E174" i="3"/>
  <c r="K140" i="3"/>
  <c r="D140" i="3"/>
  <c r="C140" i="3"/>
  <c r="B140" i="3"/>
  <c r="I130" i="3"/>
  <c r="G130" i="3"/>
  <c r="D130" i="3"/>
  <c r="D107" i="3"/>
  <c r="K107" i="3"/>
  <c r="F107" i="3"/>
  <c r="C107" i="3"/>
  <c r="B107" i="3"/>
  <c r="I87" i="3"/>
  <c r="G87" i="3"/>
  <c r="E87" i="3"/>
  <c r="I64" i="3"/>
  <c r="H64" i="3"/>
  <c r="G64" i="3"/>
  <c r="F64" i="3"/>
  <c r="E64" i="3"/>
  <c r="I56" i="3"/>
  <c r="E49" i="3"/>
  <c r="I48" i="3"/>
  <c r="I45" i="3"/>
  <c r="G45" i="3"/>
  <c r="I44" i="3"/>
  <c r="I35" i="3"/>
  <c r="H35" i="3"/>
  <c r="G35" i="3"/>
  <c r="F35" i="3"/>
  <c r="E35" i="3"/>
  <c r="I30" i="3"/>
  <c r="H30" i="3"/>
  <c r="E30" i="3"/>
  <c r="D30" i="3"/>
  <c r="D6" i="3" s="1"/>
  <c r="I22" i="3"/>
  <c r="I13" i="3"/>
  <c r="K6" i="3"/>
  <c r="C6" i="3"/>
  <c r="B6" i="3"/>
  <c r="I872" i="3"/>
  <c r="E872" i="3"/>
  <c r="D872" i="3"/>
  <c r="C872" i="3"/>
  <c r="B872" i="3"/>
  <c r="D853" i="3"/>
  <c r="C853" i="3"/>
  <c r="B853" i="3"/>
  <c r="I840" i="3"/>
  <c r="C838" i="3"/>
  <c r="K833" i="3"/>
  <c r="I833" i="3"/>
  <c r="D833" i="3"/>
  <c r="B833" i="3"/>
  <c r="K824" i="3"/>
  <c r="K821" i="3"/>
  <c r="I821" i="3"/>
  <c r="H821" i="3"/>
  <c r="G821" i="3"/>
  <c r="F821" i="3"/>
  <c r="E821" i="3"/>
  <c r="D821" i="3"/>
  <c r="C821" i="3"/>
  <c r="C813" i="3"/>
  <c r="K814" i="3"/>
  <c r="H813" i="3"/>
  <c r="B813" i="3"/>
  <c r="B757" i="3"/>
  <c r="B756" i="3"/>
  <c r="C741" i="3"/>
  <c r="B741" i="3"/>
  <c r="K729" i="3"/>
  <c r="H729" i="3"/>
  <c r="G729" i="3"/>
  <c r="F729" i="3"/>
  <c r="E729" i="3"/>
  <c r="C729" i="3"/>
  <c r="C726" i="3" s="1"/>
  <c r="K726" i="3"/>
  <c r="H726" i="3"/>
  <c r="E726" i="3"/>
  <c r="B726" i="3"/>
  <c r="K718" i="3"/>
  <c r="F718" i="3"/>
  <c r="E718" i="3"/>
  <c r="C715" i="3"/>
  <c r="B715" i="3"/>
  <c r="K698" i="3"/>
  <c r="E698" i="3"/>
  <c r="K696" i="3"/>
  <c r="E696" i="3"/>
  <c r="K684" i="3"/>
  <c r="C684" i="3"/>
  <c r="B684" i="3"/>
  <c r="K670" i="3"/>
  <c r="I666" i="3"/>
  <c r="H666" i="3"/>
  <c r="H663" i="3"/>
  <c r="I662" i="3"/>
  <c r="H662" i="3"/>
  <c r="B662" i="3"/>
  <c r="K660" i="3"/>
  <c r="I660" i="3"/>
  <c r="H660" i="3"/>
  <c r="E660" i="3"/>
  <c r="K659" i="3"/>
  <c r="I659" i="3"/>
  <c r="H659" i="3"/>
  <c r="E659" i="3"/>
  <c r="C659" i="3"/>
  <c r="C658" i="3"/>
  <c r="K658" i="3"/>
  <c r="I658" i="3"/>
  <c r="H658" i="3"/>
  <c r="E658" i="3"/>
  <c r="B658" i="3"/>
  <c r="K657" i="3"/>
  <c r="I657" i="3"/>
  <c r="H657" i="3"/>
  <c r="E657" i="3"/>
  <c r="I646" i="3"/>
  <c r="F645" i="3"/>
  <c r="K643" i="3"/>
  <c r="I643" i="3"/>
  <c r="H643" i="3"/>
  <c r="G643" i="3"/>
  <c r="F643" i="3"/>
  <c r="D643" i="3"/>
  <c r="B643" i="3"/>
  <c r="G641" i="3"/>
  <c r="F641" i="3"/>
  <c r="E641" i="3"/>
  <c r="C641" i="3"/>
  <c r="C639" i="3" s="1"/>
  <c r="H639" i="3"/>
  <c r="G639" i="3"/>
  <c r="F639" i="3"/>
  <c r="E639" i="3"/>
  <c r="D639" i="3"/>
  <c r="B639" i="3"/>
  <c r="K638" i="3"/>
  <c r="I638" i="3"/>
  <c r="F638" i="3"/>
  <c r="D638" i="3"/>
  <c r="C638" i="3"/>
  <c r="K637" i="3"/>
  <c r="I637" i="3"/>
  <c r="H637" i="3"/>
  <c r="G637" i="3"/>
  <c r="F637" i="3"/>
  <c r="E637" i="3"/>
  <c r="D637" i="3"/>
  <c r="K629" i="3"/>
  <c r="H629" i="3"/>
  <c r="G629" i="3"/>
  <c r="F629" i="3"/>
  <c r="E629" i="3"/>
  <c r="C629" i="3"/>
  <c r="K616" i="3"/>
  <c r="I616" i="3"/>
  <c r="H616" i="3"/>
  <c r="G616" i="3"/>
  <c r="F616" i="3"/>
  <c r="E616" i="3"/>
  <c r="D616" i="3"/>
  <c r="C616" i="3"/>
  <c r="B616" i="3"/>
  <c r="K615" i="3"/>
  <c r="I615" i="3"/>
  <c r="H615" i="3"/>
  <c r="G615" i="3"/>
  <c r="F615" i="3"/>
  <c r="E615" i="3"/>
  <c r="D615" i="3"/>
  <c r="B576" i="3"/>
  <c r="B566" i="3"/>
  <c r="H564" i="3"/>
  <c r="I561" i="3"/>
  <c r="F555" i="3"/>
  <c r="B534" i="3"/>
  <c r="B515" i="3"/>
  <c r="D514" i="3"/>
  <c r="C514" i="3"/>
  <c r="C503" i="3"/>
  <c r="B503" i="3"/>
  <c r="K502" i="3"/>
  <c r="K489" i="3"/>
  <c r="J489" i="3"/>
  <c r="D489" i="3"/>
  <c r="K487" i="3"/>
  <c r="J487" i="3"/>
  <c r="I487" i="3"/>
  <c r="H487" i="3"/>
  <c r="G487" i="3"/>
  <c r="F487" i="3"/>
  <c r="K478" i="3"/>
  <c r="J478" i="3"/>
  <c r="C461" i="3"/>
  <c r="B461" i="3"/>
  <c r="B411" i="3" s="1"/>
  <c r="K459" i="3"/>
  <c r="I459" i="3"/>
  <c r="G459" i="3"/>
  <c r="F459" i="3"/>
  <c r="K428" i="3"/>
  <c r="J428" i="3"/>
  <c r="I428" i="3"/>
  <c r="D415" i="3"/>
  <c r="C415" i="3"/>
  <c r="B415" i="3"/>
  <c r="G387" i="3"/>
  <c r="D387" i="3"/>
  <c r="C387" i="3"/>
  <c r="K362" i="3"/>
  <c r="G362" i="3"/>
  <c r="F362" i="3"/>
  <c r="C362" i="3"/>
  <c r="K357" i="3"/>
  <c r="J357" i="3"/>
  <c r="I357" i="3"/>
  <c r="H357" i="3"/>
  <c r="G357" i="3"/>
  <c r="F357" i="3"/>
  <c r="E357" i="3"/>
  <c r="K348" i="3"/>
  <c r="J348" i="3"/>
  <c r="F348" i="3"/>
  <c r="E348" i="3"/>
  <c r="G346" i="3"/>
  <c r="F346" i="3"/>
  <c r="E346" i="3"/>
  <c r="D346" i="3"/>
  <c r="D325" i="3"/>
  <c r="B346" i="3"/>
  <c r="K325" i="3"/>
  <c r="J325" i="3"/>
  <c r="I325" i="3"/>
  <c r="G325" i="3"/>
  <c r="F325" i="3"/>
  <c r="C325" i="3"/>
  <c r="K323" i="3"/>
  <c r="J323" i="3"/>
  <c r="I323" i="3"/>
  <c r="H323" i="3"/>
  <c r="G323" i="3"/>
  <c r="F323" i="3"/>
  <c r="E323" i="3"/>
  <c r="D323" i="3"/>
  <c r="G322" i="3"/>
  <c r="F322" i="3"/>
  <c r="B322" i="3"/>
  <c r="I319" i="3"/>
  <c r="B319" i="3"/>
  <c r="K315" i="3"/>
  <c r="K311" i="3"/>
  <c r="K309" i="3"/>
  <c r="K291" i="3"/>
  <c r="I291" i="3"/>
  <c r="H291" i="3"/>
  <c r="G291" i="3"/>
  <c r="F291" i="3"/>
  <c r="E291" i="3"/>
  <c r="D291" i="3"/>
  <c r="K290" i="3"/>
  <c r="I290" i="3"/>
  <c r="H290" i="3"/>
  <c r="G290" i="3"/>
  <c r="F290" i="3"/>
  <c r="E290" i="3"/>
  <c r="D290" i="3"/>
  <c r="K289" i="3"/>
  <c r="K288" i="3"/>
  <c r="I288" i="3"/>
  <c r="H288" i="3"/>
  <c r="G288" i="3"/>
  <c r="F288" i="3"/>
  <c r="E288" i="3"/>
  <c r="K285" i="3"/>
  <c r="I285" i="3"/>
  <c r="H285" i="3"/>
  <c r="G285" i="3"/>
  <c r="F285" i="3"/>
  <c r="E285" i="3"/>
  <c r="D285" i="3"/>
  <c r="K284" i="3"/>
  <c r="I284" i="3"/>
  <c r="H284" i="3"/>
  <c r="G284" i="3"/>
  <c r="F284" i="3"/>
  <c r="E284" i="3"/>
  <c r="D284" i="3"/>
  <c r="K283" i="3"/>
  <c r="I283" i="3"/>
  <c r="H283" i="3"/>
  <c r="G283" i="3"/>
  <c r="F283" i="3"/>
  <c r="E283" i="3"/>
  <c r="K281" i="3"/>
  <c r="K280" i="3"/>
  <c r="G280" i="3"/>
  <c r="E280" i="3"/>
  <c r="K275" i="3"/>
  <c r="K272" i="3"/>
  <c r="E272" i="3"/>
  <c r="F271" i="3"/>
  <c r="K270" i="3"/>
  <c r="I270" i="3"/>
  <c r="H270" i="3"/>
  <c r="G270" i="3"/>
  <c r="F270" i="3"/>
  <c r="E270" i="3"/>
  <c r="D270" i="3"/>
  <c r="K269" i="3"/>
  <c r="I269" i="3"/>
  <c r="D269" i="3"/>
  <c r="K268" i="3"/>
  <c r="I268" i="3"/>
  <c r="H268" i="3"/>
  <c r="G268" i="3"/>
  <c r="F268" i="3"/>
  <c r="E268" i="3"/>
  <c r="D268" i="3"/>
  <c r="K267" i="3"/>
  <c r="I267" i="3"/>
  <c r="H267" i="3"/>
  <c r="G267" i="3"/>
  <c r="F267" i="3"/>
  <c r="E267" i="3"/>
  <c r="K266" i="3"/>
  <c r="I266" i="3"/>
  <c r="H266" i="3"/>
  <c r="G266" i="3"/>
  <c r="F266" i="3"/>
  <c r="E266" i="3"/>
  <c r="K264" i="3"/>
  <c r="K263" i="3"/>
  <c r="I263" i="3"/>
  <c r="H263" i="3"/>
  <c r="G263" i="3"/>
  <c r="F263" i="3"/>
  <c r="E263" i="3"/>
  <c r="D263" i="3"/>
  <c r="K258" i="3"/>
  <c r="I258" i="3"/>
  <c r="H258" i="3"/>
  <c r="G258" i="3"/>
  <c r="F258" i="3"/>
  <c r="E258" i="3"/>
  <c r="D258" i="3"/>
  <c r="K248" i="3"/>
  <c r="F248" i="3"/>
  <c r="E248" i="3"/>
  <c r="K247" i="3"/>
  <c r="I247" i="3"/>
  <c r="H247" i="3"/>
  <c r="G247" i="3"/>
  <c r="F247" i="3"/>
  <c r="E247" i="3"/>
  <c r="K243" i="3"/>
  <c r="I243" i="3"/>
  <c r="H243" i="3"/>
  <c r="G243" i="3"/>
  <c r="F243" i="3"/>
  <c r="E243" i="3"/>
  <c r="D243" i="3"/>
  <c r="L6" i="3"/>
  <c r="B615" i="3"/>
  <c r="B514" i="3"/>
  <c r="C615" i="3" l="1"/>
</calcChain>
</file>

<file path=xl/sharedStrings.xml><?xml version="1.0" encoding="utf-8"?>
<sst xmlns="http://schemas.openxmlformats.org/spreadsheetml/2006/main" count="3886" uniqueCount="245">
  <si>
    <t>(en toneladas)</t>
  </si>
  <si>
    <t>ESPECIE</t>
  </si>
  <si>
    <t>TOTAL PECES</t>
  </si>
  <si>
    <t>ACHA</t>
  </si>
  <si>
    <t>AGUJILLA</t>
  </si>
  <si>
    <t>ALBACORA</t>
  </si>
  <si>
    <t>ALFONSINO</t>
  </si>
  <si>
    <t>ANCHOVETA</t>
  </si>
  <si>
    <t>ANCHOVETA BLANCA</t>
  </si>
  <si>
    <t>ANGUILA</t>
  </si>
  <si>
    <t>APAÑADO</t>
  </si>
  <si>
    <t>ATUN ALETA AMARILLA</t>
  </si>
  <si>
    <t>ATUN ALETA LARGA</t>
  </si>
  <si>
    <t>ATUN OJOS GRANDES</t>
  </si>
  <si>
    <t>AYANQUE</t>
  </si>
  <si>
    <t>AZULEJO</t>
  </si>
  <si>
    <t>BACALADILLO O MOTE</t>
  </si>
  <si>
    <t>BACALAO DE J. FERNANDEZ</t>
  </si>
  <si>
    <t>BACALAO DE PROFUNDIDAD</t>
  </si>
  <si>
    <t>BESUGO</t>
  </si>
  <si>
    <t>BLANQUILLO</t>
  </si>
  <si>
    <t>BONITO</t>
  </si>
  <si>
    <t>BRECA O BILAGAY</t>
  </si>
  <si>
    <t>BROTULA</t>
  </si>
  <si>
    <t>CABALLA</t>
  </si>
  <si>
    <t>CABINZA</t>
  </si>
  <si>
    <t>CABRILLA</t>
  </si>
  <si>
    <t>CACHURRETA</t>
  </si>
  <si>
    <t>CAZON</t>
  </si>
  <si>
    <t>CHANCHARRO</t>
  </si>
  <si>
    <t>COCHINILLA</t>
  </si>
  <si>
    <t>COJINOBA</t>
  </si>
  <si>
    <t>CONGRIO COLORADO</t>
  </si>
  <si>
    <t>CONGRIO DORADO</t>
  </si>
  <si>
    <t>CONGRIO NEGRO</t>
  </si>
  <si>
    <t>CORVINA</t>
  </si>
  <si>
    <t>DORADO DE ALTURA</t>
  </si>
  <si>
    <t>DRACO RAYADO</t>
  </si>
  <si>
    <t>HUAIQUIL O CORVINILLA</t>
  </si>
  <si>
    <t>JERGUILLA</t>
  </si>
  <si>
    <t>JUREL</t>
  </si>
  <si>
    <t>LENGUADO</t>
  </si>
  <si>
    <t>LISA</t>
  </si>
  <si>
    <t>MACHUELO TRITRE</t>
  </si>
  <si>
    <t>MARLIN</t>
  </si>
  <si>
    <t>MARRAJO O TIBURON</t>
  </si>
  <si>
    <t>MERLUZA COMUN</t>
  </si>
  <si>
    <t>MERLUZA DE COLA</t>
  </si>
  <si>
    <t>MERLUZA DE TRES ALETAS</t>
  </si>
  <si>
    <t>MERLUZA DEL SUR</t>
  </si>
  <si>
    <t>NANUE</t>
  </si>
  <si>
    <t>ORANGE ROUGHY</t>
  </si>
  <si>
    <t>PAMPANITO</t>
  </si>
  <si>
    <t>PEJEGALLO</t>
  </si>
  <si>
    <t>PEJEPERRO</t>
  </si>
  <si>
    <t>PEJERRATA</t>
  </si>
  <si>
    <t>PEJERREY DE MAR</t>
  </si>
  <si>
    <t>PEJESAPO</t>
  </si>
  <si>
    <t>PUYE</t>
  </si>
  <si>
    <t>RAYA</t>
  </si>
  <si>
    <t>REINETA</t>
  </si>
  <si>
    <t>REMOREMO</t>
  </si>
  <si>
    <t>ROBALO</t>
  </si>
  <si>
    <t>ROCOCO</t>
  </si>
  <si>
    <t>ROLLIZO</t>
  </si>
  <si>
    <t>RONCACHO</t>
  </si>
  <si>
    <t>SALMON ARTICO</t>
  </si>
  <si>
    <t>SALMON DEL ATLANTICO</t>
  </si>
  <si>
    <t>SALMON PLATEADO</t>
  </si>
  <si>
    <t>SALMON REY</t>
  </si>
  <si>
    <t>SARDINA</t>
  </si>
  <si>
    <t>SARDINA AUSTRAL</t>
  </si>
  <si>
    <t>SARDINA COMUN</t>
  </si>
  <si>
    <t>SARGO</t>
  </si>
  <si>
    <t>SIERRA</t>
  </si>
  <si>
    <t>TOLLO</t>
  </si>
  <si>
    <t>TOMOYO</t>
  </si>
  <si>
    <t>TRUCHA ARCOIRIS</t>
  </si>
  <si>
    <t>TURBOT</t>
  </si>
  <si>
    <t>VIDRIOLA, PALOMETA, DORADO O TOREMO</t>
  </si>
  <si>
    <t>VIEJA O MULATA</t>
  </si>
  <si>
    <t>OTROS PESCADOS</t>
  </si>
  <si>
    <t>TOTAL CRUSTACEOS</t>
  </si>
  <si>
    <t>CAMARON DE TALUD</t>
  </si>
  <si>
    <t>CAMARON NAILON</t>
  </si>
  <si>
    <t>CANGREJO DORADO DE JF</t>
  </si>
  <si>
    <t>CENTOLLA</t>
  </si>
  <si>
    <t>CENTOLLA DEL NORTE</t>
  </si>
  <si>
    <t>CENTOLLON</t>
  </si>
  <si>
    <t>GAMBA</t>
  </si>
  <si>
    <t>JAIBA</t>
  </si>
  <si>
    <t>JAIBA LIMON</t>
  </si>
  <si>
    <t>JAIBA MARMOLA</t>
  </si>
  <si>
    <t>JAIBA MORA</t>
  </si>
  <si>
    <t>JAIBA PANCHOTE O CANGREJO</t>
  </si>
  <si>
    <t>JAIBA PATUDA</t>
  </si>
  <si>
    <t>JAIBA PELUDA O PACHONA</t>
  </si>
  <si>
    <t>JAIBA REINA</t>
  </si>
  <si>
    <t>JAIBA REMADORA</t>
  </si>
  <si>
    <t>KRILL</t>
  </si>
  <si>
    <t>LANGOSTA DE J. FERNANDEZ</t>
  </si>
  <si>
    <t>LANGOSTA ENANA</t>
  </si>
  <si>
    <t>LANGOSTINO AMARILLO</t>
  </si>
  <si>
    <t>LANGOSTINO COLORADO</t>
  </si>
  <si>
    <t>LANGOSTINO ENANO</t>
  </si>
  <si>
    <t>PICOROCO</t>
  </si>
  <si>
    <t>OTROS CRUSTACEOS</t>
  </si>
  <si>
    <t>TOTAL MOLUSCOS</t>
  </si>
  <si>
    <t>ABALON JAPONES</t>
  </si>
  <si>
    <t>ABALON ROJO</t>
  </si>
  <si>
    <t>ALMEJA</t>
  </si>
  <si>
    <t>CALAMAR</t>
  </si>
  <si>
    <t>CALAMAR POTA</t>
  </si>
  <si>
    <t>CARACOL LOCATE</t>
  </si>
  <si>
    <t>CARACOL PALO PALO</t>
  </si>
  <si>
    <t>CARACOL PICUYO</t>
  </si>
  <si>
    <t>CARACOL PIQUILHUE</t>
  </si>
  <si>
    <t>CARACOL RUBIO</t>
  </si>
  <si>
    <t>CARACOL TEGULA</t>
  </si>
  <si>
    <t>CARACOL TROPHON</t>
  </si>
  <si>
    <t>CARACOL TRUMULCO</t>
  </si>
  <si>
    <t>CHITON O APRETADOR</t>
  </si>
  <si>
    <t>CHOCHA</t>
  </si>
  <si>
    <t>CHOLGA</t>
  </si>
  <si>
    <t>CHORITO</t>
  </si>
  <si>
    <t>CHORO</t>
  </si>
  <si>
    <t>CULENGUE</t>
  </si>
  <si>
    <t>HUEPO O NAVAJA DE MAR</t>
  </si>
  <si>
    <t>JIBIA</t>
  </si>
  <si>
    <t>JULIANA O TAWERA</t>
  </si>
  <si>
    <t>LAPA</t>
  </si>
  <si>
    <t>LAPA NEGRA</t>
  </si>
  <si>
    <t>LAPA REINA</t>
  </si>
  <si>
    <t>LAPA ROSADA</t>
  </si>
  <si>
    <t>LOCO</t>
  </si>
  <si>
    <t>MACHA</t>
  </si>
  <si>
    <t>NAVAJUELA</t>
  </si>
  <si>
    <t>OSTION DEL NORTE</t>
  </si>
  <si>
    <t>OSTION DEL SUR</t>
  </si>
  <si>
    <t>OSTION PATAGONICO</t>
  </si>
  <si>
    <t>OSTRA CHILENA</t>
  </si>
  <si>
    <t>OSTRA DEL PACIFICO</t>
  </si>
  <si>
    <t>PULPO</t>
  </si>
  <si>
    <t>TAQUILLA</t>
  </si>
  <si>
    <t>TUMBAO</t>
  </si>
  <si>
    <t>OTROS MOLUSCOS</t>
  </si>
  <si>
    <t>TOTAL OTRAS ESPECIES</t>
  </si>
  <si>
    <t>ERIZO</t>
  </si>
  <si>
    <t>PEPINO DE MAR</t>
  </si>
  <si>
    <t>PIURE</t>
  </si>
  <si>
    <t>TOTAL ALGAS</t>
  </si>
  <si>
    <t>CAROLA</t>
  </si>
  <si>
    <t>CHASCA</t>
  </si>
  <si>
    <t>CHASCON</t>
  </si>
  <si>
    <t>CHICOREA DE MAR</t>
  </si>
  <si>
    <t>COCHAYUYO</t>
  </si>
  <si>
    <t>HAEMATOCOCCUS</t>
  </si>
  <si>
    <t>HUIRO</t>
  </si>
  <si>
    <t>HUIRO PALO</t>
  </si>
  <si>
    <t>LIQUEN GOMOSO</t>
  </si>
  <si>
    <t>LUCHE</t>
  </si>
  <si>
    <t>LUGA CUCHARA O CORTA</t>
  </si>
  <si>
    <t>LUGA NEGRA O CRESPA</t>
  </si>
  <si>
    <t>LUGA-LUGA</t>
  </si>
  <si>
    <t>LUGA-ROJA</t>
  </si>
  <si>
    <t>PELILLO</t>
  </si>
  <si>
    <t>SPIRULINA</t>
  </si>
  <si>
    <t>OTRAS ALGAS</t>
  </si>
  <si>
    <t>TOTAL PAIS</t>
  </si>
  <si>
    <t>TOTAL GENERAL</t>
  </si>
  <si>
    <t>MERLUZA DEL ATLANTICO</t>
  </si>
  <si>
    <t>SALMON ROSADO</t>
  </si>
  <si>
    <t>DESECHO DE PESCADO</t>
  </si>
  <si>
    <t>CALAMAR PATAGONICO</t>
  </si>
  <si>
    <t>CARACOL REAL</t>
  </si>
  <si>
    <t>DESECHO DE MOLUSCO</t>
  </si>
  <si>
    <t>CAMARON ECUATORIANO</t>
  </si>
  <si>
    <t>DESECHO DE CRUSTACEO</t>
  </si>
  <si>
    <t xml:space="preserve">COJINOBA </t>
  </si>
  <si>
    <t xml:space="preserve">JUREL </t>
  </si>
  <si>
    <t>MACHUELO O TRITRE</t>
  </si>
  <si>
    <t>DESECHOS DE PESCADOS</t>
  </si>
  <si>
    <t>JIBIA O CALAMAR ROJO</t>
  </si>
  <si>
    <t>DESECHOS DE CRUSTACEOS</t>
  </si>
  <si>
    <t>DESECHOS DE PESCADO</t>
  </si>
  <si>
    <t>ESPECIES MIXTAS</t>
  </si>
  <si>
    <t>OTRAS ESPECIES</t>
  </si>
  <si>
    <t>CHASCON O HUIRO NEGRO</t>
  </si>
  <si>
    <t>HUIRO Y/O HUIRO PALO</t>
  </si>
  <si>
    <t>COTTONI</t>
  </si>
  <si>
    <t>LUGA LUGA</t>
  </si>
  <si>
    <t>DESECHO DE CRUSTACEOS</t>
  </si>
  <si>
    <t>TOTAL  GENERAL</t>
  </si>
  <si>
    <t>TOTAL</t>
  </si>
  <si>
    <t>ALGAS</t>
  </si>
  <si>
    <t>PECES</t>
  </si>
  <si>
    <t>MOLUSCOS</t>
  </si>
  <si>
    <t xml:space="preserve">OTROS PECES </t>
  </si>
  <si>
    <t>DESECHO DE MOLUSCOS</t>
  </si>
  <si>
    <t>CANGREJO DORADO DE J. F.</t>
  </si>
  <si>
    <t>LANGOSTA DE J. F.</t>
  </si>
  <si>
    <t>LANGOSTINO C.Y/O ENANO</t>
  </si>
  <si>
    <t>CANGREJO O PANCHOTE</t>
  </si>
  <si>
    <t>TOLL0 DE CACHOS</t>
  </si>
  <si>
    <t>PESCADO NO CLASIFICADO</t>
  </si>
  <si>
    <t>TIBURÓN O MARRAJO</t>
  </si>
  <si>
    <t>OTROS CRUSTÁCEOS</t>
  </si>
  <si>
    <t>TOTAL CRUSTÁCEOS</t>
  </si>
  <si>
    <t>CRUSTÁCEO NO CLASIFICADO</t>
  </si>
  <si>
    <t>DESECHO DE CRUSTÁCEOS</t>
  </si>
  <si>
    <t>($/ toneladas)</t>
  </si>
  <si>
    <t>MERLUZA COMÚN</t>
  </si>
  <si>
    <t>MEDUSA</t>
  </si>
  <si>
    <t>-</t>
  </si>
  <si>
    <t xml:space="preserve">PEPINO DE MAR </t>
  </si>
  <si>
    <t xml:space="preserve">HUIRO </t>
  </si>
  <si>
    <t>CHILE, DESEMBARQUE DE PECES POR ESPECIE ENTRE 2007 - 2017</t>
  </si>
  <si>
    <t>.</t>
  </si>
  <si>
    <t>CHILE, PRODUCCIÓN DE CONGELADO POR ESPECIE ENTRE 2007- 2017</t>
  </si>
  <si>
    <t>CHILE, PRODUCCIÓN DE CONGELADO POR ESPECIE ENTRE 2007 - 2017</t>
  </si>
  <si>
    <t>CHILE, PRODUCCIÓN DE FRESCO ENFRIADO POR ESPECIE ENTRE 2007 - 2017</t>
  </si>
  <si>
    <t>CHILE, PRODUCCIÓN DE CONSERVAS POR ESPECIE ENTRE 2007 - 2017</t>
  </si>
  <si>
    <t>CHILE, DESEMBARQUE DE CRUSTÁCEOS POR ESPECIE ENTRE 2007 - 2017</t>
  </si>
  <si>
    <t>CHILE, DESEMBARQUE DE MOLUSCOS POR ESPECIE ENTRE 2007 - 2017</t>
  </si>
  <si>
    <t>CHILE, DESEMBARQUE DE OTRAS ESPECIES POR ESPECIE ENTRE 2007 - 2017</t>
  </si>
  <si>
    <t>CHILE, DESEMBARQUE DE ALGAS POR ESPECIE ENTRE 2007 - 2017</t>
  </si>
  <si>
    <t>CHILE, DESEMBARQUE TOTAL PAIS POR AÑO ENTRE 2007 - 2017</t>
  </si>
  <si>
    <t>CHILE, PRODUCCIÓN DE HARINA POR ESPECIE ENTRE 2007 - 2017</t>
  </si>
  <si>
    <t>CHILE, PRODUCCIÓN DE ACEITE ENTRE 2007 - 2017</t>
  </si>
  <si>
    <t>CHILE, PRODUCCIÓN DE AGAR-AGAR POR ESPECIE ENTRE 2007 - 2017</t>
  </si>
  <si>
    <t>CHILE, PRODUCCIÓN DE COLAGAR POR ESPECIE ENTRE 2007 - 2017</t>
  </si>
  <si>
    <t>CHILE, PRODUCCIÓN DE ALGINATO POR ESPECIE ENTRE 2007 - 2017</t>
  </si>
  <si>
    <t>CHILE, PRODUCCIÓN DE CARRAGENINA POR ESPECIE ENTRE 2007 - 2017</t>
  </si>
  <si>
    <t>CHILE, PRODUCCIÓN DE SALADO-SECO POR ESPECIE ENTRE 2007 - 2017</t>
  </si>
  <si>
    <t>CHILE, PRODUCCIÓN DE AHUMADO POR ESPECIE ENTRE 2007 - 2017</t>
  </si>
  <si>
    <t>CHILE, PRODUCCIÓN DE DESHIDRATADO POR ESPECIE ENTRE 2007 - 2017</t>
  </si>
  <si>
    <t>CHILE, PRODUCCIÓN DE ALGAS SECAS POR ESPECIE ENTRE 2007 - 2017</t>
  </si>
  <si>
    <t>CHILE, PRODUCCIÓN DE SURIMI POR ESPECIE ENTRE 2007 - 2017</t>
  </si>
  <si>
    <t>CHILE, PRODUCCIÓN DE SALADO-HÚMEDO POR ESPECIE ENTRE 2007- 2017</t>
  </si>
  <si>
    <t>CHILE, COSECHA CENTROS DE ACUICULTURA POR ESPECIE ENTRE 2007 - 2017</t>
  </si>
  <si>
    <t>CHILE, PRECIOS PLAYA  PROMEDIO TRANSADOS DE PECES  POR ESPECIE ENTRE 2007 - 2017</t>
  </si>
  <si>
    <t>CHILE, PRECIOS PLAYA PROMEDIO TRANSADOS DE CRUSTACEOS POR ESPECIE ENTRE 2007 - 2017</t>
  </si>
  <si>
    <t>CHILE, PRECIOS PLAYA ARTESANALES PROMEDIO DE MOLUSCOS POR ESPECIE ENTRE 2007 - 2017</t>
  </si>
  <si>
    <t>CHILE, PRECIOS PLAYA ARTESANALES PROMEDIO DE OTRAS ESPECIES POR ESPECIE ENTRE 2007 - 2017</t>
  </si>
  <si>
    <t>CHILE, PRECIOS PLAYA ARTESANALES PROMEDIO DE ALGAS POR ESPECIE ENTRE 2007 - 2017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</si>
</sst>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1" formatCode="_-* #,##0.00_-;\-* #,##0.00_-;_-* &quot;-&quot;??_-;_-@_-"/>
    <numFmt numFmtId="186" formatCode="\-"/>
    <numFmt numFmtId="188" formatCode="_-* #,##0_-;\-* #,##0_-;_-* &quot;-&quot;??_-;_-@_-"/>
  </numFmts>
  <fonts count="17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6"/>
      <name val="Arial"/>
      <family val="2"/>
    </font>
    <font>
      <sz val="9"/>
      <name val="Arial"/>
      <family val="2"/>
    </font>
    <font>
      <sz val="7"/>
      <color indexed="8"/>
      <name val="Arial"/>
      <family val="2"/>
    </font>
    <font>
      <sz val="10"/>
      <color indexed="8"/>
      <name val="Arial"/>
      <family val="2"/>
    </font>
    <font>
      <sz val="5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7"/>
      <color indexed="10"/>
      <name val="Arial"/>
      <family val="2"/>
    </font>
    <font>
      <b/>
      <sz val="6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171" fontId="1" fillId="0" borderId="0" applyFont="0" applyFill="0" applyBorder="0" applyAlignment="0" applyProtection="0"/>
    <xf numFmtId="0" fontId="12" fillId="0" borderId="0"/>
    <xf numFmtId="0" fontId="10" fillId="0" borderId="0"/>
    <xf numFmtId="0" fontId="13" fillId="0" borderId="0"/>
    <xf numFmtId="0" fontId="10" fillId="0" borderId="0"/>
  </cellStyleXfs>
  <cellXfs count="119">
    <xf numFmtId="0" fontId="0" fillId="0" borderId="0" xfId="0"/>
    <xf numFmtId="0" fontId="3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5" fillId="0" borderId="0" xfId="0" applyFont="1"/>
    <xf numFmtId="1" fontId="5" fillId="0" borderId="0" xfId="0" applyNumberFormat="1" applyFont="1"/>
    <xf numFmtId="0" fontId="6" fillId="0" borderId="1" xfId="0" applyFont="1" applyBorder="1"/>
    <xf numFmtId="1" fontId="6" fillId="0" borderId="1" xfId="0" applyNumberFormat="1" applyFont="1" applyBorder="1"/>
    <xf numFmtId="0" fontId="6" fillId="0" borderId="0" xfId="0" applyFont="1"/>
    <xf numFmtId="0" fontId="6" fillId="0" borderId="2" xfId="0" applyFont="1" applyBorder="1"/>
    <xf numFmtId="3" fontId="6" fillId="0" borderId="2" xfId="0" applyNumberFormat="1" applyFont="1" applyBorder="1"/>
    <xf numFmtId="3" fontId="6" fillId="0" borderId="1" xfId="0" applyNumberFormat="1" applyFont="1" applyBorder="1"/>
    <xf numFmtId="3" fontId="5" fillId="0" borderId="0" xfId="0" applyNumberFormat="1" applyFont="1"/>
    <xf numFmtId="0" fontId="5" fillId="0" borderId="0" xfId="0" applyFont="1" applyBorder="1"/>
    <xf numFmtId="0" fontId="2" fillId="0" borderId="0" xfId="0" applyFont="1"/>
    <xf numFmtId="0" fontId="8" fillId="0" borderId="0" xfId="0" applyFont="1"/>
    <xf numFmtId="0" fontId="6" fillId="0" borderId="0" xfId="0" applyFont="1" applyBorder="1"/>
    <xf numFmtId="3" fontId="6" fillId="0" borderId="0" xfId="0" applyNumberFormat="1" applyFont="1"/>
    <xf numFmtId="3" fontId="6" fillId="0" borderId="0" xfId="0" applyNumberFormat="1" applyFont="1" applyBorder="1"/>
    <xf numFmtId="3" fontId="5" fillId="0" borderId="0" xfId="0" applyNumberFormat="1" applyFont="1" applyAlignment="1">
      <alignment horizontal="right"/>
    </xf>
    <xf numFmtId="1" fontId="6" fillId="0" borderId="0" xfId="0" applyNumberFormat="1" applyFont="1"/>
    <xf numFmtId="3" fontId="5" fillId="0" borderId="0" xfId="0" applyNumberFormat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3" fontId="6" fillId="0" borderId="2" xfId="0" applyNumberFormat="1" applyFont="1" applyBorder="1" applyAlignment="1">
      <alignment horizontal="right"/>
    </xf>
    <xf numFmtId="0" fontId="11" fillId="0" borderId="0" xfId="0" applyFont="1"/>
    <xf numFmtId="3" fontId="3" fillId="0" borderId="0" xfId="0" applyNumberFormat="1" applyFont="1" applyAlignment="1">
      <alignment wrapText="1"/>
    </xf>
    <xf numFmtId="3" fontId="2" fillId="0" borderId="0" xfId="0" applyNumberFormat="1" applyFont="1"/>
    <xf numFmtId="3" fontId="8" fillId="0" borderId="0" xfId="0" applyNumberFormat="1" applyFont="1"/>
    <xf numFmtId="3" fontId="6" fillId="0" borderId="1" xfId="0" applyNumberFormat="1" applyFont="1" applyBorder="1" applyAlignment="1">
      <alignment horizontal="right"/>
    </xf>
    <xf numFmtId="1" fontId="6" fillId="0" borderId="1" xfId="0" applyNumberFormat="1" applyFont="1" applyBorder="1" applyAlignment="1">
      <alignment horizontal="right"/>
    </xf>
    <xf numFmtId="3" fontId="5" fillId="0" borderId="0" xfId="0" applyNumberFormat="1" applyFont="1" applyAlignment="1">
      <alignment horizontal="right" vertical="center"/>
    </xf>
    <xf numFmtId="3" fontId="5" fillId="0" borderId="0" xfId="0" applyNumberFormat="1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3" fontId="9" fillId="0" borderId="0" xfId="3" applyNumberFormat="1" applyFont="1" applyFill="1" applyBorder="1" applyAlignment="1">
      <alignment horizontal="right" vertical="center"/>
    </xf>
    <xf numFmtId="0" fontId="14" fillId="0" borderId="0" xfId="0" applyFont="1"/>
    <xf numFmtId="3" fontId="9" fillId="0" borderId="0" xfId="4" applyNumberFormat="1" applyFont="1" applyFill="1" applyBorder="1" applyAlignment="1">
      <alignment horizontal="right"/>
    </xf>
    <xf numFmtId="3" fontId="5" fillId="0" borderId="0" xfId="0" applyNumberFormat="1" applyFont="1" applyFill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5" fillId="0" borderId="0" xfId="2" applyNumberFormat="1" applyFont="1" applyBorder="1"/>
    <xf numFmtId="0" fontId="5" fillId="0" borderId="0" xfId="2" applyFont="1"/>
    <xf numFmtId="3" fontId="8" fillId="0" borderId="0" xfId="2" applyNumberFormat="1" applyFont="1"/>
    <xf numFmtId="0" fontId="8" fillId="0" borderId="0" xfId="2" applyFont="1"/>
    <xf numFmtId="1" fontId="5" fillId="0" borderId="0" xfId="2" applyNumberFormat="1" applyFont="1"/>
    <xf numFmtId="3" fontId="5" fillId="0" borderId="0" xfId="2" applyNumberFormat="1" applyFont="1" applyAlignment="1">
      <alignment horizontal="right"/>
    </xf>
    <xf numFmtId="3" fontId="5" fillId="0" borderId="0" xfId="2" applyNumberFormat="1" applyFont="1"/>
    <xf numFmtId="3" fontId="6" fillId="0" borderId="0" xfId="2" applyNumberFormat="1" applyFont="1"/>
    <xf numFmtId="0" fontId="6" fillId="0" borderId="0" xfId="2" applyFont="1"/>
    <xf numFmtId="0" fontId="6" fillId="0" borderId="1" xfId="2" applyFont="1" applyBorder="1"/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3" fontId="6" fillId="0" borderId="0" xfId="2" applyNumberFormat="1" applyFont="1" applyBorder="1"/>
    <xf numFmtId="3" fontId="6" fillId="0" borderId="0" xfId="2" applyNumberFormat="1" applyFont="1" applyBorder="1" applyAlignment="1">
      <alignment horizontal="right"/>
    </xf>
    <xf numFmtId="3" fontId="6" fillId="0" borderId="0" xfId="2" applyNumberFormat="1" applyFont="1" applyFill="1" applyBorder="1"/>
    <xf numFmtId="3" fontId="6" fillId="0" borderId="1" xfId="2" applyNumberFormat="1" applyFont="1" applyBorder="1" applyAlignment="1">
      <alignment horizontal="right"/>
    </xf>
    <xf numFmtId="3" fontId="6" fillId="0" borderId="1" xfId="2" applyNumberFormat="1" applyFont="1" applyBorder="1"/>
    <xf numFmtId="3" fontId="6" fillId="0" borderId="1" xfId="2" applyNumberFormat="1" applyFont="1" applyFill="1" applyBorder="1"/>
    <xf numFmtId="0" fontId="7" fillId="0" borderId="0" xfId="2" applyFont="1"/>
    <xf numFmtId="3" fontId="7" fillId="0" borderId="3" xfId="2" applyNumberFormat="1" applyFont="1" applyBorder="1" applyAlignment="1">
      <alignment horizontal="right"/>
    </xf>
    <xf numFmtId="3" fontId="7" fillId="0" borderId="3" xfId="2" applyNumberFormat="1" applyFont="1" applyBorder="1"/>
    <xf numFmtId="3" fontId="7" fillId="0" borderId="0" xfId="2" applyNumberFormat="1" applyFont="1" applyBorder="1"/>
    <xf numFmtId="3" fontId="7" fillId="0" borderId="0" xfId="2" applyNumberFormat="1" applyFont="1" applyFill="1" applyBorder="1" applyAlignment="1">
      <alignment horizontal="right"/>
    </xf>
    <xf numFmtId="3" fontId="7" fillId="0" borderId="2" xfId="2" applyNumberFormat="1" applyFont="1" applyBorder="1" applyAlignment="1">
      <alignment horizontal="right"/>
    </xf>
    <xf numFmtId="3" fontId="7" fillId="0" borderId="2" xfId="2" applyNumberFormat="1" applyFont="1" applyBorder="1"/>
    <xf numFmtId="3" fontId="7" fillId="0" borderId="2" xfId="2" applyNumberFormat="1" applyFont="1" applyFill="1" applyBorder="1" applyAlignment="1">
      <alignment horizontal="right"/>
    </xf>
    <xf numFmtId="0" fontId="15" fillId="0" borderId="1" xfId="2" applyFont="1" applyBorder="1"/>
    <xf numFmtId="3" fontId="15" fillId="0" borderId="2" xfId="2" applyNumberFormat="1" applyFont="1" applyBorder="1"/>
    <xf numFmtId="3" fontId="15" fillId="0" borderId="2" xfId="2" applyNumberFormat="1" applyFont="1" applyBorder="1" applyAlignment="1">
      <alignment horizontal="right"/>
    </xf>
    <xf numFmtId="3" fontId="15" fillId="0" borderId="1" xfId="2" applyNumberFormat="1" applyFont="1" applyBorder="1"/>
    <xf numFmtId="3" fontId="15" fillId="0" borderId="1" xfId="2" applyNumberFormat="1" applyFont="1" applyFill="1" applyBorder="1"/>
    <xf numFmtId="3" fontId="7" fillId="0" borderId="0" xfId="2" applyNumberFormat="1" applyFont="1" applyAlignment="1">
      <alignment horizontal="right" vertical="center"/>
    </xf>
    <xf numFmtId="3" fontId="7" fillId="0" borderId="0" xfId="2" applyNumberFormat="1" applyFont="1" applyBorder="1" applyAlignment="1">
      <alignment horizontal="right"/>
    </xf>
    <xf numFmtId="3" fontId="7" fillId="0" borderId="0" xfId="2" applyNumberFormat="1" applyFont="1" applyAlignment="1">
      <alignment horizontal="right"/>
    </xf>
    <xf numFmtId="3" fontId="7" fillId="0" borderId="0" xfId="2" applyNumberFormat="1" applyFont="1" applyFill="1" applyAlignment="1">
      <alignment horizontal="right" vertical="center"/>
    </xf>
    <xf numFmtId="3" fontId="7" fillId="0" borderId="0" xfId="2" applyNumberFormat="1" applyFont="1" applyFill="1" applyAlignment="1">
      <alignment horizontal="right"/>
    </xf>
    <xf numFmtId="0" fontId="7" fillId="0" borderId="0" xfId="2" applyFont="1" applyAlignment="1">
      <alignment horizontal="right" vertical="center"/>
    </xf>
    <xf numFmtId="3" fontId="16" fillId="0" borderId="0" xfId="2" applyNumberFormat="1" applyFont="1"/>
    <xf numFmtId="3" fontId="7" fillId="0" borderId="0" xfId="2" applyNumberFormat="1" applyFont="1" applyBorder="1" applyAlignment="1">
      <alignment horizontal="right" vertical="center"/>
    </xf>
    <xf numFmtId="3" fontId="5" fillId="0" borderId="0" xfId="2" applyNumberFormat="1" applyFont="1" applyAlignment="1">
      <alignment horizontal="right" vertical="center"/>
    </xf>
    <xf numFmtId="3" fontId="5" fillId="0" borderId="0" xfId="2" applyNumberFormat="1" applyFont="1" applyBorder="1" applyAlignment="1">
      <alignment horizontal="right" vertical="center"/>
    </xf>
    <xf numFmtId="3" fontId="5" fillId="0" borderId="0" xfId="2" applyNumberFormat="1" applyFont="1" applyBorder="1" applyAlignment="1">
      <alignment horizontal="right"/>
    </xf>
    <xf numFmtId="0" fontId="11" fillId="0" borderId="0" xfId="2" applyFont="1"/>
    <xf numFmtId="3" fontId="5" fillId="0" borderId="2" xfId="2" applyNumberFormat="1" applyFont="1" applyBorder="1" applyAlignment="1">
      <alignment horizontal="right"/>
    </xf>
    <xf numFmtId="0" fontId="5" fillId="0" borderId="0" xfId="2" applyFont="1" applyBorder="1"/>
    <xf numFmtId="3" fontId="5" fillId="0" borderId="2" xfId="2" applyNumberFormat="1" applyFont="1" applyBorder="1" applyAlignment="1">
      <alignment horizontal="right" vertical="center"/>
    </xf>
    <xf numFmtId="3" fontId="5" fillId="0" borderId="1" xfId="2" applyNumberFormat="1" applyFont="1" applyBorder="1" applyAlignment="1">
      <alignment horizontal="right"/>
    </xf>
    <xf numFmtId="0" fontId="5" fillId="0" borderId="2" xfId="2" applyFont="1" applyBorder="1"/>
    <xf numFmtId="0" fontId="6" fillId="0" borderId="2" xfId="2" applyFont="1" applyBorder="1"/>
    <xf numFmtId="3" fontId="6" fillId="0" borderId="2" xfId="2" applyNumberFormat="1" applyFont="1" applyBorder="1"/>
    <xf numFmtId="3" fontId="6" fillId="0" borderId="2" xfId="2" applyNumberFormat="1" applyFont="1" applyBorder="1" applyAlignment="1">
      <alignment horizontal="right"/>
    </xf>
    <xf numFmtId="0" fontId="5" fillId="0" borderId="0" xfId="2" applyFont="1" applyAlignment="1">
      <alignment horizontal="right" vertical="center"/>
    </xf>
    <xf numFmtId="3" fontId="6" fillId="0" borderId="0" xfId="2" applyNumberFormat="1" applyFont="1" applyAlignment="1">
      <alignment horizontal="right" vertical="center"/>
    </xf>
    <xf numFmtId="3" fontId="6" fillId="0" borderId="0" xfId="2" applyNumberFormat="1" applyFont="1" applyAlignment="1">
      <alignment horizontal="right"/>
    </xf>
    <xf numFmtId="3" fontId="6" fillId="0" borderId="1" xfId="2" applyNumberFormat="1" applyFont="1" applyBorder="1" applyAlignment="1">
      <alignment horizontal="right" vertical="center"/>
    </xf>
    <xf numFmtId="0" fontId="6" fillId="0" borderId="1" xfId="2" applyFont="1" applyBorder="1" applyAlignment="1">
      <alignment horizontal="right" vertical="center"/>
    </xf>
    <xf numFmtId="0" fontId="6" fillId="0" borderId="0" xfId="2" applyFont="1" applyBorder="1"/>
    <xf numFmtId="1" fontId="6" fillId="0" borderId="0" xfId="2" applyNumberFormat="1" applyFont="1"/>
    <xf numFmtId="0" fontId="5" fillId="0" borderId="0" xfId="2" applyFont="1" applyAlignment="1">
      <alignment horizontal="right"/>
    </xf>
    <xf numFmtId="186" fontId="5" fillId="0" borderId="0" xfId="2" applyNumberFormat="1" applyFont="1" applyAlignment="1">
      <alignment horizontal="right"/>
    </xf>
    <xf numFmtId="0" fontId="5" fillId="0" borderId="1" xfId="2" applyFont="1" applyBorder="1"/>
    <xf numFmtId="1" fontId="5" fillId="0" borderId="0" xfId="2" applyNumberFormat="1" applyFont="1" applyAlignment="1">
      <alignment horizontal="right"/>
    </xf>
    <xf numFmtId="0" fontId="6" fillId="0" borderId="1" xfId="2" applyFont="1" applyBorder="1" applyAlignment="1">
      <alignment horizontal="right"/>
    </xf>
    <xf numFmtId="0" fontId="5" fillId="0" borderId="0" xfId="2" applyFont="1" applyBorder="1" applyAlignment="1">
      <alignment horizontal="right"/>
    </xf>
    <xf numFmtId="0" fontId="5" fillId="0" borderId="0" xfId="2" applyFont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5" fillId="0" borderId="1" xfId="2" applyFont="1" applyBorder="1" applyAlignment="1">
      <alignment horizontal="right"/>
    </xf>
    <xf numFmtId="1" fontId="5" fillId="0" borderId="1" xfId="2" applyNumberFormat="1" applyFont="1" applyBorder="1" applyAlignment="1">
      <alignment horizontal="right"/>
    </xf>
    <xf numFmtId="3" fontId="5" fillId="0" borderId="1" xfId="2" applyNumberFormat="1" applyFont="1" applyBorder="1"/>
    <xf numFmtId="0" fontId="6" fillId="0" borderId="0" xfId="2" applyFont="1" applyAlignment="1">
      <alignment horizontal="right"/>
    </xf>
    <xf numFmtId="3" fontId="5" fillId="0" borderId="1" xfId="2" applyNumberFormat="1" applyFont="1" applyBorder="1" applyAlignment="1">
      <alignment horizontal="right" vertical="center"/>
    </xf>
    <xf numFmtId="0" fontId="4" fillId="0" borderId="0" xfId="2" applyFont="1"/>
    <xf numFmtId="3" fontId="9" fillId="0" borderId="0" xfId="5" applyNumberFormat="1" applyFont="1" applyFill="1" applyBorder="1" applyAlignment="1">
      <alignment horizontal="right"/>
    </xf>
    <xf numFmtId="188" fontId="6" fillId="0" borderId="1" xfId="1" applyNumberFormat="1" applyFont="1" applyBorder="1"/>
    <xf numFmtId="188" fontId="5" fillId="0" borderId="0" xfId="1" applyNumberFormat="1" applyFont="1" applyAlignment="1">
      <alignment horizontal="right"/>
    </xf>
    <xf numFmtId="3" fontId="6" fillId="0" borderId="1" xfId="2" applyNumberFormat="1" applyFont="1" applyFill="1" applyBorder="1" applyAlignment="1">
      <alignment horizontal="right"/>
    </xf>
    <xf numFmtId="0" fontId="5" fillId="0" borderId="0" xfId="2" applyFont="1" applyAlignment="1"/>
    <xf numFmtId="188" fontId="6" fillId="0" borderId="0" xfId="0" applyNumberFormat="1" applyFont="1"/>
    <xf numFmtId="0" fontId="2" fillId="0" borderId="0" xfId="0" applyFont="1" applyAlignment="1">
      <alignment horizontal="center"/>
    </xf>
    <xf numFmtId="0" fontId="4" fillId="0" borderId="0" xfId="2" applyFont="1" applyAlignment="1">
      <alignment horizontal="center"/>
    </xf>
    <xf numFmtId="0" fontId="2" fillId="0" borderId="0" xfId="2" applyFont="1" applyAlignment="1">
      <alignment horizontal="center"/>
    </xf>
    <xf numFmtId="0" fontId="4" fillId="0" borderId="0" xfId="0" applyFont="1" applyAlignment="1">
      <alignment horizontal="center"/>
    </xf>
  </cellXfs>
  <cellStyles count="6">
    <cellStyle name="Millares" xfId="1" builtinId="3"/>
    <cellStyle name="Normal" xfId="0" builtinId="0"/>
    <cellStyle name="Normal 2" xfId="2" xr:uid="{13ACFCAA-2141-4772-B14C-D04D20992759}"/>
    <cellStyle name="Normal_Hoja1" xfId="3" xr:uid="{48BFD83A-AF03-488B-A820-00317E51A967}"/>
    <cellStyle name="Normal_Hoja3" xfId="4" xr:uid="{9F3C7EAD-7810-4B02-AAD6-3F5A6E1F2941}"/>
    <cellStyle name="Normal_Hoja3 2" xfId="5" xr:uid="{BEC5CDB2-B372-44EA-AA40-3F0448D6827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DEDD-F7CF-4F6C-BD9E-CF4C144FD4DE}">
  <dimension ref="A1:AT1127"/>
  <sheetViews>
    <sheetView tabSelected="1" zoomScale="120" zoomScaleNormal="120" workbookViewId="0">
      <selection activeCell="L236" sqref="L236"/>
    </sheetView>
  </sheetViews>
  <sheetFormatPr baseColWidth="10" defaultColWidth="7.109375" defaultRowHeight="9.6" x14ac:dyDescent="0.2"/>
  <cols>
    <col min="1" max="1" width="20.109375" style="38" customWidth="1"/>
    <col min="2" max="3" width="9.33203125" style="38" bestFit="1" customWidth="1"/>
    <col min="4" max="4" width="9" style="38" bestFit="1" customWidth="1"/>
    <col min="5" max="5" width="9.33203125" style="38" bestFit="1" customWidth="1"/>
    <col min="6" max="6" width="8.6640625" style="38" bestFit="1" customWidth="1"/>
    <col min="7" max="7" width="9" style="38" bestFit="1" customWidth="1"/>
    <col min="8" max="8" width="9.33203125" style="38" bestFit="1" customWidth="1"/>
    <col min="9" max="9" width="9.33203125" style="41" bestFit="1" customWidth="1"/>
    <col min="10" max="10" width="9.33203125" style="42" bestFit="1" customWidth="1"/>
    <col min="11" max="11" width="9.33203125" style="43" bestFit="1" customWidth="1"/>
    <col min="12" max="12" width="12.6640625" style="43" customWidth="1"/>
    <col min="13" max="13" width="12" style="38" customWidth="1"/>
    <col min="14" max="14" width="9.44140625" style="38" bestFit="1" customWidth="1"/>
    <col min="15" max="16384" width="7.109375" style="38"/>
  </cols>
  <sheetData>
    <row r="1" spans="1:13" s="1" customFormat="1" ht="12.75" customHeight="1" x14ac:dyDescent="0.25">
      <c r="A1" s="115" t="s">
        <v>216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24"/>
    </row>
    <row r="2" spans="1:13" s="3" customFormat="1" ht="10.199999999999999" x14ac:dyDescent="0.2">
      <c r="A2" s="118" t="s">
        <v>0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"/>
    </row>
    <row r="3" spans="1:13" s="3" customFormat="1" ht="10.199999999999999" x14ac:dyDescent="0.2">
      <c r="A3" s="2"/>
      <c r="B3" s="2"/>
      <c r="C3" s="2"/>
      <c r="D3" s="2"/>
      <c r="E3" s="2"/>
      <c r="F3" s="2"/>
      <c r="G3" s="2"/>
      <c r="H3" s="2"/>
      <c r="I3" s="2"/>
      <c r="J3" s="18"/>
      <c r="K3" s="11"/>
      <c r="L3" s="11"/>
    </row>
    <row r="4" spans="1:13" s="3" customFormat="1" ht="12.75" customHeight="1" x14ac:dyDescent="0.2">
      <c r="H4" s="4"/>
      <c r="J4" s="18"/>
      <c r="K4" s="11"/>
      <c r="L4" s="11"/>
    </row>
    <row r="5" spans="1:13" s="7" customFormat="1" x14ac:dyDescent="0.2">
      <c r="A5" s="5" t="s">
        <v>1</v>
      </c>
      <c r="B5" s="6">
        <v>2007</v>
      </c>
      <c r="C5" s="6">
        <v>2008</v>
      </c>
      <c r="D5" s="5">
        <v>2009</v>
      </c>
      <c r="E5" s="28">
        <v>2010</v>
      </c>
      <c r="F5" s="28">
        <v>2011</v>
      </c>
      <c r="G5" s="6">
        <v>2012</v>
      </c>
      <c r="H5" s="6">
        <v>2013</v>
      </c>
      <c r="I5" s="6">
        <v>2014</v>
      </c>
      <c r="J5" s="6">
        <v>2015</v>
      </c>
      <c r="K5" s="6">
        <v>2016</v>
      </c>
      <c r="L5" s="6">
        <v>2017</v>
      </c>
    </row>
    <row r="6" spans="1:13" s="7" customFormat="1" x14ac:dyDescent="0.2">
      <c r="A6" s="8" t="s">
        <v>2</v>
      </c>
      <c r="B6" s="10">
        <f>SUM(B7:B87)</f>
        <v>4174487</v>
      </c>
      <c r="C6" s="10">
        <f>SUM(C7:C87)</f>
        <v>3925350</v>
      </c>
      <c r="D6" s="10">
        <f>SUM(D7:D87)</f>
        <v>3757844</v>
      </c>
      <c r="E6" s="27">
        <v>2824213</v>
      </c>
      <c r="F6" s="27">
        <v>3428322</v>
      </c>
      <c r="G6" s="10">
        <v>3138203</v>
      </c>
      <c r="H6" s="10">
        <v>2344367</v>
      </c>
      <c r="I6" s="10">
        <v>2841648</v>
      </c>
      <c r="J6" s="10">
        <v>2410579</v>
      </c>
      <c r="K6" s="10">
        <f>SUM(K7:K87)</f>
        <v>1928598</v>
      </c>
      <c r="L6" s="110">
        <f>SUM(L7:L87)</f>
        <v>2500562</v>
      </c>
      <c r="M6" s="114"/>
    </row>
    <row r="7" spans="1:13" s="3" customFormat="1" x14ac:dyDescent="0.2">
      <c r="A7" s="3" t="s">
        <v>3</v>
      </c>
      <c r="B7" s="29">
        <v>1</v>
      </c>
      <c r="C7" s="29" t="s">
        <v>213</v>
      </c>
      <c r="D7" s="29" t="s">
        <v>213</v>
      </c>
      <c r="E7" s="29" t="s">
        <v>213</v>
      </c>
      <c r="F7" s="29" t="s">
        <v>213</v>
      </c>
      <c r="G7" s="18" t="s">
        <v>213</v>
      </c>
      <c r="H7" s="18" t="s">
        <v>213</v>
      </c>
      <c r="I7" s="18" t="s">
        <v>213</v>
      </c>
      <c r="J7" s="18">
        <v>3</v>
      </c>
      <c r="K7" s="18">
        <v>1</v>
      </c>
      <c r="L7" s="111" t="s">
        <v>213</v>
      </c>
    </row>
    <row r="8" spans="1:13" s="3" customFormat="1" x14ac:dyDescent="0.2">
      <c r="A8" s="3" t="s">
        <v>4</v>
      </c>
      <c r="B8" s="29">
        <v>558</v>
      </c>
      <c r="C8" s="29">
        <v>1093</v>
      </c>
      <c r="D8" s="29">
        <v>5979</v>
      </c>
      <c r="E8" s="29">
        <v>7013</v>
      </c>
      <c r="F8" s="29">
        <v>4681</v>
      </c>
      <c r="G8" s="18">
        <v>12977</v>
      </c>
      <c r="H8" s="18">
        <v>8094</v>
      </c>
      <c r="I8" s="18">
        <v>419</v>
      </c>
      <c r="J8" s="18">
        <v>3375</v>
      </c>
      <c r="K8" s="18">
        <v>244</v>
      </c>
      <c r="L8" s="111">
        <v>19</v>
      </c>
    </row>
    <row r="9" spans="1:13" s="3" customFormat="1" x14ac:dyDescent="0.2">
      <c r="A9" s="3" t="s">
        <v>5</v>
      </c>
      <c r="B9" s="29">
        <v>3741</v>
      </c>
      <c r="C9" s="29">
        <v>2792</v>
      </c>
      <c r="D9" s="29">
        <v>3514</v>
      </c>
      <c r="E9" s="29">
        <v>4363</v>
      </c>
      <c r="F9" s="109">
        <v>4949</v>
      </c>
      <c r="G9" s="18">
        <v>6339</v>
      </c>
      <c r="H9" s="18">
        <v>4852</v>
      </c>
      <c r="I9" s="18">
        <v>5799</v>
      </c>
      <c r="J9" s="18">
        <v>6029</v>
      </c>
      <c r="K9" s="18">
        <v>6928</v>
      </c>
      <c r="L9" s="111">
        <v>5510</v>
      </c>
    </row>
    <row r="10" spans="1:13" s="3" customFormat="1" x14ac:dyDescent="0.2">
      <c r="A10" s="3" t="s">
        <v>6</v>
      </c>
      <c r="B10" s="29">
        <v>2648</v>
      </c>
      <c r="C10" s="29">
        <v>2622</v>
      </c>
      <c r="D10" s="29">
        <v>1109</v>
      </c>
      <c r="E10" s="29">
        <v>948</v>
      </c>
      <c r="F10" s="109">
        <v>214</v>
      </c>
      <c r="G10" s="18">
        <v>2</v>
      </c>
      <c r="H10" s="18" t="s">
        <v>213</v>
      </c>
      <c r="I10" s="18" t="s">
        <v>213</v>
      </c>
      <c r="J10" s="18" t="s">
        <v>213</v>
      </c>
      <c r="K10" s="18" t="s">
        <v>213</v>
      </c>
      <c r="L10" s="111" t="s">
        <v>213</v>
      </c>
    </row>
    <row r="11" spans="1:13" s="3" customFormat="1" x14ac:dyDescent="0.2">
      <c r="A11" s="3" t="s">
        <v>7</v>
      </c>
      <c r="B11" s="29">
        <v>1393747</v>
      </c>
      <c r="C11" s="29">
        <v>1116748</v>
      </c>
      <c r="D11" s="29">
        <v>955150</v>
      </c>
      <c r="E11" s="29">
        <v>755370</v>
      </c>
      <c r="F11" s="109">
        <v>1191376</v>
      </c>
      <c r="G11" s="18">
        <v>903866</v>
      </c>
      <c r="H11" s="18">
        <v>803404</v>
      </c>
      <c r="I11" s="18">
        <v>817900</v>
      </c>
      <c r="J11" s="18">
        <v>540095</v>
      </c>
      <c r="K11" s="18">
        <v>337436</v>
      </c>
      <c r="L11" s="111">
        <v>625697</v>
      </c>
    </row>
    <row r="12" spans="1:13" s="3" customFormat="1" x14ac:dyDescent="0.2">
      <c r="A12" s="3" t="s">
        <v>8</v>
      </c>
      <c r="B12" s="29" t="s">
        <v>213</v>
      </c>
      <c r="C12" s="29" t="s">
        <v>213</v>
      </c>
      <c r="D12" s="29" t="s">
        <v>213</v>
      </c>
      <c r="E12" s="29" t="s">
        <v>213</v>
      </c>
      <c r="F12" s="29" t="s">
        <v>213</v>
      </c>
      <c r="G12" s="18" t="s">
        <v>213</v>
      </c>
      <c r="H12" s="18" t="s">
        <v>213</v>
      </c>
      <c r="I12" s="18" t="s">
        <v>213</v>
      </c>
      <c r="J12" s="18" t="s">
        <v>213</v>
      </c>
      <c r="K12" s="18" t="s">
        <v>213</v>
      </c>
      <c r="L12" s="111" t="s">
        <v>213</v>
      </c>
    </row>
    <row r="13" spans="1:13" s="3" customFormat="1" x14ac:dyDescent="0.2">
      <c r="A13" s="3" t="s">
        <v>9</v>
      </c>
      <c r="B13" s="29">
        <v>50</v>
      </c>
      <c r="C13" s="29">
        <v>74</v>
      </c>
      <c r="D13" s="29">
        <v>60</v>
      </c>
      <c r="E13" s="29">
        <v>38</v>
      </c>
      <c r="F13" s="109">
        <v>65</v>
      </c>
      <c r="G13" s="18">
        <v>114</v>
      </c>
      <c r="H13" s="18">
        <v>142</v>
      </c>
      <c r="I13" s="18">
        <f>(70+8)</f>
        <v>78</v>
      </c>
      <c r="J13" s="18">
        <v>49</v>
      </c>
      <c r="K13" s="18">
        <v>55</v>
      </c>
      <c r="L13" s="111">
        <v>40</v>
      </c>
    </row>
    <row r="14" spans="1:13" s="3" customFormat="1" x14ac:dyDescent="0.2">
      <c r="A14" s="3" t="s">
        <v>10</v>
      </c>
      <c r="B14" s="29">
        <v>1</v>
      </c>
      <c r="C14" s="29">
        <v>7</v>
      </c>
      <c r="D14" s="29">
        <v>4</v>
      </c>
      <c r="E14" s="29">
        <v>5</v>
      </c>
      <c r="F14" s="109">
        <v>13</v>
      </c>
      <c r="G14" s="18">
        <v>11</v>
      </c>
      <c r="H14" s="18">
        <v>12</v>
      </c>
      <c r="I14" s="18">
        <v>16</v>
      </c>
      <c r="J14" s="18">
        <v>10</v>
      </c>
      <c r="K14" s="18">
        <v>4</v>
      </c>
      <c r="L14" s="111">
        <v>23</v>
      </c>
    </row>
    <row r="15" spans="1:13" s="3" customFormat="1" x14ac:dyDescent="0.2">
      <c r="A15" s="3" t="s">
        <v>11</v>
      </c>
      <c r="B15" s="29">
        <v>76</v>
      </c>
      <c r="C15" s="29">
        <v>74</v>
      </c>
      <c r="D15" s="29">
        <v>47</v>
      </c>
      <c r="E15" s="29">
        <v>30</v>
      </c>
      <c r="F15" s="109">
        <v>2</v>
      </c>
      <c r="G15" s="18">
        <v>50</v>
      </c>
      <c r="H15" s="18">
        <v>4</v>
      </c>
      <c r="I15" s="18">
        <v>8</v>
      </c>
      <c r="J15" s="18">
        <v>39</v>
      </c>
      <c r="K15" s="18">
        <v>29</v>
      </c>
      <c r="L15" s="111">
        <v>48</v>
      </c>
    </row>
    <row r="16" spans="1:13" s="3" customFormat="1" x14ac:dyDescent="0.2">
      <c r="A16" s="3" t="s">
        <v>12</v>
      </c>
      <c r="B16" s="29" t="s">
        <v>213</v>
      </c>
      <c r="C16" s="29">
        <v>2</v>
      </c>
      <c r="D16" s="29">
        <v>3</v>
      </c>
      <c r="E16" s="29">
        <v>1</v>
      </c>
      <c r="F16" s="109">
        <v>2</v>
      </c>
      <c r="G16" s="18">
        <v>4</v>
      </c>
      <c r="H16" s="18">
        <v>1</v>
      </c>
      <c r="I16" s="18">
        <v>8</v>
      </c>
      <c r="J16" s="18">
        <v>4</v>
      </c>
      <c r="K16" s="18">
        <v>4</v>
      </c>
      <c r="L16" s="111">
        <v>20</v>
      </c>
    </row>
    <row r="17" spans="1:12" s="3" customFormat="1" x14ac:dyDescent="0.2">
      <c r="A17" s="3" t="s">
        <v>13</v>
      </c>
      <c r="B17" s="29">
        <v>37</v>
      </c>
      <c r="C17" s="29">
        <v>28</v>
      </c>
      <c r="D17" s="29">
        <v>15</v>
      </c>
      <c r="E17" s="29">
        <v>2</v>
      </c>
      <c r="F17" s="29" t="s">
        <v>213</v>
      </c>
      <c r="G17" s="18">
        <v>7</v>
      </c>
      <c r="H17" s="18">
        <v>1</v>
      </c>
      <c r="I17" s="18" t="s">
        <v>213</v>
      </c>
      <c r="J17" s="18">
        <v>9</v>
      </c>
      <c r="K17" s="18">
        <v>6</v>
      </c>
      <c r="L17" s="111">
        <v>12</v>
      </c>
    </row>
    <row r="18" spans="1:12" s="3" customFormat="1" x14ac:dyDescent="0.2">
      <c r="A18" s="3" t="s">
        <v>14</v>
      </c>
      <c r="B18" s="29">
        <v>5</v>
      </c>
      <c r="C18" s="29" t="s">
        <v>213</v>
      </c>
      <c r="D18" s="29" t="s">
        <v>213</v>
      </c>
      <c r="E18" s="29">
        <v>1</v>
      </c>
      <c r="F18" s="109">
        <v>4</v>
      </c>
      <c r="G18" s="18">
        <v>1</v>
      </c>
      <c r="H18" s="18">
        <v>1</v>
      </c>
      <c r="I18" s="18" t="s">
        <v>213</v>
      </c>
      <c r="J18" s="18" t="s">
        <v>213</v>
      </c>
      <c r="K18" s="18" t="s">
        <v>213</v>
      </c>
      <c r="L18" s="111" t="s">
        <v>213</v>
      </c>
    </row>
    <row r="19" spans="1:12" s="3" customFormat="1" x14ac:dyDescent="0.2">
      <c r="A19" s="3" t="s">
        <v>15</v>
      </c>
      <c r="B19" s="29">
        <v>474</v>
      </c>
      <c r="C19" s="29">
        <v>197</v>
      </c>
      <c r="D19" s="29">
        <v>268</v>
      </c>
      <c r="E19" s="29">
        <v>850</v>
      </c>
      <c r="F19" s="109">
        <v>209</v>
      </c>
      <c r="G19" s="18">
        <v>228</v>
      </c>
      <c r="H19" s="18">
        <v>230</v>
      </c>
      <c r="I19" s="18">
        <v>282</v>
      </c>
      <c r="J19" s="18">
        <v>239</v>
      </c>
      <c r="K19" s="18">
        <v>183</v>
      </c>
      <c r="L19" s="111">
        <v>101</v>
      </c>
    </row>
    <row r="20" spans="1:12" s="3" customFormat="1" x14ac:dyDescent="0.2">
      <c r="A20" s="3" t="s">
        <v>16</v>
      </c>
      <c r="B20" s="29">
        <v>20302</v>
      </c>
      <c r="C20" s="29">
        <v>67409</v>
      </c>
      <c r="D20" s="29">
        <v>170025</v>
      </c>
      <c r="E20" s="29">
        <v>32291</v>
      </c>
      <c r="F20" s="109">
        <v>177878</v>
      </c>
      <c r="G20" s="18">
        <v>64514</v>
      </c>
      <c r="H20" s="18">
        <v>55045</v>
      </c>
      <c r="I20" s="18">
        <v>50543</v>
      </c>
      <c r="J20" s="18">
        <v>26445</v>
      </c>
      <c r="K20" s="18">
        <v>20169</v>
      </c>
      <c r="L20" s="111">
        <v>61192</v>
      </c>
    </row>
    <row r="21" spans="1:12" s="3" customFormat="1" x14ac:dyDescent="0.2">
      <c r="A21" s="3" t="s">
        <v>17</v>
      </c>
      <c r="B21" s="29" t="s">
        <v>213</v>
      </c>
      <c r="C21" s="29">
        <v>3</v>
      </c>
      <c r="D21" s="29">
        <v>1</v>
      </c>
      <c r="E21" s="29" t="s">
        <v>213</v>
      </c>
      <c r="F21" s="29" t="s">
        <v>213</v>
      </c>
      <c r="G21" s="18" t="s">
        <v>213</v>
      </c>
      <c r="H21" s="18" t="s">
        <v>213</v>
      </c>
      <c r="I21" s="18" t="s">
        <v>213</v>
      </c>
      <c r="J21" s="18">
        <v>5</v>
      </c>
      <c r="K21" s="18" t="s">
        <v>213</v>
      </c>
      <c r="L21" s="111">
        <v>1</v>
      </c>
    </row>
    <row r="22" spans="1:12" s="3" customFormat="1" x14ac:dyDescent="0.2">
      <c r="A22" s="3" t="s">
        <v>18</v>
      </c>
      <c r="B22" s="29">
        <v>4873</v>
      </c>
      <c r="C22" s="29">
        <v>5140</v>
      </c>
      <c r="D22" s="29">
        <v>5221</v>
      </c>
      <c r="E22" s="29">
        <v>5297</v>
      </c>
      <c r="F22" s="109">
        <v>4786</v>
      </c>
      <c r="G22" s="18">
        <v>4656</v>
      </c>
      <c r="H22" s="18">
        <v>4090</v>
      </c>
      <c r="I22" s="18">
        <f>(2691+16)</f>
        <v>2707</v>
      </c>
      <c r="J22" s="18">
        <v>3768</v>
      </c>
      <c r="K22" s="18">
        <v>5271</v>
      </c>
      <c r="L22" s="111">
        <v>6117</v>
      </c>
    </row>
    <row r="23" spans="1:12" s="3" customFormat="1" x14ac:dyDescent="0.2">
      <c r="A23" s="3" t="s">
        <v>19</v>
      </c>
      <c r="B23" s="29">
        <v>801</v>
      </c>
      <c r="C23" s="29">
        <v>351</v>
      </c>
      <c r="D23" s="29">
        <v>184</v>
      </c>
      <c r="E23" s="29">
        <v>93</v>
      </c>
      <c r="F23" s="109">
        <v>76</v>
      </c>
      <c r="G23" s="18">
        <v>22</v>
      </c>
      <c r="H23" s="18">
        <v>24</v>
      </c>
      <c r="I23" s="18">
        <v>2</v>
      </c>
      <c r="J23" s="18" t="s">
        <v>213</v>
      </c>
      <c r="K23" s="18" t="s">
        <v>213</v>
      </c>
      <c r="L23" s="111" t="s">
        <v>213</v>
      </c>
    </row>
    <row r="24" spans="1:12" s="3" customFormat="1" x14ac:dyDescent="0.2">
      <c r="A24" s="3" t="s">
        <v>20</v>
      </c>
      <c r="B24" s="29">
        <v>35</v>
      </c>
      <c r="C24" s="29">
        <v>55</v>
      </c>
      <c r="D24" s="29">
        <v>60</v>
      </c>
      <c r="E24" s="29">
        <v>32</v>
      </c>
      <c r="F24" s="109">
        <v>46</v>
      </c>
      <c r="G24" s="18">
        <v>113</v>
      </c>
      <c r="H24" s="18">
        <v>61</v>
      </c>
      <c r="I24" s="18">
        <v>41</v>
      </c>
      <c r="J24" s="18">
        <v>44</v>
      </c>
      <c r="K24" s="18">
        <v>45</v>
      </c>
      <c r="L24" s="111">
        <v>28</v>
      </c>
    </row>
    <row r="25" spans="1:12" s="3" customFormat="1" x14ac:dyDescent="0.2">
      <c r="A25" s="3" t="s">
        <v>21</v>
      </c>
      <c r="B25" s="29">
        <v>4</v>
      </c>
      <c r="C25" s="29">
        <v>10</v>
      </c>
      <c r="D25" s="29">
        <v>36</v>
      </c>
      <c r="E25" s="29">
        <v>8</v>
      </c>
      <c r="F25" s="109">
        <v>9</v>
      </c>
      <c r="G25" s="18">
        <v>62</v>
      </c>
      <c r="H25" s="18">
        <v>19</v>
      </c>
      <c r="I25" s="18">
        <v>38</v>
      </c>
      <c r="J25" s="18">
        <v>43</v>
      </c>
      <c r="K25" s="18">
        <v>257</v>
      </c>
      <c r="L25" s="111">
        <v>114</v>
      </c>
    </row>
    <row r="26" spans="1:12" s="3" customFormat="1" x14ac:dyDescent="0.2">
      <c r="A26" s="3" t="s">
        <v>22</v>
      </c>
      <c r="B26" s="29">
        <v>75</v>
      </c>
      <c r="C26" s="29">
        <v>102</v>
      </c>
      <c r="D26" s="29">
        <v>77</v>
      </c>
      <c r="E26" s="29">
        <v>62</v>
      </c>
      <c r="F26" s="109">
        <v>98</v>
      </c>
      <c r="G26" s="18">
        <v>111</v>
      </c>
      <c r="H26" s="18">
        <v>104</v>
      </c>
      <c r="I26" s="18">
        <v>110</v>
      </c>
      <c r="J26" s="18">
        <v>100</v>
      </c>
      <c r="K26" s="18">
        <v>57</v>
      </c>
      <c r="L26" s="111">
        <v>87</v>
      </c>
    </row>
    <row r="27" spans="1:12" s="3" customFormat="1" x14ac:dyDescent="0.2">
      <c r="A27" s="3" t="s">
        <v>23</v>
      </c>
      <c r="B27" s="29">
        <v>685</v>
      </c>
      <c r="C27" s="29">
        <v>698</v>
      </c>
      <c r="D27" s="29">
        <v>3356</v>
      </c>
      <c r="E27" s="29">
        <v>1400</v>
      </c>
      <c r="F27" s="109">
        <v>1091</v>
      </c>
      <c r="G27" s="18">
        <v>768</v>
      </c>
      <c r="H27" s="18">
        <v>374</v>
      </c>
      <c r="I27" s="18">
        <v>522</v>
      </c>
      <c r="J27" s="18">
        <v>703</v>
      </c>
      <c r="K27" s="18">
        <v>536</v>
      </c>
      <c r="L27" s="111">
        <v>348</v>
      </c>
    </row>
    <row r="28" spans="1:12" s="3" customFormat="1" x14ac:dyDescent="0.2">
      <c r="A28" s="3" t="s">
        <v>24</v>
      </c>
      <c r="B28" s="29">
        <v>297189</v>
      </c>
      <c r="C28" s="29">
        <v>133018</v>
      </c>
      <c r="D28" s="29">
        <v>158452</v>
      </c>
      <c r="E28" s="29">
        <v>95659</v>
      </c>
      <c r="F28" s="109">
        <v>26056</v>
      </c>
      <c r="G28" s="18">
        <v>24319</v>
      </c>
      <c r="H28" s="18">
        <v>31657</v>
      </c>
      <c r="I28" s="18">
        <v>24158</v>
      </c>
      <c r="J28" s="18">
        <v>45687</v>
      </c>
      <c r="K28" s="18">
        <v>58583</v>
      </c>
      <c r="L28" s="111">
        <v>66407</v>
      </c>
    </row>
    <row r="29" spans="1:12" s="3" customFormat="1" x14ac:dyDescent="0.2">
      <c r="A29" s="3" t="s">
        <v>25</v>
      </c>
      <c r="B29" s="29">
        <v>171</v>
      </c>
      <c r="C29" s="29">
        <v>39</v>
      </c>
      <c r="D29" s="29">
        <v>101</v>
      </c>
      <c r="E29" s="29">
        <v>38</v>
      </c>
      <c r="F29" s="109">
        <v>110</v>
      </c>
      <c r="G29" s="18">
        <v>61</v>
      </c>
      <c r="H29" s="18">
        <v>42</v>
      </c>
      <c r="I29" s="18">
        <v>82</v>
      </c>
      <c r="J29" s="18">
        <v>27</v>
      </c>
      <c r="K29" s="18">
        <v>22</v>
      </c>
      <c r="L29" s="111">
        <v>22</v>
      </c>
    </row>
    <row r="30" spans="1:12" s="3" customFormat="1" x14ac:dyDescent="0.2">
      <c r="A30" s="3" t="s">
        <v>26</v>
      </c>
      <c r="B30" s="29">
        <v>95</v>
      </c>
      <c r="C30" s="29">
        <v>111</v>
      </c>
      <c r="D30" s="29">
        <f>213+33</f>
        <v>246</v>
      </c>
      <c r="E30" s="29">
        <f>(37+163)</f>
        <v>200</v>
      </c>
      <c r="F30" s="109">
        <v>253</v>
      </c>
      <c r="G30" s="18">
        <v>201</v>
      </c>
      <c r="H30" s="18">
        <f>(133+52)</f>
        <v>185</v>
      </c>
      <c r="I30" s="18">
        <f>(156+65)</f>
        <v>221</v>
      </c>
      <c r="J30" s="18">
        <v>509</v>
      </c>
      <c r="K30" s="18">
        <v>155</v>
      </c>
      <c r="L30" s="111">
        <v>86</v>
      </c>
    </row>
    <row r="31" spans="1:12" s="3" customFormat="1" x14ac:dyDescent="0.2">
      <c r="A31" s="3" t="s">
        <v>27</v>
      </c>
      <c r="B31" s="29">
        <v>3</v>
      </c>
      <c r="C31" s="29" t="s">
        <v>213</v>
      </c>
      <c r="D31" s="29" t="s">
        <v>213</v>
      </c>
      <c r="E31" s="29" t="s">
        <v>213</v>
      </c>
      <c r="F31" s="29" t="s">
        <v>213</v>
      </c>
      <c r="G31" s="18">
        <v>1</v>
      </c>
      <c r="H31" s="18" t="s">
        <v>213</v>
      </c>
      <c r="I31" s="18" t="s">
        <v>213</v>
      </c>
      <c r="J31" s="18" t="s">
        <v>213</v>
      </c>
      <c r="K31" s="18" t="s">
        <v>213</v>
      </c>
      <c r="L31" s="18" t="s">
        <v>213</v>
      </c>
    </row>
    <row r="32" spans="1:12" s="3" customFormat="1" x14ac:dyDescent="0.2">
      <c r="A32" s="3" t="s">
        <v>28</v>
      </c>
      <c r="B32" s="29" t="s">
        <v>213</v>
      </c>
      <c r="C32" s="29" t="s">
        <v>213</v>
      </c>
      <c r="D32" s="29">
        <v>1</v>
      </c>
      <c r="E32" s="29" t="s">
        <v>213</v>
      </c>
      <c r="F32" s="29" t="s">
        <v>213</v>
      </c>
      <c r="G32" s="18" t="s">
        <v>213</v>
      </c>
      <c r="H32" s="18" t="s">
        <v>213</v>
      </c>
      <c r="I32" s="18" t="s">
        <v>213</v>
      </c>
      <c r="J32" s="18" t="s">
        <v>213</v>
      </c>
      <c r="K32" s="18" t="s">
        <v>213</v>
      </c>
      <c r="L32" s="111" t="s">
        <v>213</v>
      </c>
    </row>
    <row r="33" spans="1:12" s="3" customFormat="1" x14ac:dyDescent="0.2">
      <c r="A33" s="3" t="s">
        <v>29</v>
      </c>
      <c r="B33" s="29">
        <v>161</v>
      </c>
      <c r="C33" s="29">
        <v>38</v>
      </c>
      <c r="D33" s="29">
        <v>49</v>
      </c>
      <c r="E33" s="29">
        <v>71</v>
      </c>
      <c r="F33" s="109">
        <v>153</v>
      </c>
      <c r="G33" s="18">
        <v>85</v>
      </c>
      <c r="H33" s="18">
        <v>36</v>
      </c>
      <c r="I33" s="18">
        <v>93</v>
      </c>
      <c r="J33" s="18">
        <v>913</v>
      </c>
      <c r="K33" s="18">
        <v>129</v>
      </c>
      <c r="L33" s="111">
        <v>43</v>
      </c>
    </row>
    <row r="34" spans="1:12" s="3" customFormat="1" x14ac:dyDescent="0.2">
      <c r="A34" s="3" t="s">
        <v>30</v>
      </c>
      <c r="B34" s="29" t="s">
        <v>213</v>
      </c>
      <c r="C34" s="29">
        <v>44</v>
      </c>
      <c r="D34" s="29" t="s">
        <v>213</v>
      </c>
      <c r="E34" s="29" t="s">
        <v>213</v>
      </c>
      <c r="F34" s="29" t="s">
        <v>213</v>
      </c>
      <c r="G34" s="18">
        <v>21</v>
      </c>
      <c r="H34" s="18">
        <v>34</v>
      </c>
      <c r="I34" s="18" t="s">
        <v>213</v>
      </c>
      <c r="J34" s="18" t="s">
        <v>213</v>
      </c>
      <c r="K34" s="18">
        <v>31</v>
      </c>
      <c r="L34" s="111" t="s">
        <v>213</v>
      </c>
    </row>
    <row r="35" spans="1:12" s="3" customFormat="1" x14ac:dyDescent="0.2">
      <c r="A35" s="3" t="s">
        <v>31</v>
      </c>
      <c r="B35" s="29">
        <v>3339</v>
      </c>
      <c r="C35" s="29">
        <v>3254</v>
      </c>
      <c r="D35" s="29">
        <v>4618</v>
      </c>
      <c r="E35" s="29">
        <f>(332+331+2940)</f>
        <v>3603</v>
      </c>
      <c r="F35" s="29">
        <f>(870+310+3062)</f>
        <v>4242</v>
      </c>
      <c r="G35" s="18">
        <f>(465+510+1859)</f>
        <v>2834</v>
      </c>
      <c r="H35" s="18">
        <f>(324+148+3128)</f>
        <v>3600</v>
      </c>
      <c r="I35" s="18">
        <f>(289+202+3145)</f>
        <v>3636</v>
      </c>
      <c r="J35" s="18">
        <v>4929</v>
      </c>
      <c r="K35" s="18">
        <v>6936</v>
      </c>
      <c r="L35" s="111">
        <v>3562</v>
      </c>
    </row>
    <row r="36" spans="1:12" s="3" customFormat="1" x14ac:dyDescent="0.2">
      <c r="A36" s="3" t="s">
        <v>32</v>
      </c>
      <c r="B36" s="29">
        <v>395</v>
      </c>
      <c r="C36" s="29">
        <v>619</v>
      </c>
      <c r="D36" s="29">
        <v>654</v>
      </c>
      <c r="E36" s="29">
        <v>467</v>
      </c>
      <c r="F36" s="109">
        <v>855</v>
      </c>
      <c r="G36" s="18">
        <v>934</v>
      </c>
      <c r="H36" s="18">
        <v>640</v>
      </c>
      <c r="I36" s="18">
        <v>636</v>
      </c>
      <c r="J36" s="18">
        <v>615</v>
      </c>
      <c r="K36" s="18">
        <v>445</v>
      </c>
      <c r="L36" s="111">
        <v>449</v>
      </c>
    </row>
    <row r="37" spans="1:12" s="3" customFormat="1" x14ac:dyDescent="0.2">
      <c r="A37" s="3" t="s">
        <v>33</v>
      </c>
      <c r="B37" s="29">
        <v>4585</v>
      </c>
      <c r="C37" s="29">
        <v>3346</v>
      </c>
      <c r="D37" s="29">
        <v>3690</v>
      </c>
      <c r="E37" s="29">
        <v>3253</v>
      </c>
      <c r="F37" s="109">
        <v>2863</v>
      </c>
      <c r="G37" s="18">
        <v>2381</v>
      </c>
      <c r="H37" s="18">
        <v>1905</v>
      </c>
      <c r="I37" s="18">
        <v>855</v>
      </c>
      <c r="J37" s="18">
        <v>1366</v>
      </c>
      <c r="K37" s="18">
        <v>1250</v>
      </c>
      <c r="L37" s="111">
        <v>1228</v>
      </c>
    </row>
    <row r="38" spans="1:12" s="3" customFormat="1" x14ac:dyDescent="0.2">
      <c r="A38" s="3" t="s">
        <v>34</v>
      </c>
      <c r="B38" s="29">
        <v>259</v>
      </c>
      <c r="C38" s="29">
        <v>294</v>
      </c>
      <c r="D38" s="29">
        <v>309</v>
      </c>
      <c r="E38" s="29">
        <v>196</v>
      </c>
      <c r="F38" s="109">
        <v>323</v>
      </c>
      <c r="G38" s="18">
        <v>284</v>
      </c>
      <c r="H38" s="18">
        <v>245</v>
      </c>
      <c r="I38" s="18">
        <v>257</v>
      </c>
      <c r="J38" s="18">
        <v>148</v>
      </c>
      <c r="K38" s="18">
        <v>145</v>
      </c>
      <c r="L38" s="111">
        <v>230</v>
      </c>
    </row>
    <row r="39" spans="1:12" s="3" customFormat="1" x14ac:dyDescent="0.2">
      <c r="A39" s="3" t="s">
        <v>35</v>
      </c>
      <c r="B39" s="29">
        <v>574</v>
      </c>
      <c r="C39" s="29">
        <v>743</v>
      </c>
      <c r="D39" s="29">
        <v>1189</v>
      </c>
      <c r="E39" s="29">
        <v>626</v>
      </c>
      <c r="F39" s="109">
        <v>863</v>
      </c>
      <c r="G39" s="18">
        <v>847</v>
      </c>
      <c r="H39" s="18">
        <v>1563</v>
      </c>
      <c r="I39" s="18">
        <v>924</v>
      </c>
      <c r="J39" s="18">
        <v>848</v>
      </c>
      <c r="K39" s="18">
        <v>1670</v>
      </c>
      <c r="L39" s="111">
        <v>725</v>
      </c>
    </row>
    <row r="40" spans="1:12" s="3" customFormat="1" x14ac:dyDescent="0.2">
      <c r="A40" s="3" t="s">
        <v>36</v>
      </c>
      <c r="B40" s="29">
        <v>347</v>
      </c>
      <c r="C40" s="29">
        <v>250</v>
      </c>
      <c r="D40" s="29">
        <v>240</v>
      </c>
      <c r="E40" s="29">
        <v>402</v>
      </c>
      <c r="F40" s="29">
        <v>337</v>
      </c>
      <c r="G40" s="18" t="s">
        <v>213</v>
      </c>
      <c r="H40" s="18" t="s">
        <v>213</v>
      </c>
      <c r="I40" s="18">
        <v>237</v>
      </c>
      <c r="J40" s="18" t="s">
        <v>213</v>
      </c>
      <c r="K40" s="18" t="s">
        <v>213</v>
      </c>
      <c r="L40" s="111" t="s">
        <v>213</v>
      </c>
    </row>
    <row r="41" spans="1:12" s="3" customFormat="1" x14ac:dyDescent="0.2">
      <c r="A41" s="3" t="s">
        <v>37</v>
      </c>
      <c r="B41" s="29">
        <v>1519</v>
      </c>
      <c r="C41" s="29">
        <v>508</v>
      </c>
      <c r="D41" s="29" t="s">
        <v>213</v>
      </c>
      <c r="E41" s="29">
        <v>1</v>
      </c>
      <c r="F41" s="29" t="s">
        <v>213</v>
      </c>
      <c r="G41" s="18" t="s">
        <v>213</v>
      </c>
      <c r="H41" s="18">
        <v>234</v>
      </c>
      <c r="I41" s="18">
        <v>27</v>
      </c>
      <c r="J41" s="18" t="s">
        <v>213</v>
      </c>
      <c r="K41" s="18">
        <v>94</v>
      </c>
      <c r="L41" s="111" t="s">
        <v>213</v>
      </c>
    </row>
    <row r="42" spans="1:12" s="3" customFormat="1" x14ac:dyDescent="0.2">
      <c r="A42" s="3" t="s">
        <v>38</v>
      </c>
      <c r="B42" s="29">
        <v>2</v>
      </c>
      <c r="C42" s="29">
        <v>3</v>
      </c>
      <c r="D42" s="29">
        <v>3</v>
      </c>
      <c r="E42" s="29">
        <v>9</v>
      </c>
      <c r="F42" s="29" t="s">
        <v>213</v>
      </c>
      <c r="G42" s="18">
        <v>8</v>
      </c>
      <c r="H42" s="18">
        <v>1</v>
      </c>
      <c r="I42" s="18" t="s">
        <v>213</v>
      </c>
      <c r="J42" s="18">
        <v>1</v>
      </c>
      <c r="K42" s="18">
        <v>5</v>
      </c>
      <c r="L42" s="111">
        <v>11</v>
      </c>
    </row>
    <row r="43" spans="1:12" s="3" customFormat="1" x14ac:dyDescent="0.2">
      <c r="A43" s="3" t="s">
        <v>39</v>
      </c>
      <c r="B43" s="29">
        <v>12</v>
      </c>
      <c r="C43" s="29">
        <v>22</v>
      </c>
      <c r="D43" s="29">
        <v>32</v>
      </c>
      <c r="E43" s="29">
        <v>13</v>
      </c>
      <c r="F43" s="109">
        <v>20</v>
      </c>
      <c r="G43" s="18">
        <v>22</v>
      </c>
      <c r="H43" s="18">
        <v>13</v>
      </c>
      <c r="I43" s="18">
        <v>21</v>
      </c>
      <c r="J43" s="18">
        <v>6</v>
      </c>
      <c r="K43" s="18">
        <v>3</v>
      </c>
      <c r="L43" s="111">
        <v>4</v>
      </c>
    </row>
    <row r="44" spans="1:12" s="3" customFormat="1" x14ac:dyDescent="0.2">
      <c r="A44" s="3" t="s">
        <v>40</v>
      </c>
      <c r="B44" s="29">
        <v>1302784</v>
      </c>
      <c r="C44" s="29">
        <v>896189</v>
      </c>
      <c r="D44" s="29">
        <v>834927</v>
      </c>
      <c r="E44" s="29">
        <v>464808</v>
      </c>
      <c r="F44" s="109">
        <v>247295</v>
      </c>
      <c r="G44" s="18">
        <v>227460</v>
      </c>
      <c r="H44" s="18">
        <v>231360</v>
      </c>
      <c r="I44" s="18">
        <f>(271573+28)</f>
        <v>271601</v>
      </c>
      <c r="J44" s="18">
        <v>288772</v>
      </c>
      <c r="K44" s="18">
        <v>323298</v>
      </c>
      <c r="L44" s="111">
        <v>355296</v>
      </c>
    </row>
    <row r="45" spans="1:12" s="3" customFormat="1" x14ac:dyDescent="0.2">
      <c r="A45" s="3" t="s">
        <v>41</v>
      </c>
      <c r="B45" s="29">
        <v>48</v>
      </c>
      <c r="C45" s="29">
        <v>95</v>
      </c>
      <c r="D45" s="29">
        <v>102</v>
      </c>
      <c r="E45" s="29">
        <v>55</v>
      </c>
      <c r="F45" s="109">
        <v>43</v>
      </c>
      <c r="G45" s="18">
        <f>(45+5)</f>
        <v>50</v>
      </c>
      <c r="H45" s="18">
        <v>17</v>
      </c>
      <c r="I45" s="18">
        <f>(3+15)</f>
        <v>18</v>
      </c>
      <c r="J45" s="18">
        <v>21</v>
      </c>
      <c r="K45" s="18">
        <v>15</v>
      </c>
      <c r="L45" s="111">
        <v>29</v>
      </c>
    </row>
    <row r="46" spans="1:12" s="3" customFormat="1" x14ac:dyDescent="0.2">
      <c r="A46" s="3" t="s">
        <v>42</v>
      </c>
      <c r="B46" s="29">
        <v>79</v>
      </c>
      <c r="C46" s="29">
        <v>63</v>
      </c>
      <c r="D46" s="29">
        <v>73</v>
      </c>
      <c r="E46" s="29">
        <v>31</v>
      </c>
      <c r="F46" s="109">
        <v>53</v>
      </c>
      <c r="G46" s="18">
        <v>86</v>
      </c>
      <c r="H46" s="18">
        <v>56</v>
      </c>
      <c r="I46" s="18">
        <v>59</v>
      </c>
      <c r="J46" s="18">
        <v>42</v>
      </c>
      <c r="K46" s="18">
        <v>55</v>
      </c>
      <c r="L46" s="111">
        <v>42</v>
      </c>
    </row>
    <row r="47" spans="1:12" s="3" customFormat="1" x14ac:dyDescent="0.2">
      <c r="A47" s="3" t="s">
        <v>43</v>
      </c>
      <c r="B47" s="29">
        <v>19550</v>
      </c>
      <c r="C47" s="29">
        <v>23207</v>
      </c>
      <c r="D47" s="29">
        <v>25998</v>
      </c>
      <c r="E47" s="29">
        <v>10599</v>
      </c>
      <c r="F47" s="109">
        <v>10437</v>
      </c>
      <c r="G47" s="18">
        <v>9443</v>
      </c>
      <c r="H47" s="18">
        <v>7660</v>
      </c>
      <c r="I47" s="18">
        <v>8223</v>
      </c>
      <c r="J47" s="18">
        <v>9695</v>
      </c>
      <c r="K47" s="18">
        <v>9039</v>
      </c>
      <c r="L47" s="111">
        <v>29954</v>
      </c>
    </row>
    <row r="48" spans="1:12" s="3" customFormat="1" x14ac:dyDescent="0.2">
      <c r="A48" s="3" t="s">
        <v>44</v>
      </c>
      <c r="B48" s="29">
        <v>15</v>
      </c>
      <c r="C48" s="29">
        <v>4</v>
      </c>
      <c r="D48" s="29">
        <v>11</v>
      </c>
      <c r="E48" s="29">
        <v>20</v>
      </c>
      <c r="F48" s="109">
        <v>3</v>
      </c>
      <c r="G48" s="18">
        <v>8</v>
      </c>
      <c r="H48" s="18">
        <v>10</v>
      </c>
      <c r="I48" s="18">
        <f>(41+1)</f>
        <v>42</v>
      </c>
      <c r="J48" s="18">
        <v>55</v>
      </c>
      <c r="K48" s="18">
        <v>28</v>
      </c>
      <c r="L48" s="111">
        <v>11</v>
      </c>
    </row>
    <row r="49" spans="1:12" s="3" customFormat="1" x14ac:dyDescent="0.2">
      <c r="A49" s="3" t="s">
        <v>45</v>
      </c>
      <c r="B49" s="29">
        <v>405</v>
      </c>
      <c r="C49" s="29">
        <v>225</v>
      </c>
      <c r="D49" s="29">
        <v>312</v>
      </c>
      <c r="E49" s="29">
        <f>(363+4)</f>
        <v>367</v>
      </c>
      <c r="F49" s="109">
        <v>334</v>
      </c>
      <c r="G49" s="18">
        <v>354</v>
      </c>
      <c r="H49" s="18">
        <v>284</v>
      </c>
      <c r="I49" s="18">
        <v>314</v>
      </c>
      <c r="J49" s="18">
        <v>355</v>
      </c>
      <c r="K49" s="18">
        <v>387</v>
      </c>
      <c r="L49" s="111">
        <v>238</v>
      </c>
    </row>
    <row r="50" spans="1:12" s="3" customFormat="1" x14ac:dyDescent="0.2">
      <c r="A50" s="3" t="s">
        <v>46</v>
      </c>
      <c r="B50" s="29">
        <v>45848</v>
      </c>
      <c r="C50" s="29">
        <v>47936</v>
      </c>
      <c r="D50" s="29">
        <v>47144</v>
      </c>
      <c r="E50" s="29">
        <v>49197</v>
      </c>
      <c r="F50" s="109">
        <v>45332</v>
      </c>
      <c r="G50" s="18">
        <v>39721</v>
      </c>
      <c r="H50" s="18">
        <v>36900</v>
      </c>
      <c r="I50" s="18">
        <v>18573</v>
      </c>
      <c r="J50" s="18">
        <v>19387</v>
      </c>
      <c r="K50" s="18">
        <v>20886</v>
      </c>
      <c r="L50" s="111">
        <v>21397</v>
      </c>
    </row>
    <row r="51" spans="1:12" s="3" customFormat="1" x14ac:dyDescent="0.2">
      <c r="A51" s="3" t="s">
        <v>47</v>
      </c>
      <c r="B51" s="29">
        <v>63697</v>
      </c>
      <c r="C51" s="29">
        <v>73567</v>
      </c>
      <c r="D51" s="29">
        <v>78440</v>
      </c>
      <c r="E51" s="29">
        <v>74330</v>
      </c>
      <c r="F51" s="109">
        <v>70137</v>
      </c>
      <c r="G51" s="18">
        <v>62175</v>
      </c>
      <c r="H51" s="18">
        <v>47602</v>
      </c>
      <c r="I51" s="18">
        <v>39345</v>
      </c>
      <c r="J51" s="18">
        <v>37475</v>
      </c>
      <c r="K51" s="18">
        <v>28108</v>
      </c>
      <c r="L51" s="111">
        <v>20850</v>
      </c>
    </row>
    <row r="52" spans="1:12" s="3" customFormat="1" x14ac:dyDescent="0.2">
      <c r="A52" s="3" t="s">
        <v>48</v>
      </c>
      <c r="B52" s="29">
        <v>26701</v>
      </c>
      <c r="C52" s="29">
        <v>27086</v>
      </c>
      <c r="D52" s="29">
        <v>22221</v>
      </c>
      <c r="E52" s="29">
        <v>23301</v>
      </c>
      <c r="F52" s="109">
        <v>19629</v>
      </c>
      <c r="G52" s="18">
        <v>16675</v>
      </c>
      <c r="H52" s="18">
        <v>15304</v>
      </c>
      <c r="I52" s="18">
        <v>11191</v>
      </c>
      <c r="J52" s="18">
        <v>8809</v>
      </c>
      <c r="K52" s="18">
        <v>8269</v>
      </c>
      <c r="L52" s="111">
        <v>8233</v>
      </c>
    </row>
    <row r="53" spans="1:12" s="3" customFormat="1" x14ac:dyDescent="0.2">
      <c r="A53" s="3" t="s">
        <v>49</v>
      </c>
      <c r="B53" s="29">
        <v>30589</v>
      </c>
      <c r="C53" s="29">
        <v>28050</v>
      </c>
      <c r="D53" s="29">
        <v>26272</v>
      </c>
      <c r="E53" s="29">
        <v>25361</v>
      </c>
      <c r="F53" s="109">
        <v>20909</v>
      </c>
      <c r="G53" s="18">
        <v>20288</v>
      </c>
      <c r="H53" s="18">
        <v>19346</v>
      </c>
      <c r="I53" s="18">
        <v>12393</v>
      </c>
      <c r="J53" s="18">
        <v>16150</v>
      </c>
      <c r="K53" s="18">
        <v>16804</v>
      </c>
      <c r="L53" s="111">
        <v>16355</v>
      </c>
    </row>
    <row r="54" spans="1:12" s="3" customFormat="1" x14ac:dyDescent="0.2">
      <c r="A54" s="3" t="s">
        <v>50</v>
      </c>
      <c r="B54" s="29">
        <v>17</v>
      </c>
      <c r="C54" s="29">
        <v>22</v>
      </c>
      <c r="D54" s="29">
        <v>19</v>
      </c>
      <c r="E54" s="29">
        <v>17</v>
      </c>
      <c r="F54" s="29" t="s">
        <v>213</v>
      </c>
      <c r="G54" s="18">
        <v>3</v>
      </c>
      <c r="H54" s="18">
        <v>2</v>
      </c>
      <c r="I54" s="18" t="s">
        <v>213</v>
      </c>
      <c r="J54" s="18" t="s">
        <v>213</v>
      </c>
      <c r="K54" s="18" t="s">
        <v>213</v>
      </c>
      <c r="L54" s="111">
        <v>1</v>
      </c>
    </row>
    <row r="55" spans="1:12" s="3" customFormat="1" x14ac:dyDescent="0.2">
      <c r="A55" s="3" t="s">
        <v>51</v>
      </c>
      <c r="B55" s="29">
        <v>5</v>
      </c>
      <c r="C55" s="29">
        <v>1</v>
      </c>
      <c r="D55" s="29" t="s">
        <v>213</v>
      </c>
      <c r="E55" s="29" t="s">
        <v>213</v>
      </c>
      <c r="F55" s="29" t="s">
        <v>213</v>
      </c>
      <c r="G55" s="18" t="s">
        <v>213</v>
      </c>
      <c r="H55" s="18" t="s">
        <v>213</v>
      </c>
      <c r="I55" s="18" t="s">
        <v>213</v>
      </c>
      <c r="J55" s="18" t="s">
        <v>213</v>
      </c>
      <c r="K55" s="18" t="s">
        <v>213</v>
      </c>
      <c r="L55" s="111" t="s">
        <v>213</v>
      </c>
    </row>
    <row r="56" spans="1:12" s="3" customFormat="1" x14ac:dyDescent="0.2">
      <c r="A56" s="3" t="s">
        <v>52</v>
      </c>
      <c r="B56" s="29">
        <v>3010</v>
      </c>
      <c r="C56" s="29">
        <v>4887</v>
      </c>
      <c r="D56" s="29">
        <v>3325</v>
      </c>
      <c r="E56" s="29">
        <v>2061</v>
      </c>
      <c r="F56" s="109">
        <v>1814</v>
      </c>
      <c r="G56" s="18">
        <v>2761</v>
      </c>
      <c r="H56" s="18">
        <v>1664</v>
      </c>
      <c r="I56" s="18">
        <f>(3364+2)</f>
        <v>3366</v>
      </c>
      <c r="J56" s="18">
        <v>2462</v>
      </c>
      <c r="K56" s="18">
        <v>9268</v>
      </c>
      <c r="L56" s="111">
        <v>23034</v>
      </c>
    </row>
    <row r="57" spans="1:12" s="3" customFormat="1" x14ac:dyDescent="0.2">
      <c r="A57" s="3" t="s">
        <v>53</v>
      </c>
      <c r="B57" s="29">
        <v>650</v>
      </c>
      <c r="C57" s="29">
        <v>966</v>
      </c>
      <c r="D57" s="29">
        <v>1023</v>
      </c>
      <c r="E57" s="29">
        <v>561</v>
      </c>
      <c r="F57" s="109">
        <v>581</v>
      </c>
      <c r="G57" s="18">
        <v>580</v>
      </c>
      <c r="H57" s="18">
        <v>221</v>
      </c>
      <c r="I57" s="18">
        <v>415</v>
      </c>
      <c r="J57" s="18">
        <v>442</v>
      </c>
      <c r="K57" s="18">
        <v>626</v>
      </c>
      <c r="L57" s="111">
        <v>667</v>
      </c>
    </row>
    <row r="58" spans="1:12" s="3" customFormat="1" x14ac:dyDescent="0.2">
      <c r="A58" s="3" t="s">
        <v>54</v>
      </c>
      <c r="B58" s="29">
        <v>2</v>
      </c>
      <c r="C58" s="29">
        <v>2</v>
      </c>
      <c r="D58" s="29">
        <v>2</v>
      </c>
      <c r="E58" s="29">
        <v>7</v>
      </c>
      <c r="F58" s="109">
        <v>6</v>
      </c>
      <c r="G58" s="18">
        <v>8</v>
      </c>
      <c r="H58" s="18">
        <v>3</v>
      </c>
      <c r="I58" s="18">
        <v>8</v>
      </c>
      <c r="J58" s="18">
        <v>8</v>
      </c>
      <c r="K58" s="18" t="s">
        <v>213</v>
      </c>
      <c r="L58" s="111" t="s">
        <v>213</v>
      </c>
    </row>
    <row r="59" spans="1:12" s="3" customFormat="1" x14ac:dyDescent="0.2">
      <c r="A59" s="3" t="s">
        <v>55</v>
      </c>
      <c r="B59" s="29">
        <v>62</v>
      </c>
      <c r="C59" s="29">
        <v>63</v>
      </c>
      <c r="D59" s="29">
        <v>65</v>
      </c>
      <c r="E59" s="29">
        <v>156</v>
      </c>
      <c r="F59" s="109">
        <v>134</v>
      </c>
      <c r="G59" s="18">
        <v>136</v>
      </c>
      <c r="H59" s="18">
        <v>91</v>
      </c>
      <c r="I59" s="18">
        <v>54</v>
      </c>
      <c r="J59" s="18">
        <v>59</v>
      </c>
      <c r="K59" s="18">
        <v>47</v>
      </c>
      <c r="L59" s="111">
        <v>25</v>
      </c>
    </row>
    <row r="60" spans="1:12" s="3" customFormat="1" x14ac:dyDescent="0.2">
      <c r="A60" s="3" t="s">
        <v>56</v>
      </c>
      <c r="B60" s="29">
        <v>1421</v>
      </c>
      <c r="C60" s="29">
        <v>1411</v>
      </c>
      <c r="D60" s="29">
        <v>1429</v>
      </c>
      <c r="E60" s="29">
        <v>397</v>
      </c>
      <c r="F60" s="109">
        <v>859</v>
      </c>
      <c r="G60" s="18">
        <v>1828</v>
      </c>
      <c r="H60" s="18">
        <v>760</v>
      </c>
      <c r="I60" s="18">
        <v>1146</v>
      </c>
      <c r="J60" s="18">
        <v>877</v>
      </c>
      <c r="K60" s="18">
        <v>706</v>
      </c>
      <c r="L60" s="111">
        <v>550</v>
      </c>
    </row>
    <row r="61" spans="1:12" s="3" customFormat="1" x14ac:dyDescent="0.2">
      <c r="A61" s="3" t="s">
        <v>57</v>
      </c>
      <c r="B61" s="29">
        <v>1</v>
      </c>
      <c r="C61" s="29" t="s">
        <v>213</v>
      </c>
      <c r="D61" s="29">
        <v>2</v>
      </c>
      <c r="E61" s="29">
        <v>3</v>
      </c>
      <c r="F61" s="29" t="s">
        <v>213</v>
      </c>
      <c r="G61" s="18">
        <v>1</v>
      </c>
      <c r="H61" s="18">
        <v>4</v>
      </c>
      <c r="I61" s="18">
        <v>3</v>
      </c>
      <c r="J61" s="18" t="s">
        <v>213</v>
      </c>
      <c r="K61" s="18" t="s">
        <v>213</v>
      </c>
      <c r="L61" s="18" t="s">
        <v>213</v>
      </c>
    </row>
    <row r="62" spans="1:12" s="3" customFormat="1" x14ac:dyDescent="0.2">
      <c r="A62" s="3" t="s">
        <v>204</v>
      </c>
      <c r="B62" s="29" t="s">
        <v>213</v>
      </c>
      <c r="C62" s="29" t="s">
        <v>213</v>
      </c>
      <c r="D62" s="29" t="s">
        <v>213</v>
      </c>
      <c r="E62" s="29">
        <v>877</v>
      </c>
      <c r="F62" s="109">
        <v>176</v>
      </c>
      <c r="G62" s="18">
        <v>238</v>
      </c>
      <c r="H62" s="18">
        <v>334</v>
      </c>
      <c r="I62" s="18">
        <v>232</v>
      </c>
      <c r="J62" s="18">
        <v>42</v>
      </c>
      <c r="K62" s="18">
        <v>9</v>
      </c>
      <c r="L62" s="18" t="s">
        <v>213</v>
      </c>
    </row>
    <row r="63" spans="1:12" s="3" customFormat="1" x14ac:dyDescent="0.2">
      <c r="A63" s="3" t="s">
        <v>58</v>
      </c>
      <c r="B63" s="29" t="s">
        <v>213</v>
      </c>
      <c r="C63" s="29" t="s">
        <v>213</v>
      </c>
      <c r="D63" s="29" t="s">
        <v>213</v>
      </c>
      <c r="E63" s="29">
        <v>1</v>
      </c>
      <c r="F63" s="29" t="s">
        <v>213</v>
      </c>
      <c r="G63" s="18" t="s">
        <v>213</v>
      </c>
      <c r="H63" s="18">
        <v>2</v>
      </c>
      <c r="I63" s="18">
        <v>1</v>
      </c>
      <c r="J63" s="18" t="s">
        <v>213</v>
      </c>
      <c r="K63" s="18">
        <v>1</v>
      </c>
      <c r="L63" s="18" t="s">
        <v>213</v>
      </c>
    </row>
    <row r="64" spans="1:12" s="3" customFormat="1" x14ac:dyDescent="0.2">
      <c r="A64" s="3" t="s">
        <v>59</v>
      </c>
      <c r="B64" s="29">
        <v>2802</v>
      </c>
      <c r="C64" s="29">
        <v>1742</v>
      </c>
      <c r="D64" s="29">
        <v>1834</v>
      </c>
      <c r="E64" s="29">
        <f>(7+1796)</f>
        <v>1803</v>
      </c>
      <c r="F64" s="29">
        <f>(20+1831)</f>
        <v>1851</v>
      </c>
      <c r="G64" s="18">
        <f>(22+34+1457)</f>
        <v>1513</v>
      </c>
      <c r="H64" s="18">
        <f>(49+839)</f>
        <v>888</v>
      </c>
      <c r="I64" s="18">
        <f>(1+23)</f>
        <v>24</v>
      </c>
      <c r="J64" s="18">
        <v>37</v>
      </c>
      <c r="K64" s="18">
        <v>722</v>
      </c>
      <c r="L64" s="111">
        <v>31</v>
      </c>
    </row>
    <row r="65" spans="1:12" s="3" customFormat="1" x14ac:dyDescent="0.2">
      <c r="A65" s="3" t="s">
        <v>60</v>
      </c>
      <c r="B65" s="29">
        <v>3896</v>
      </c>
      <c r="C65" s="29">
        <v>6210</v>
      </c>
      <c r="D65" s="29">
        <v>15199</v>
      </c>
      <c r="E65" s="29">
        <v>16977</v>
      </c>
      <c r="F65" s="109">
        <v>28814</v>
      </c>
      <c r="G65" s="18">
        <v>23214</v>
      </c>
      <c r="H65" s="18">
        <v>11955</v>
      </c>
      <c r="I65" s="18">
        <v>35975</v>
      </c>
      <c r="J65" s="18">
        <v>34218</v>
      </c>
      <c r="K65" s="18">
        <v>27586</v>
      </c>
      <c r="L65" s="111">
        <v>25267</v>
      </c>
    </row>
    <row r="66" spans="1:12" s="3" customFormat="1" x14ac:dyDescent="0.2">
      <c r="A66" s="3" t="s">
        <v>61</v>
      </c>
      <c r="B66" s="29">
        <v>3</v>
      </c>
      <c r="C66" s="29">
        <v>11</v>
      </c>
      <c r="D66" s="29">
        <v>13</v>
      </c>
      <c r="E66" s="29">
        <v>6</v>
      </c>
      <c r="F66" s="29" t="s">
        <v>213</v>
      </c>
      <c r="G66" s="18" t="s">
        <v>213</v>
      </c>
      <c r="H66" s="18" t="s">
        <v>213</v>
      </c>
      <c r="I66" s="18" t="s">
        <v>213</v>
      </c>
      <c r="J66" s="18">
        <v>1</v>
      </c>
      <c r="K66" s="18" t="s">
        <v>213</v>
      </c>
      <c r="L66" s="18" t="s">
        <v>213</v>
      </c>
    </row>
    <row r="67" spans="1:12" s="3" customFormat="1" x14ac:dyDescent="0.2">
      <c r="A67" s="3" t="s">
        <v>62</v>
      </c>
      <c r="B67" s="29">
        <v>124</v>
      </c>
      <c r="C67" s="29">
        <v>139</v>
      </c>
      <c r="D67" s="29">
        <v>205</v>
      </c>
      <c r="E67" s="29">
        <v>151</v>
      </c>
      <c r="F67" s="109">
        <v>230</v>
      </c>
      <c r="G67" s="18">
        <v>257</v>
      </c>
      <c r="H67" s="18">
        <v>170</v>
      </c>
      <c r="I67" s="18">
        <v>289</v>
      </c>
      <c r="J67" s="18">
        <v>236</v>
      </c>
      <c r="K67" s="18">
        <v>280</v>
      </c>
      <c r="L67" s="111">
        <v>254</v>
      </c>
    </row>
    <row r="68" spans="1:12" s="3" customFormat="1" x14ac:dyDescent="0.2">
      <c r="A68" s="3" t="s">
        <v>63</v>
      </c>
      <c r="B68" s="29">
        <v>2</v>
      </c>
      <c r="C68" s="29" t="s">
        <v>213</v>
      </c>
      <c r="D68" s="29">
        <v>1</v>
      </c>
      <c r="E68" s="29" t="s">
        <v>213</v>
      </c>
      <c r="F68" s="109">
        <v>2</v>
      </c>
      <c r="G68" s="18">
        <v>2</v>
      </c>
      <c r="H68" s="18">
        <v>3</v>
      </c>
      <c r="I68" s="18">
        <v>2</v>
      </c>
      <c r="J68" s="18" t="s">
        <v>213</v>
      </c>
      <c r="K68" s="18" t="s">
        <v>213</v>
      </c>
      <c r="L68" s="18" t="s">
        <v>213</v>
      </c>
    </row>
    <row r="69" spans="1:12" s="3" customFormat="1" x14ac:dyDescent="0.2">
      <c r="A69" s="3" t="s">
        <v>64</v>
      </c>
      <c r="B69" s="29">
        <v>25</v>
      </c>
      <c r="C69" s="29">
        <v>51</v>
      </c>
      <c r="D69" s="29">
        <v>76</v>
      </c>
      <c r="E69" s="29">
        <v>37</v>
      </c>
      <c r="F69" s="109">
        <v>45</v>
      </c>
      <c r="G69" s="18">
        <v>36</v>
      </c>
      <c r="H69" s="18">
        <v>31</v>
      </c>
      <c r="I69" s="18">
        <v>25</v>
      </c>
      <c r="J69" s="18">
        <v>16</v>
      </c>
      <c r="K69" s="18">
        <v>25</v>
      </c>
      <c r="L69" s="111">
        <v>42</v>
      </c>
    </row>
    <row r="70" spans="1:12" s="3" customFormat="1" x14ac:dyDescent="0.2">
      <c r="A70" s="3" t="s">
        <v>65</v>
      </c>
      <c r="B70" s="29">
        <v>31</v>
      </c>
      <c r="C70" s="29">
        <v>37</v>
      </c>
      <c r="D70" s="29">
        <v>82</v>
      </c>
      <c r="E70" s="29">
        <v>112</v>
      </c>
      <c r="F70" s="109">
        <v>119</v>
      </c>
      <c r="G70" s="18">
        <v>89</v>
      </c>
      <c r="H70" s="18">
        <v>37</v>
      </c>
      <c r="I70" s="18">
        <v>121</v>
      </c>
      <c r="J70" s="18">
        <v>38</v>
      </c>
      <c r="K70" s="18">
        <v>92</v>
      </c>
      <c r="L70" s="111">
        <v>73</v>
      </c>
    </row>
    <row r="71" spans="1:12" s="3" customFormat="1" x14ac:dyDescent="0.2">
      <c r="A71" s="3" t="s">
        <v>66</v>
      </c>
      <c r="B71" s="29">
        <v>27</v>
      </c>
      <c r="C71" s="29" t="s">
        <v>213</v>
      </c>
      <c r="D71" s="29" t="s">
        <v>213</v>
      </c>
      <c r="E71" s="29" t="s">
        <v>213</v>
      </c>
      <c r="F71" s="29" t="s">
        <v>213</v>
      </c>
      <c r="G71" s="18" t="s">
        <v>213</v>
      </c>
      <c r="H71" s="18" t="s">
        <v>213</v>
      </c>
      <c r="I71" s="18" t="s">
        <v>213</v>
      </c>
      <c r="J71" s="18" t="s">
        <v>213</v>
      </c>
      <c r="K71" s="18" t="s">
        <v>213</v>
      </c>
      <c r="L71" s="111" t="s">
        <v>213</v>
      </c>
    </row>
    <row r="72" spans="1:12" s="3" customFormat="1" x14ac:dyDescent="0.2">
      <c r="A72" s="3" t="s">
        <v>67</v>
      </c>
      <c r="B72" s="29">
        <v>331042</v>
      </c>
      <c r="C72" s="29">
        <v>388847</v>
      </c>
      <c r="D72" s="29">
        <v>204013</v>
      </c>
      <c r="E72" s="29">
        <v>123233</v>
      </c>
      <c r="F72" s="109">
        <v>264354</v>
      </c>
      <c r="G72" s="18">
        <v>399678</v>
      </c>
      <c r="H72" s="18">
        <v>493463</v>
      </c>
      <c r="I72" s="18">
        <v>644459</v>
      </c>
      <c r="J72" s="18">
        <v>621884</v>
      </c>
      <c r="K72" s="18">
        <v>532225</v>
      </c>
      <c r="L72" s="111">
        <v>614173</v>
      </c>
    </row>
    <row r="73" spans="1:12" s="3" customFormat="1" x14ac:dyDescent="0.2">
      <c r="A73" s="3" t="s">
        <v>68</v>
      </c>
      <c r="B73" s="29">
        <v>105477</v>
      </c>
      <c r="C73" s="29">
        <v>92317</v>
      </c>
      <c r="D73" s="29">
        <v>120010</v>
      </c>
      <c r="E73" s="29">
        <v>122744</v>
      </c>
      <c r="F73" s="109">
        <v>159585</v>
      </c>
      <c r="G73" s="18">
        <v>162813</v>
      </c>
      <c r="H73" s="18">
        <v>146017</v>
      </c>
      <c r="I73" s="18">
        <v>158947</v>
      </c>
      <c r="J73" s="18">
        <v>154109</v>
      </c>
      <c r="K73" s="18">
        <v>110980</v>
      </c>
      <c r="L73" s="111">
        <v>164193</v>
      </c>
    </row>
    <row r="74" spans="1:12" s="3" customFormat="1" x14ac:dyDescent="0.2">
      <c r="A74" s="3" t="s">
        <v>69</v>
      </c>
      <c r="B74" s="29">
        <v>1911</v>
      </c>
      <c r="C74" s="29">
        <v>72</v>
      </c>
      <c r="D74" s="29">
        <v>595</v>
      </c>
      <c r="E74" s="29">
        <v>636</v>
      </c>
      <c r="F74" s="109">
        <v>1094</v>
      </c>
      <c r="G74" s="18">
        <v>1691</v>
      </c>
      <c r="H74" s="18">
        <v>986</v>
      </c>
      <c r="I74" s="18">
        <v>2</v>
      </c>
      <c r="J74" s="18" t="s">
        <v>213</v>
      </c>
      <c r="K74" s="18" t="s">
        <v>213</v>
      </c>
      <c r="L74" s="111" t="s">
        <v>213</v>
      </c>
    </row>
    <row r="75" spans="1:12" s="3" customFormat="1" x14ac:dyDescent="0.2">
      <c r="A75" s="3" t="s">
        <v>70</v>
      </c>
      <c r="B75" s="29">
        <v>979</v>
      </c>
      <c r="C75" s="29">
        <v>395</v>
      </c>
      <c r="D75" s="29">
        <v>179</v>
      </c>
      <c r="E75" s="29">
        <v>88</v>
      </c>
      <c r="F75" s="20">
        <v>72</v>
      </c>
      <c r="G75" s="18">
        <v>238</v>
      </c>
      <c r="H75" s="18">
        <v>67</v>
      </c>
      <c r="I75" s="18">
        <v>148</v>
      </c>
      <c r="J75" s="18">
        <v>395</v>
      </c>
      <c r="K75" s="18">
        <v>89</v>
      </c>
      <c r="L75" s="111">
        <v>513</v>
      </c>
    </row>
    <row r="76" spans="1:12" s="3" customFormat="1" x14ac:dyDescent="0.2">
      <c r="A76" s="3" t="s">
        <v>71</v>
      </c>
      <c r="B76" s="29">
        <v>50705</v>
      </c>
      <c r="C76" s="29">
        <v>45089</v>
      </c>
      <c r="D76" s="29">
        <v>52602</v>
      </c>
      <c r="E76" s="29">
        <v>20173</v>
      </c>
      <c r="F76" s="109">
        <v>17822</v>
      </c>
      <c r="G76" s="18">
        <v>23797</v>
      </c>
      <c r="H76" s="18">
        <v>27214</v>
      </c>
      <c r="I76" s="18">
        <v>27230</v>
      </c>
      <c r="J76" s="18">
        <v>31393</v>
      </c>
      <c r="K76" s="18">
        <v>23655</v>
      </c>
      <c r="L76" s="111">
        <v>19293</v>
      </c>
    </row>
    <row r="77" spans="1:12" s="3" customFormat="1" x14ac:dyDescent="0.2">
      <c r="A77" s="3" t="s">
        <v>72</v>
      </c>
      <c r="B77" s="29">
        <v>281382</v>
      </c>
      <c r="C77" s="29">
        <v>795139</v>
      </c>
      <c r="D77" s="29">
        <v>855262</v>
      </c>
      <c r="E77" s="29">
        <v>750750</v>
      </c>
      <c r="F77" s="109">
        <v>887272</v>
      </c>
      <c r="G77" s="18">
        <v>848466</v>
      </c>
      <c r="H77" s="18">
        <v>236968</v>
      </c>
      <c r="I77" s="18">
        <v>543278</v>
      </c>
      <c r="J77" s="18">
        <v>435863</v>
      </c>
      <c r="K77" s="18">
        <v>280421</v>
      </c>
      <c r="L77" s="111">
        <v>344262</v>
      </c>
    </row>
    <row r="78" spans="1:12" s="3" customFormat="1" x14ac:dyDescent="0.2">
      <c r="A78" s="3" t="s">
        <v>73</v>
      </c>
      <c r="B78" s="29">
        <v>6</v>
      </c>
      <c r="C78" s="29">
        <v>2</v>
      </c>
      <c r="D78" s="29">
        <v>2</v>
      </c>
      <c r="E78" s="29">
        <v>1</v>
      </c>
      <c r="F78" s="109">
        <v>9</v>
      </c>
      <c r="G78" s="18">
        <v>12</v>
      </c>
      <c r="H78" s="18">
        <v>21</v>
      </c>
      <c r="I78" s="18">
        <v>17</v>
      </c>
      <c r="J78" s="18">
        <v>5</v>
      </c>
      <c r="K78" s="18">
        <v>6</v>
      </c>
      <c r="L78" s="111">
        <v>6</v>
      </c>
    </row>
    <row r="79" spans="1:12" s="3" customFormat="1" x14ac:dyDescent="0.2">
      <c r="A79" s="3" t="s">
        <v>74</v>
      </c>
      <c r="B79" s="29">
        <v>1025</v>
      </c>
      <c r="C79" s="29">
        <v>838</v>
      </c>
      <c r="D79" s="29">
        <v>1348</v>
      </c>
      <c r="E79" s="29">
        <v>2156</v>
      </c>
      <c r="F79" s="109">
        <v>2764</v>
      </c>
      <c r="G79" s="18">
        <v>3561</v>
      </c>
      <c r="H79" s="18">
        <v>1962</v>
      </c>
      <c r="I79" s="18">
        <v>2055</v>
      </c>
      <c r="J79" s="18">
        <v>3518</v>
      </c>
      <c r="K79" s="18">
        <v>4490</v>
      </c>
      <c r="L79" s="111">
        <v>3154</v>
      </c>
    </row>
    <row r="80" spans="1:12" s="3" customFormat="1" x14ac:dyDescent="0.2">
      <c r="A80" s="3" t="s">
        <v>75</v>
      </c>
      <c r="B80" s="29">
        <v>184</v>
      </c>
      <c r="C80" s="29">
        <v>203</v>
      </c>
      <c r="D80" s="29">
        <v>159</v>
      </c>
      <c r="E80" s="29">
        <v>36</v>
      </c>
      <c r="F80" s="109">
        <v>24</v>
      </c>
      <c r="G80" s="18">
        <v>29</v>
      </c>
      <c r="H80" s="18">
        <v>9</v>
      </c>
      <c r="I80" s="18">
        <v>243</v>
      </c>
      <c r="J80" s="18">
        <v>421</v>
      </c>
      <c r="K80" s="18">
        <v>85</v>
      </c>
      <c r="L80" s="111">
        <v>24</v>
      </c>
    </row>
    <row r="81" spans="1:12" s="3" customFormat="1" x14ac:dyDescent="0.2">
      <c r="A81" s="3" t="s">
        <v>203</v>
      </c>
      <c r="B81" s="29"/>
      <c r="C81" s="29"/>
      <c r="D81" s="29" t="s">
        <v>213</v>
      </c>
      <c r="E81" s="29">
        <v>99</v>
      </c>
      <c r="F81" s="109">
        <v>108</v>
      </c>
      <c r="G81" s="18">
        <v>14</v>
      </c>
      <c r="H81" s="18" t="s">
        <v>213</v>
      </c>
      <c r="I81" s="18">
        <v>2</v>
      </c>
      <c r="J81" s="18">
        <v>1</v>
      </c>
      <c r="K81" s="18" t="s">
        <v>213</v>
      </c>
      <c r="L81" s="18" t="s">
        <v>213</v>
      </c>
    </row>
    <row r="82" spans="1:12" s="3" customFormat="1" x14ac:dyDescent="0.2">
      <c r="A82" s="3" t="s">
        <v>76</v>
      </c>
      <c r="B82" s="29">
        <v>1</v>
      </c>
      <c r="C82" s="29">
        <v>4</v>
      </c>
      <c r="D82" s="29">
        <v>4</v>
      </c>
      <c r="E82" s="29">
        <v>1</v>
      </c>
      <c r="F82" s="29" t="s">
        <v>213</v>
      </c>
      <c r="G82" s="18">
        <v>7</v>
      </c>
      <c r="H82" s="18" t="s">
        <v>213</v>
      </c>
      <c r="I82" s="18" t="s">
        <v>213</v>
      </c>
      <c r="J82" s="18" t="s">
        <v>213</v>
      </c>
      <c r="K82" s="18" t="s">
        <v>213</v>
      </c>
      <c r="L82" s="18" t="s">
        <v>213</v>
      </c>
    </row>
    <row r="83" spans="1:12" s="3" customFormat="1" x14ac:dyDescent="0.2">
      <c r="A83" s="3" t="s">
        <v>77</v>
      </c>
      <c r="B83" s="29">
        <v>162406</v>
      </c>
      <c r="C83" s="29">
        <v>149411</v>
      </c>
      <c r="D83" s="29">
        <v>149558</v>
      </c>
      <c r="E83" s="29">
        <v>220244</v>
      </c>
      <c r="F83" s="109">
        <v>224459</v>
      </c>
      <c r="G83" s="18">
        <v>262767</v>
      </c>
      <c r="H83" s="18">
        <v>145625</v>
      </c>
      <c r="I83" s="18">
        <v>151773</v>
      </c>
      <c r="J83" s="18">
        <v>107109</v>
      </c>
      <c r="K83" s="18">
        <v>84607</v>
      </c>
      <c r="L83" s="111">
        <v>76960</v>
      </c>
    </row>
    <row r="84" spans="1:12" s="3" customFormat="1" x14ac:dyDescent="0.2">
      <c r="A84" s="3" t="s">
        <v>78</v>
      </c>
      <c r="B84" s="29">
        <v>335</v>
      </c>
      <c r="C84" s="29">
        <v>279</v>
      </c>
      <c r="D84" s="29">
        <v>321</v>
      </c>
      <c r="E84" s="29">
        <v>292</v>
      </c>
      <c r="F84" s="109">
        <v>252</v>
      </c>
      <c r="G84" s="18">
        <v>250</v>
      </c>
      <c r="H84" s="18">
        <v>107</v>
      </c>
      <c r="I84" s="18">
        <v>2</v>
      </c>
      <c r="J84" s="18">
        <v>4</v>
      </c>
      <c r="K84" s="18" t="s">
        <v>213</v>
      </c>
      <c r="L84" s="111">
        <v>5</v>
      </c>
    </row>
    <row r="85" spans="1:12" s="3" customFormat="1" x14ac:dyDescent="0.2">
      <c r="A85" s="23" t="s">
        <v>79</v>
      </c>
      <c r="B85" s="29">
        <v>43</v>
      </c>
      <c r="C85" s="29">
        <v>66</v>
      </c>
      <c r="D85" s="29">
        <v>16</v>
      </c>
      <c r="E85" s="29">
        <v>6</v>
      </c>
      <c r="F85" s="109">
        <v>82</v>
      </c>
      <c r="G85" s="18">
        <v>521</v>
      </c>
      <c r="H85" s="18">
        <v>531</v>
      </c>
      <c r="I85" s="18">
        <v>373</v>
      </c>
      <c r="J85" s="18">
        <v>561</v>
      </c>
      <c r="K85" s="18">
        <v>654</v>
      </c>
      <c r="L85" s="111">
        <v>567</v>
      </c>
    </row>
    <row r="86" spans="1:12" s="3" customFormat="1" x14ac:dyDescent="0.2">
      <c r="A86" s="3" t="s">
        <v>80</v>
      </c>
      <c r="B86" s="29">
        <v>25</v>
      </c>
      <c r="C86" s="29">
        <v>16</v>
      </c>
      <c r="D86" s="29">
        <v>15</v>
      </c>
      <c r="E86" s="29">
        <v>11</v>
      </c>
      <c r="F86" s="109">
        <v>8</v>
      </c>
      <c r="G86" s="18">
        <v>3</v>
      </c>
      <c r="H86" s="18">
        <v>7</v>
      </c>
      <c r="I86" s="18">
        <v>8</v>
      </c>
      <c r="J86" s="18">
        <v>6</v>
      </c>
      <c r="K86" s="18">
        <v>4</v>
      </c>
      <c r="L86" s="111">
        <v>6</v>
      </c>
    </row>
    <row r="87" spans="1:12" s="3" customFormat="1" x14ac:dyDescent="0.2">
      <c r="A87" s="12" t="s">
        <v>81</v>
      </c>
      <c r="B87" s="29">
        <v>408</v>
      </c>
      <c r="C87" s="29">
        <v>1014</v>
      </c>
      <c r="D87" s="29">
        <v>292</v>
      </c>
      <c r="E87" s="29">
        <f>(1+1+7+25+5+4+91+23+6+3)</f>
        <v>166</v>
      </c>
      <c r="F87" s="30">
        <v>40</v>
      </c>
      <c r="G87" s="18">
        <f>(4+38+1+35+1+1+19+1+1487)</f>
        <v>1587</v>
      </c>
      <c r="H87" s="18">
        <v>73</v>
      </c>
      <c r="I87" s="18">
        <f>(2+2+5+5+3+1+16+9+2+2+24)</f>
        <v>71</v>
      </c>
      <c r="J87" s="18">
        <v>104</v>
      </c>
      <c r="K87" s="18">
        <v>4438</v>
      </c>
      <c r="L87" s="111">
        <v>2933</v>
      </c>
    </row>
    <row r="88" spans="1:12" s="3" customFormat="1" x14ac:dyDescent="0.2">
      <c r="A88" s="12"/>
      <c r="B88" s="12"/>
      <c r="C88" s="12"/>
      <c r="D88" s="12"/>
      <c r="E88" s="12"/>
      <c r="F88" s="12"/>
      <c r="G88" s="12"/>
      <c r="I88" s="4"/>
      <c r="J88" s="18"/>
      <c r="K88" s="11"/>
      <c r="L88" s="11"/>
    </row>
    <row r="89" spans="1:12" s="3" customFormat="1" x14ac:dyDescent="0.2">
      <c r="A89" s="12"/>
      <c r="B89" s="12"/>
      <c r="C89" s="12"/>
      <c r="D89" s="12"/>
      <c r="E89" s="12"/>
      <c r="F89" s="12"/>
      <c r="G89" s="12"/>
      <c r="I89" s="4"/>
      <c r="J89" s="18"/>
      <c r="K89" s="11"/>
      <c r="L89" s="11"/>
    </row>
    <row r="90" spans="1:12" s="3" customFormat="1" x14ac:dyDescent="0.2">
      <c r="A90" s="12"/>
      <c r="B90" s="12"/>
      <c r="C90" s="12"/>
      <c r="D90" s="12"/>
      <c r="E90" s="12"/>
      <c r="F90" s="12"/>
      <c r="G90" s="12"/>
      <c r="I90" s="4"/>
      <c r="J90" s="18"/>
      <c r="K90" s="11"/>
      <c r="L90" s="11"/>
    </row>
    <row r="91" spans="1:12" s="3" customFormat="1" x14ac:dyDescent="0.2">
      <c r="A91" s="12"/>
      <c r="B91" s="12"/>
      <c r="C91" s="12"/>
      <c r="D91" s="12"/>
      <c r="E91" s="12"/>
      <c r="F91" s="12"/>
      <c r="G91" s="12"/>
      <c r="I91" s="4"/>
      <c r="J91" s="18"/>
      <c r="K91" s="11"/>
      <c r="L91" s="11"/>
    </row>
    <row r="92" spans="1:12" s="3" customFormat="1" x14ac:dyDescent="0.2">
      <c r="A92" s="12"/>
      <c r="B92" s="12"/>
      <c r="C92" s="12"/>
      <c r="D92" s="12"/>
      <c r="E92" s="12"/>
      <c r="F92" s="12"/>
      <c r="G92" s="12"/>
      <c r="I92" s="4"/>
      <c r="J92" s="18"/>
      <c r="K92" s="11"/>
      <c r="L92" s="11"/>
    </row>
    <row r="93" spans="1:12" s="3" customFormat="1" x14ac:dyDescent="0.2">
      <c r="A93" s="12"/>
      <c r="B93" s="12"/>
      <c r="C93" s="12"/>
      <c r="D93" s="12"/>
      <c r="E93" s="12"/>
      <c r="F93" s="12"/>
      <c r="G93" s="12"/>
      <c r="I93" s="4"/>
      <c r="J93" s="18"/>
      <c r="K93" s="11"/>
      <c r="L93" s="11"/>
    </row>
    <row r="94" spans="1:12" s="3" customFormat="1" x14ac:dyDescent="0.2">
      <c r="A94" s="12"/>
      <c r="B94" s="12"/>
      <c r="C94" s="12"/>
      <c r="D94" s="12"/>
      <c r="E94" s="12"/>
      <c r="F94" s="12"/>
      <c r="G94" s="12"/>
      <c r="I94" s="4"/>
      <c r="J94" s="18"/>
      <c r="K94" s="11"/>
      <c r="L94" s="11"/>
    </row>
    <row r="95" spans="1:12" s="3" customFormat="1" x14ac:dyDescent="0.2">
      <c r="A95" s="12"/>
      <c r="B95" s="12"/>
      <c r="C95" s="12"/>
      <c r="D95" s="12"/>
      <c r="E95" s="12"/>
      <c r="F95" s="12"/>
      <c r="G95" s="12"/>
      <c r="I95" s="4"/>
      <c r="J95" s="18"/>
      <c r="K95" s="11"/>
      <c r="L95" s="11"/>
    </row>
    <row r="96" spans="1:12" s="3" customFormat="1" x14ac:dyDescent="0.2">
      <c r="A96" s="12"/>
      <c r="B96" s="12"/>
      <c r="C96" s="12"/>
      <c r="D96" s="12"/>
      <c r="E96" s="12"/>
      <c r="F96" s="12"/>
      <c r="G96" s="12"/>
      <c r="I96" s="4"/>
      <c r="J96" s="18"/>
      <c r="K96" s="11"/>
      <c r="L96" s="11"/>
    </row>
    <row r="97" spans="1:12" s="3" customFormat="1" x14ac:dyDescent="0.2">
      <c r="A97" s="12"/>
      <c r="B97" s="12"/>
      <c r="C97" s="12"/>
      <c r="D97" s="12"/>
      <c r="E97" s="12"/>
      <c r="F97" s="12"/>
      <c r="G97" s="12"/>
      <c r="I97" s="4"/>
      <c r="J97" s="18"/>
      <c r="K97" s="11"/>
      <c r="L97" s="11"/>
    </row>
    <row r="98" spans="1:12" s="3" customFormat="1" x14ac:dyDescent="0.2">
      <c r="A98" s="12"/>
      <c r="B98" s="12"/>
      <c r="C98" s="12"/>
      <c r="D98" s="12"/>
      <c r="E98" s="12"/>
      <c r="F98" s="12"/>
      <c r="G98" s="12"/>
      <c r="I98" s="4"/>
      <c r="J98" s="18"/>
      <c r="K98" s="11"/>
      <c r="L98" s="11"/>
    </row>
    <row r="99" spans="1:12" s="3" customFormat="1" x14ac:dyDescent="0.2">
      <c r="A99" s="12"/>
      <c r="B99" s="12"/>
      <c r="C99" s="12"/>
      <c r="D99" s="12"/>
      <c r="E99" s="12"/>
      <c r="F99" s="12"/>
      <c r="G99" s="12"/>
      <c r="I99" s="4"/>
      <c r="J99" s="18"/>
      <c r="K99" s="11"/>
      <c r="L99" s="11"/>
    </row>
    <row r="100" spans="1:12" s="3" customFormat="1" x14ac:dyDescent="0.2">
      <c r="A100" s="12"/>
      <c r="B100" s="12"/>
      <c r="C100" s="12"/>
      <c r="D100" s="12"/>
      <c r="E100" s="12"/>
      <c r="F100" s="12"/>
      <c r="G100" s="12"/>
      <c r="I100" s="4"/>
      <c r="J100" s="18"/>
      <c r="K100" s="11"/>
      <c r="L100" s="11"/>
    </row>
    <row r="101" spans="1:12" s="3" customFormat="1" x14ac:dyDescent="0.2">
      <c r="A101" s="12"/>
      <c r="B101" s="12"/>
      <c r="C101" s="12"/>
      <c r="D101" s="12"/>
      <c r="E101" s="12"/>
      <c r="F101" s="12"/>
      <c r="G101" s="12"/>
      <c r="I101" s="4"/>
      <c r="J101" s="18"/>
      <c r="K101" s="11"/>
      <c r="L101" s="11"/>
    </row>
    <row r="102" spans="1:12" s="13" customFormat="1" ht="12" x14ac:dyDescent="0.25">
      <c r="A102" s="115" t="s">
        <v>222</v>
      </c>
      <c r="B102" s="115"/>
      <c r="C102" s="115"/>
      <c r="D102" s="115"/>
      <c r="E102" s="115"/>
      <c r="F102" s="115"/>
      <c r="G102" s="115"/>
      <c r="H102" s="115"/>
      <c r="I102" s="115"/>
      <c r="J102" s="115"/>
      <c r="K102" s="25"/>
      <c r="L102" s="25"/>
    </row>
    <row r="103" spans="1:12" s="3" customFormat="1" ht="10.199999999999999" x14ac:dyDescent="0.2">
      <c r="A103" s="118" t="s">
        <v>0</v>
      </c>
      <c r="B103" s="118"/>
      <c r="C103" s="118"/>
      <c r="D103" s="118"/>
      <c r="E103" s="118"/>
      <c r="F103" s="118"/>
      <c r="G103" s="118"/>
      <c r="H103" s="118"/>
      <c r="I103" s="118"/>
      <c r="J103" s="118"/>
      <c r="K103" s="118"/>
      <c r="L103" s="11"/>
    </row>
    <row r="104" spans="1:12" s="3" customFormat="1" x14ac:dyDescent="0.2">
      <c r="I104" s="4"/>
      <c r="J104" s="18"/>
      <c r="K104" s="11"/>
      <c r="L104" s="11"/>
    </row>
    <row r="105" spans="1:12" s="7" customFormat="1" x14ac:dyDescent="0.2">
      <c r="A105" s="5" t="s">
        <v>1</v>
      </c>
      <c r="B105" s="6">
        <v>2007</v>
      </c>
      <c r="C105" s="6">
        <v>2008</v>
      </c>
      <c r="D105" s="5">
        <v>2009</v>
      </c>
      <c r="E105" s="28">
        <v>2010</v>
      </c>
      <c r="F105" s="28">
        <v>2011</v>
      </c>
      <c r="G105" s="6">
        <v>2012</v>
      </c>
      <c r="H105" s="6">
        <v>2013</v>
      </c>
      <c r="I105" s="6">
        <v>2014</v>
      </c>
      <c r="J105" s="6">
        <v>2015</v>
      </c>
      <c r="K105" s="6">
        <v>2016</v>
      </c>
      <c r="L105" s="6">
        <v>2017</v>
      </c>
    </row>
    <row r="106" spans="1:12" s="3" customFormat="1" x14ac:dyDescent="0.2">
      <c r="B106" s="4"/>
      <c r="C106" s="4"/>
      <c r="E106" s="18"/>
      <c r="F106" s="18"/>
      <c r="G106" s="11"/>
      <c r="H106" s="11"/>
      <c r="I106" s="11"/>
      <c r="J106" s="11"/>
      <c r="K106" s="11"/>
      <c r="L106" s="11"/>
    </row>
    <row r="107" spans="1:12" s="7" customFormat="1" x14ac:dyDescent="0.2">
      <c r="A107" s="8" t="s">
        <v>82</v>
      </c>
      <c r="B107" s="9">
        <f>SUM(B108:B130)</f>
        <v>20453</v>
      </c>
      <c r="C107" s="9">
        <f>SUM(C108:C130)</f>
        <v>24037</v>
      </c>
      <c r="D107" s="9">
        <f>SUM(D108:D130)</f>
        <v>25290</v>
      </c>
      <c r="E107" s="22">
        <v>25033</v>
      </c>
      <c r="F107" s="22">
        <f>SUM(F108:F130)</f>
        <v>30078</v>
      </c>
      <c r="G107" s="9">
        <v>36977</v>
      </c>
      <c r="H107" s="9">
        <v>37460</v>
      </c>
      <c r="I107" s="9">
        <v>35771</v>
      </c>
      <c r="J107" s="9">
        <v>36033</v>
      </c>
      <c r="K107" s="9">
        <f>SUM(K108:K130)</f>
        <v>34569</v>
      </c>
      <c r="L107" s="9">
        <f>SUM(L108:L130)</f>
        <v>33765</v>
      </c>
    </row>
    <row r="108" spans="1:12" s="3" customFormat="1" x14ac:dyDescent="0.2">
      <c r="A108" s="3" t="s">
        <v>83</v>
      </c>
      <c r="B108" s="29" t="s">
        <v>213</v>
      </c>
      <c r="C108" s="29" t="s">
        <v>213</v>
      </c>
      <c r="D108" s="29" t="s">
        <v>213</v>
      </c>
      <c r="E108" s="29" t="s">
        <v>213</v>
      </c>
      <c r="F108" s="29" t="s">
        <v>213</v>
      </c>
      <c r="G108" s="18" t="s">
        <v>213</v>
      </c>
      <c r="H108" s="18" t="s">
        <v>213</v>
      </c>
      <c r="I108" s="18" t="s">
        <v>213</v>
      </c>
      <c r="J108" s="18" t="s">
        <v>213</v>
      </c>
      <c r="K108" s="18" t="s">
        <v>213</v>
      </c>
      <c r="L108" s="111" t="s">
        <v>213</v>
      </c>
    </row>
    <row r="109" spans="1:12" s="3" customFormat="1" x14ac:dyDescent="0.2">
      <c r="A109" s="3" t="s">
        <v>84</v>
      </c>
      <c r="B109" s="29">
        <v>4481</v>
      </c>
      <c r="C109" s="29">
        <v>4556</v>
      </c>
      <c r="D109" s="29">
        <v>4640</v>
      </c>
      <c r="E109" s="29">
        <v>4795</v>
      </c>
      <c r="F109" s="29">
        <v>4503</v>
      </c>
      <c r="G109" s="18">
        <v>4311</v>
      </c>
      <c r="H109" s="18">
        <v>4583</v>
      </c>
      <c r="I109" s="18">
        <v>4597</v>
      </c>
      <c r="J109" s="18">
        <v>4294</v>
      </c>
      <c r="K109" s="18">
        <v>4854</v>
      </c>
      <c r="L109" s="111">
        <v>4640</v>
      </c>
    </row>
    <row r="110" spans="1:12" s="3" customFormat="1" x14ac:dyDescent="0.2">
      <c r="A110" s="3" t="s">
        <v>85</v>
      </c>
      <c r="B110" s="29">
        <v>3</v>
      </c>
      <c r="C110" s="29">
        <v>4</v>
      </c>
      <c r="D110" s="29" t="s">
        <v>213</v>
      </c>
      <c r="E110" s="29" t="s">
        <v>213</v>
      </c>
      <c r="F110" s="29" t="s">
        <v>213</v>
      </c>
      <c r="G110" s="18">
        <v>9</v>
      </c>
      <c r="H110" s="18">
        <v>5</v>
      </c>
      <c r="I110" s="18">
        <v>8</v>
      </c>
      <c r="J110" s="18">
        <v>12</v>
      </c>
      <c r="K110" s="18">
        <v>10</v>
      </c>
      <c r="L110" s="111">
        <v>14</v>
      </c>
    </row>
    <row r="111" spans="1:12" s="3" customFormat="1" x14ac:dyDescent="0.2">
      <c r="A111" s="3" t="s">
        <v>202</v>
      </c>
      <c r="B111" s="29">
        <v>4</v>
      </c>
      <c r="C111" s="29">
        <v>43</v>
      </c>
      <c r="D111" s="29" t="s">
        <v>213</v>
      </c>
      <c r="E111" s="29">
        <v>4</v>
      </c>
      <c r="F111" s="29">
        <v>32</v>
      </c>
      <c r="G111" s="18">
        <v>2</v>
      </c>
      <c r="H111" s="18">
        <v>25</v>
      </c>
      <c r="I111" s="18" t="s">
        <v>213</v>
      </c>
      <c r="J111" s="18">
        <v>14</v>
      </c>
      <c r="K111" s="18">
        <v>17</v>
      </c>
      <c r="L111" s="111">
        <v>37</v>
      </c>
    </row>
    <row r="112" spans="1:12" s="3" customFormat="1" x14ac:dyDescent="0.2">
      <c r="A112" s="3" t="s">
        <v>86</v>
      </c>
      <c r="B112" s="29">
        <v>2865</v>
      </c>
      <c r="C112" s="29">
        <v>3241</v>
      </c>
      <c r="D112" s="29">
        <v>3022</v>
      </c>
      <c r="E112" s="29">
        <v>3441</v>
      </c>
      <c r="F112" s="29">
        <v>5676</v>
      </c>
      <c r="G112" s="18">
        <v>6490</v>
      </c>
      <c r="H112" s="18">
        <v>5743</v>
      </c>
      <c r="I112" s="18">
        <v>6207</v>
      </c>
      <c r="J112" s="18">
        <v>5973</v>
      </c>
      <c r="K112" s="18">
        <v>5583</v>
      </c>
      <c r="L112" s="111">
        <v>5024</v>
      </c>
    </row>
    <row r="113" spans="1:12" s="3" customFormat="1" x14ac:dyDescent="0.2">
      <c r="A113" s="3" t="s">
        <v>87</v>
      </c>
      <c r="B113" s="29">
        <v>1</v>
      </c>
      <c r="C113" s="29" t="s">
        <v>213</v>
      </c>
      <c r="D113" s="29" t="s">
        <v>213</v>
      </c>
      <c r="E113" s="29" t="s">
        <v>213</v>
      </c>
      <c r="F113" s="29" t="s">
        <v>213</v>
      </c>
      <c r="G113" s="18" t="s">
        <v>213</v>
      </c>
      <c r="H113" s="18" t="s">
        <v>213</v>
      </c>
      <c r="I113" s="18" t="s">
        <v>213</v>
      </c>
      <c r="J113" s="18">
        <v>2</v>
      </c>
      <c r="K113" s="18" t="s">
        <v>213</v>
      </c>
      <c r="L113" s="111" t="s">
        <v>213</v>
      </c>
    </row>
    <row r="114" spans="1:12" s="3" customFormat="1" x14ac:dyDescent="0.2">
      <c r="A114" s="3" t="s">
        <v>88</v>
      </c>
      <c r="B114" s="29">
        <v>1773</v>
      </c>
      <c r="C114" s="29">
        <v>2078</v>
      </c>
      <c r="D114" s="29">
        <v>2145</v>
      </c>
      <c r="E114" s="29">
        <v>1952</v>
      </c>
      <c r="F114" s="29">
        <v>2336</v>
      </c>
      <c r="G114" s="18">
        <v>2545</v>
      </c>
      <c r="H114" s="18">
        <v>2959</v>
      </c>
      <c r="I114" s="18">
        <v>2251</v>
      </c>
      <c r="J114" s="18">
        <v>1966</v>
      </c>
      <c r="K114" s="18">
        <v>3614</v>
      </c>
      <c r="L114" s="111">
        <v>6132</v>
      </c>
    </row>
    <row r="115" spans="1:12" s="3" customFormat="1" x14ac:dyDescent="0.2">
      <c r="A115" s="3" t="s">
        <v>89</v>
      </c>
      <c r="B115" s="29">
        <v>214</v>
      </c>
      <c r="C115" s="29">
        <v>157</v>
      </c>
      <c r="D115" s="29">
        <v>94</v>
      </c>
      <c r="E115" s="29">
        <v>86</v>
      </c>
      <c r="F115" s="29">
        <v>41</v>
      </c>
      <c r="G115" s="18">
        <v>87</v>
      </c>
      <c r="H115" s="18">
        <v>93</v>
      </c>
      <c r="I115" s="18">
        <v>71</v>
      </c>
      <c r="J115" s="18">
        <v>103</v>
      </c>
      <c r="K115" s="18">
        <v>29</v>
      </c>
      <c r="L115" s="111">
        <v>59</v>
      </c>
    </row>
    <row r="116" spans="1:12" s="3" customFormat="1" x14ac:dyDescent="0.2">
      <c r="A116" s="3" t="s">
        <v>90</v>
      </c>
      <c r="B116" s="29">
        <v>82</v>
      </c>
      <c r="C116" s="29">
        <v>18</v>
      </c>
      <c r="D116" s="29">
        <v>60</v>
      </c>
      <c r="E116" s="29">
        <v>77</v>
      </c>
      <c r="F116" s="29">
        <v>18</v>
      </c>
      <c r="G116" s="18" t="s">
        <v>213</v>
      </c>
      <c r="H116" s="18" t="s">
        <v>213</v>
      </c>
      <c r="I116" s="18" t="s">
        <v>213</v>
      </c>
      <c r="J116" s="18" t="s">
        <v>213</v>
      </c>
      <c r="K116" s="18" t="s">
        <v>213</v>
      </c>
      <c r="L116" s="111" t="s">
        <v>213</v>
      </c>
    </row>
    <row r="117" spans="1:12" s="3" customFormat="1" x14ac:dyDescent="0.2">
      <c r="A117" s="3" t="s">
        <v>91</v>
      </c>
      <c r="B117" s="29">
        <v>233</v>
      </c>
      <c r="C117" s="29">
        <v>144</v>
      </c>
      <c r="D117" s="29">
        <v>205</v>
      </c>
      <c r="E117" s="29">
        <v>109</v>
      </c>
      <c r="F117" s="29">
        <v>190</v>
      </c>
      <c r="G117" s="18">
        <v>268</v>
      </c>
      <c r="H117" s="18">
        <v>394</v>
      </c>
      <c r="I117" s="18">
        <v>667</v>
      </c>
      <c r="J117" s="18">
        <v>1071</v>
      </c>
      <c r="K117" s="18">
        <v>1927</v>
      </c>
      <c r="L117" s="111">
        <v>1794</v>
      </c>
    </row>
    <row r="118" spans="1:12" s="3" customFormat="1" x14ac:dyDescent="0.2">
      <c r="A118" s="3" t="s">
        <v>92</v>
      </c>
      <c r="B118" s="29">
        <v>4150</v>
      </c>
      <c r="C118" s="29">
        <v>5449</v>
      </c>
      <c r="D118" s="29">
        <v>4222</v>
      </c>
      <c r="E118" s="29">
        <v>4279</v>
      </c>
      <c r="F118" s="29">
        <v>4704</v>
      </c>
      <c r="G118" s="18">
        <v>3832</v>
      </c>
      <c r="H118" s="18">
        <v>3808</v>
      </c>
      <c r="I118" s="18">
        <v>4106</v>
      </c>
      <c r="J118" s="18">
        <v>3905</v>
      </c>
      <c r="K118" s="18">
        <v>4316</v>
      </c>
      <c r="L118" s="111">
        <v>4872</v>
      </c>
    </row>
    <row r="119" spans="1:12" s="3" customFormat="1" x14ac:dyDescent="0.2">
      <c r="A119" s="3" t="s">
        <v>93</v>
      </c>
      <c r="B119" s="29">
        <v>186</v>
      </c>
      <c r="C119" s="29">
        <v>312</v>
      </c>
      <c r="D119" s="29">
        <v>301</v>
      </c>
      <c r="E119" s="29">
        <v>195</v>
      </c>
      <c r="F119" s="29">
        <v>328</v>
      </c>
      <c r="G119" s="18">
        <v>260</v>
      </c>
      <c r="H119" s="18">
        <v>167</v>
      </c>
      <c r="I119" s="18">
        <v>110</v>
      </c>
      <c r="J119" s="18">
        <v>147</v>
      </c>
      <c r="K119" s="18">
        <v>127</v>
      </c>
      <c r="L119" s="111">
        <v>101</v>
      </c>
    </row>
    <row r="120" spans="1:12" s="3" customFormat="1" x14ac:dyDescent="0.2">
      <c r="A120" s="3" t="s">
        <v>95</v>
      </c>
      <c r="B120" s="29">
        <v>13</v>
      </c>
      <c r="C120" s="29">
        <v>30</v>
      </c>
      <c r="D120" s="29">
        <v>49</v>
      </c>
      <c r="E120" s="29">
        <v>50</v>
      </c>
      <c r="F120" s="29">
        <v>53</v>
      </c>
      <c r="G120" s="18">
        <v>55</v>
      </c>
      <c r="H120" s="18">
        <v>54</v>
      </c>
      <c r="I120" s="18">
        <v>30</v>
      </c>
      <c r="J120" s="18">
        <v>17</v>
      </c>
      <c r="K120" s="18">
        <v>10</v>
      </c>
      <c r="L120" s="111">
        <v>19</v>
      </c>
    </row>
    <row r="121" spans="1:12" s="3" customFormat="1" x14ac:dyDescent="0.2">
      <c r="A121" s="3" t="s">
        <v>96</v>
      </c>
      <c r="B121" s="29">
        <v>349</v>
      </c>
      <c r="C121" s="29">
        <v>512</v>
      </c>
      <c r="D121" s="29">
        <v>796</v>
      </c>
      <c r="E121" s="29">
        <v>292</v>
      </c>
      <c r="F121" s="29">
        <v>498</v>
      </c>
      <c r="G121" s="18">
        <v>620</v>
      </c>
      <c r="H121" s="18">
        <v>655</v>
      </c>
      <c r="I121" s="18">
        <v>525</v>
      </c>
      <c r="J121" s="18">
        <v>548</v>
      </c>
      <c r="K121" s="18">
        <v>443</v>
      </c>
      <c r="L121" s="111">
        <v>274</v>
      </c>
    </row>
    <row r="122" spans="1:12" s="3" customFormat="1" x14ac:dyDescent="0.2">
      <c r="A122" s="3" t="s">
        <v>97</v>
      </c>
      <c r="B122" s="29">
        <v>29</v>
      </c>
      <c r="C122" s="29">
        <v>66</v>
      </c>
      <c r="D122" s="29">
        <v>122</v>
      </c>
      <c r="E122" s="29">
        <v>116</v>
      </c>
      <c r="F122" s="29">
        <v>302</v>
      </c>
      <c r="G122" s="18">
        <v>141</v>
      </c>
      <c r="H122" s="18">
        <v>129</v>
      </c>
      <c r="I122" s="18">
        <v>99</v>
      </c>
      <c r="J122" s="18">
        <v>130</v>
      </c>
      <c r="K122" s="18">
        <v>126</v>
      </c>
      <c r="L122" s="111">
        <v>136</v>
      </c>
    </row>
    <row r="123" spans="1:12" s="3" customFormat="1" x14ac:dyDescent="0.2">
      <c r="A123" s="3" t="s">
        <v>98</v>
      </c>
      <c r="B123" s="29">
        <v>96</v>
      </c>
      <c r="C123" s="29">
        <v>159</v>
      </c>
      <c r="D123" s="29">
        <v>231</v>
      </c>
      <c r="E123" s="29">
        <v>129</v>
      </c>
      <c r="F123" s="29">
        <v>153</v>
      </c>
      <c r="G123" s="18">
        <v>188</v>
      </c>
      <c r="H123" s="18">
        <v>246</v>
      </c>
      <c r="I123" s="18">
        <v>299</v>
      </c>
      <c r="J123" s="18">
        <v>184</v>
      </c>
      <c r="K123" s="18">
        <v>182</v>
      </c>
      <c r="L123" s="111">
        <v>81</v>
      </c>
    </row>
    <row r="124" spans="1:12" s="3" customFormat="1" x14ac:dyDescent="0.2">
      <c r="A124" s="3" t="s">
        <v>100</v>
      </c>
      <c r="B124" s="29">
        <v>50</v>
      </c>
      <c r="C124" s="29">
        <v>57</v>
      </c>
      <c r="D124" s="29">
        <v>58</v>
      </c>
      <c r="E124" s="29">
        <v>72</v>
      </c>
      <c r="F124" s="29">
        <v>106</v>
      </c>
      <c r="G124" s="18">
        <v>100</v>
      </c>
      <c r="H124" s="18">
        <v>88</v>
      </c>
      <c r="I124" s="18">
        <v>90</v>
      </c>
      <c r="J124" s="18">
        <v>91</v>
      </c>
      <c r="K124" s="18">
        <v>89</v>
      </c>
      <c r="L124" s="111">
        <v>67</v>
      </c>
    </row>
    <row r="125" spans="1:12" s="3" customFormat="1" x14ac:dyDescent="0.2">
      <c r="A125" s="3" t="s">
        <v>101</v>
      </c>
      <c r="B125" s="29">
        <v>2</v>
      </c>
      <c r="C125" s="29" t="s">
        <v>213</v>
      </c>
      <c r="D125" s="29" t="s">
        <v>213</v>
      </c>
      <c r="E125" s="29" t="s">
        <v>213</v>
      </c>
      <c r="F125" s="29" t="s">
        <v>213</v>
      </c>
      <c r="G125" s="18" t="s">
        <v>213</v>
      </c>
      <c r="H125" s="18">
        <v>5</v>
      </c>
      <c r="I125" s="18" t="s">
        <v>213</v>
      </c>
      <c r="J125" s="18">
        <v>1</v>
      </c>
      <c r="K125" s="18" t="s">
        <v>213</v>
      </c>
      <c r="L125" s="111" t="s">
        <v>213</v>
      </c>
    </row>
    <row r="126" spans="1:12" s="3" customFormat="1" x14ac:dyDescent="0.2">
      <c r="A126" s="3" t="s">
        <v>102</v>
      </c>
      <c r="B126" s="29">
        <v>4197</v>
      </c>
      <c r="C126" s="29">
        <v>5552</v>
      </c>
      <c r="D126" s="29">
        <v>5391</v>
      </c>
      <c r="E126" s="29">
        <v>5128</v>
      </c>
      <c r="F126" s="29">
        <v>4734</v>
      </c>
      <c r="G126" s="18">
        <v>3991</v>
      </c>
      <c r="H126" s="18">
        <v>3010</v>
      </c>
      <c r="I126" s="18">
        <v>2843</v>
      </c>
      <c r="J126" s="18">
        <v>4517</v>
      </c>
      <c r="K126" s="18">
        <v>4116</v>
      </c>
      <c r="L126" s="111">
        <v>3941</v>
      </c>
    </row>
    <row r="127" spans="1:12" s="3" customFormat="1" x14ac:dyDescent="0.2">
      <c r="A127" s="3" t="s">
        <v>103</v>
      </c>
      <c r="B127" s="29">
        <v>1545</v>
      </c>
      <c r="C127" s="29">
        <v>1336</v>
      </c>
      <c r="D127" s="29">
        <v>3327</v>
      </c>
      <c r="E127" s="29">
        <v>2786</v>
      </c>
      <c r="F127" s="29">
        <v>4473</v>
      </c>
      <c r="G127" s="18">
        <v>6785</v>
      </c>
      <c r="H127" s="18">
        <v>8404</v>
      </c>
      <c r="I127" s="18">
        <v>8191</v>
      </c>
      <c r="J127" s="18">
        <v>6267</v>
      </c>
      <c r="K127" s="18">
        <v>5413</v>
      </c>
      <c r="L127" s="111">
        <v>5661</v>
      </c>
    </row>
    <row r="128" spans="1:12" s="3" customFormat="1" x14ac:dyDescent="0.2">
      <c r="A128" s="3" t="s">
        <v>104</v>
      </c>
      <c r="B128" s="29">
        <v>12</v>
      </c>
      <c r="C128" s="29">
        <v>139</v>
      </c>
      <c r="D128" s="29">
        <v>306</v>
      </c>
      <c r="E128" s="29">
        <v>1417</v>
      </c>
      <c r="F128" s="29">
        <v>450</v>
      </c>
      <c r="G128" s="18">
        <v>75</v>
      </c>
      <c r="H128" s="18">
        <v>47</v>
      </c>
      <c r="I128" s="18">
        <v>303</v>
      </c>
      <c r="J128" s="18">
        <v>819</v>
      </c>
      <c r="K128" s="18">
        <v>189</v>
      </c>
      <c r="L128" s="111">
        <v>647</v>
      </c>
    </row>
    <row r="129" spans="1:12" s="3" customFormat="1" x14ac:dyDescent="0.2">
      <c r="A129" s="3" t="s">
        <v>105</v>
      </c>
      <c r="B129" s="29">
        <v>158</v>
      </c>
      <c r="C129" s="29">
        <v>176</v>
      </c>
      <c r="D129" s="29">
        <v>312</v>
      </c>
      <c r="E129" s="29">
        <v>96</v>
      </c>
      <c r="F129" s="29">
        <v>190</v>
      </c>
      <c r="G129" s="18">
        <v>168</v>
      </c>
      <c r="H129" s="18">
        <v>111</v>
      </c>
      <c r="I129" s="18">
        <v>132</v>
      </c>
      <c r="J129" s="18">
        <v>175</v>
      </c>
      <c r="K129" s="18">
        <v>285</v>
      </c>
      <c r="L129" s="111">
        <v>239</v>
      </c>
    </row>
    <row r="130" spans="1:12" s="3" customFormat="1" x14ac:dyDescent="0.2">
      <c r="A130" s="3" t="s">
        <v>206</v>
      </c>
      <c r="B130" s="29">
        <v>10</v>
      </c>
      <c r="C130" s="29">
        <v>8</v>
      </c>
      <c r="D130" s="29">
        <f>7+2</f>
        <v>9</v>
      </c>
      <c r="E130" s="29">
        <v>9</v>
      </c>
      <c r="F130" s="29">
        <v>1291</v>
      </c>
      <c r="G130" s="18">
        <f>(1+1+7046+2)</f>
        <v>7050</v>
      </c>
      <c r="H130" s="18">
        <v>6934</v>
      </c>
      <c r="I130" s="18">
        <f>(2+4+1+5222+7+6)</f>
        <v>5242</v>
      </c>
      <c r="J130" s="18">
        <v>5797</v>
      </c>
      <c r="K130" s="18">
        <v>3239</v>
      </c>
      <c r="L130" s="111">
        <v>27</v>
      </c>
    </row>
    <row r="131" spans="1:12" s="3" customFormat="1" x14ac:dyDescent="0.2">
      <c r="I131" s="4"/>
      <c r="J131" s="18"/>
      <c r="K131" s="11"/>
      <c r="L131" s="11"/>
    </row>
    <row r="132" spans="1:12" s="3" customFormat="1" x14ac:dyDescent="0.2">
      <c r="I132" s="4"/>
      <c r="J132" s="18"/>
      <c r="K132" s="11"/>
      <c r="L132" s="11"/>
    </row>
    <row r="133" spans="1:12" s="3" customFormat="1" x14ac:dyDescent="0.2">
      <c r="I133" s="4"/>
      <c r="J133" s="18"/>
      <c r="K133" s="11"/>
      <c r="L133" s="11"/>
    </row>
    <row r="134" spans="1:12" s="3" customFormat="1" x14ac:dyDescent="0.2">
      <c r="I134" s="4"/>
      <c r="J134" s="18"/>
      <c r="K134" s="11"/>
      <c r="L134" s="11"/>
    </row>
    <row r="135" spans="1:12" s="14" customFormat="1" ht="12" x14ac:dyDescent="0.25">
      <c r="A135" s="115" t="s">
        <v>223</v>
      </c>
      <c r="B135" s="115"/>
      <c r="C135" s="115"/>
      <c r="D135" s="115"/>
      <c r="E135" s="115"/>
      <c r="F135" s="115"/>
      <c r="G135" s="115"/>
      <c r="H135" s="115"/>
      <c r="I135" s="115"/>
      <c r="J135" s="115"/>
      <c r="K135" s="26"/>
      <c r="L135" s="26"/>
    </row>
    <row r="136" spans="1:12" s="3" customFormat="1" ht="10.199999999999999" x14ac:dyDescent="0.2">
      <c r="A136" s="118" t="s">
        <v>0</v>
      </c>
      <c r="B136" s="118"/>
      <c r="C136" s="118"/>
      <c r="D136" s="118"/>
      <c r="E136" s="118"/>
      <c r="F136" s="118"/>
      <c r="G136" s="118"/>
      <c r="H136" s="118"/>
      <c r="I136" s="118"/>
      <c r="J136" s="118"/>
      <c r="K136" s="118"/>
      <c r="L136" s="11"/>
    </row>
    <row r="137" spans="1:12" s="3" customFormat="1" x14ac:dyDescent="0.2">
      <c r="I137" s="4"/>
      <c r="J137" s="18"/>
      <c r="K137" s="11"/>
      <c r="L137" s="11"/>
    </row>
    <row r="138" spans="1:12" s="7" customFormat="1" x14ac:dyDescent="0.2">
      <c r="A138" s="5" t="s">
        <v>1</v>
      </c>
      <c r="B138" s="6">
        <v>2007</v>
      </c>
      <c r="C138" s="6">
        <v>2008</v>
      </c>
      <c r="D138" s="5">
        <v>2009</v>
      </c>
      <c r="E138" s="28">
        <v>2010</v>
      </c>
      <c r="F138" s="28">
        <v>2011</v>
      </c>
      <c r="G138" s="6">
        <v>2012</v>
      </c>
      <c r="H138" s="6">
        <v>2013</v>
      </c>
      <c r="I138" s="6">
        <v>2014</v>
      </c>
      <c r="J138" s="6">
        <v>2015</v>
      </c>
      <c r="K138" s="6">
        <v>2016</v>
      </c>
      <c r="L138" s="6">
        <v>2017</v>
      </c>
    </row>
    <row r="139" spans="1:12" s="3" customFormat="1" x14ac:dyDescent="0.2">
      <c r="B139" s="4"/>
      <c r="C139" s="4"/>
      <c r="E139" s="18"/>
      <c r="F139" s="18"/>
      <c r="G139" s="11"/>
      <c r="H139" s="11"/>
      <c r="I139" s="11"/>
      <c r="J139" s="11"/>
      <c r="K139" s="11"/>
      <c r="L139" s="11"/>
    </row>
    <row r="140" spans="1:12" s="7" customFormat="1" x14ac:dyDescent="0.2">
      <c r="A140" s="8" t="s">
        <v>107</v>
      </c>
      <c r="B140" s="9">
        <f>SUM(B141:B177)</f>
        <v>362158</v>
      </c>
      <c r="C140" s="9">
        <f>SUM(C141:C177)</f>
        <v>408485</v>
      </c>
      <c r="D140" s="9">
        <f>SUM(D141:D177)</f>
        <v>300697</v>
      </c>
      <c r="E140" s="22">
        <v>498506</v>
      </c>
      <c r="F140" s="22">
        <v>525860</v>
      </c>
      <c r="G140" s="9">
        <v>458132</v>
      </c>
      <c r="H140" s="9">
        <v>408845</v>
      </c>
      <c r="I140" s="9">
        <v>461309</v>
      </c>
      <c r="J140" s="9">
        <v>483970</v>
      </c>
      <c r="K140" s="9">
        <f>SUM(K141:K177)</f>
        <v>536389</v>
      </c>
      <c r="L140" s="9">
        <f>SUM(L141:L177)</f>
        <v>555907</v>
      </c>
    </row>
    <row r="141" spans="1:12" s="7" customFormat="1" x14ac:dyDescent="0.2">
      <c r="A141" s="3" t="s">
        <v>108</v>
      </c>
      <c r="B141" s="30">
        <v>15</v>
      </c>
      <c r="C141" s="29">
        <v>1</v>
      </c>
      <c r="D141" s="31">
        <v>2</v>
      </c>
      <c r="E141" s="29" t="s">
        <v>213</v>
      </c>
      <c r="F141" s="29">
        <v>6</v>
      </c>
      <c r="G141" s="18">
        <v>25</v>
      </c>
      <c r="H141" s="18">
        <v>23</v>
      </c>
      <c r="I141" s="18">
        <v>16</v>
      </c>
      <c r="J141" s="18">
        <v>13</v>
      </c>
      <c r="K141" s="18">
        <v>2</v>
      </c>
      <c r="L141" s="111">
        <v>16</v>
      </c>
    </row>
    <row r="142" spans="1:12" s="3" customFormat="1" x14ac:dyDescent="0.2">
      <c r="A142" s="3" t="s">
        <v>109</v>
      </c>
      <c r="B142" s="29">
        <v>357</v>
      </c>
      <c r="C142" s="29">
        <v>514</v>
      </c>
      <c r="D142" s="31">
        <v>886</v>
      </c>
      <c r="E142" s="29">
        <v>794</v>
      </c>
      <c r="F142" s="29">
        <v>834</v>
      </c>
      <c r="G142" s="18">
        <v>918</v>
      </c>
      <c r="H142" s="18">
        <v>1111</v>
      </c>
      <c r="I142" s="18">
        <v>1130</v>
      </c>
      <c r="J142" s="18">
        <v>1032</v>
      </c>
      <c r="K142" s="18">
        <v>1274</v>
      </c>
      <c r="L142" s="111">
        <v>1015</v>
      </c>
    </row>
    <row r="143" spans="1:12" s="3" customFormat="1" x14ac:dyDescent="0.2">
      <c r="A143" s="3" t="s">
        <v>110</v>
      </c>
      <c r="B143" s="29">
        <v>9400</v>
      </c>
      <c r="C143" s="29">
        <v>15725</v>
      </c>
      <c r="D143" s="31">
        <v>15739</v>
      </c>
      <c r="E143" s="29">
        <v>21591</v>
      </c>
      <c r="F143" s="29">
        <v>20359</v>
      </c>
      <c r="G143" s="18">
        <v>11264</v>
      </c>
      <c r="H143" s="18">
        <v>6299</v>
      </c>
      <c r="I143" s="18">
        <v>9105</v>
      </c>
      <c r="J143" s="18">
        <v>12970</v>
      </c>
      <c r="K143" s="18">
        <v>13845</v>
      </c>
      <c r="L143" s="111">
        <v>15672</v>
      </c>
    </row>
    <row r="144" spans="1:12" s="3" customFormat="1" x14ac:dyDescent="0.2">
      <c r="A144" s="3" t="s">
        <v>111</v>
      </c>
      <c r="B144" s="29">
        <v>120</v>
      </c>
      <c r="C144" s="29">
        <v>317</v>
      </c>
      <c r="D144" s="31">
        <v>91</v>
      </c>
      <c r="E144" s="29">
        <v>18</v>
      </c>
      <c r="F144" s="29">
        <v>63</v>
      </c>
      <c r="G144" s="18">
        <v>134</v>
      </c>
      <c r="H144" s="18">
        <v>15</v>
      </c>
      <c r="I144" s="18">
        <v>18</v>
      </c>
      <c r="J144" s="18">
        <v>16</v>
      </c>
      <c r="K144" s="18">
        <v>5</v>
      </c>
      <c r="L144" s="111">
        <v>9</v>
      </c>
    </row>
    <row r="145" spans="1:12" s="3" customFormat="1" x14ac:dyDescent="0.2">
      <c r="A145" s="3" t="s">
        <v>113</v>
      </c>
      <c r="B145" s="29">
        <v>654</v>
      </c>
      <c r="C145" s="29">
        <v>457</v>
      </c>
      <c r="D145" s="31">
        <v>522</v>
      </c>
      <c r="E145" s="29">
        <v>160</v>
      </c>
      <c r="F145" s="29">
        <v>489</v>
      </c>
      <c r="G145" s="18">
        <v>444</v>
      </c>
      <c r="H145" s="18">
        <v>305</v>
      </c>
      <c r="I145" s="18">
        <v>682</v>
      </c>
      <c r="J145" s="18">
        <v>628</v>
      </c>
      <c r="K145" s="18">
        <v>347</v>
      </c>
      <c r="L145" s="111">
        <v>412</v>
      </c>
    </row>
    <row r="146" spans="1:12" s="3" customFormat="1" x14ac:dyDescent="0.2">
      <c r="A146" s="3" t="s">
        <v>114</v>
      </c>
      <c r="B146" s="29">
        <v>188</v>
      </c>
      <c r="C146" s="29">
        <v>225</v>
      </c>
      <c r="D146" s="31">
        <v>114</v>
      </c>
      <c r="E146" s="29">
        <v>176</v>
      </c>
      <c r="F146" s="29">
        <v>234</v>
      </c>
      <c r="G146" s="18">
        <v>327</v>
      </c>
      <c r="H146" s="18">
        <v>263</v>
      </c>
      <c r="I146" s="18">
        <v>258</v>
      </c>
      <c r="J146" s="18">
        <v>61</v>
      </c>
      <c r="K146" s="18">
        <v>138</v>
      </c>
      <c r="L146" s="111">
        <v>162</v>
      </c>
    </row>
    <row r="147" spans="1:12" s="3" customFormat="1" x14ac:dyDescent="0.2">
      <c r="A147" s="3" t="s">
        <v>115</v>
      </c>
      <c r="B147" s="29">
        <v>12</v>
      </c>
      <c r="C147" s="29">
        <v>5</v>
      </c>
      <c r="D147" s="31">
        <v>23</v>
      </c>
      <c r="E147" s="29">
        <v>8</v>
      </c>
      <c r="F147" s="29">
        <v>22</v>
      </c>
      <c r="G147" s="18">
        <v>5</v>
      </c>
      <c r="H147" s="18">
        <v>9</v>
      </c>
      <c r="I147" s="18">
        <v>5</v>
      </c>
      <c r="J147" s="18">
        <v>11</v>
      </c>
      <c r="K147" s="18">
        <v>7</v>
      </c>
      <c r="L147" s="111">
        <v>5</v>
      </c>
    </row>
    <row r="148" spans="1:12" s="3" customFormat="1" x14ac:dyDescent="0.2">
      <c r="A148" s="3" t="s">
        <v>116</v>
      </c>
      <c r="B148" s="29" t="s">
        <v>213</v>
      </c>
      <c r="C148" s="29">
        <v>50</v>
      </c>
      <c r="D148" s="31">
        <v>4</v>
      </c>
      <c r="E148" s="29">
        <v>173</v>
      </c>
      <c r="F148" s="29">
        <v>132</v>
      </c>
      <c r="G148" s="18">
        <v>28</v>
      </c>
      <c r="H148" s="18">
        <v>1</v>
      </c>
      <c r="I148" s="18" t="s">
        <v>213</v>
      </c>
      <c r="J148" s="18" t="s">
        <v>213</v>
      </c>
      <c r="K148" s="18" t="s">
        <v>213</v>
      </c>
      <c r="L148" s="111" t="s">
        <v>213</v>
      </c>
    </row>
    <row r="149" spans="1:12" s="3" customFormat="1" x14ac:dyDescent="0.2">
      <c r="A149" s="3" t="s">
        <v>117</v>
      </c>
      <c r="B149" s="29">
        <v>40</v>
      </c>
      <c r="C149" s="29">
        <v>2</v>
      </c>
      <c r="D149" s="31" t="s">
        <v>213</v>
      </c>
      <c r="E149" s="29">
        <v>32</v>
      </c>
      <c r="F149" s="29">
        <v>4</v>
      </c>
      <c r="G149" s="18">
        <v>15</v>
      </c>
      <c r="H149" s="18">
        <v>6</v>
      </c>
      <c r="I149" s="18">
        <v>1</v>
      </c>
      <c r="J149" s="18">
        <v>4</v>
      </c>
      <c r="K149" s="18" t="s">
        <v>213</v>
      </c>
      <c r="L149" s="111">
        <v>2</v>
      </c>
    </row>
    <row r="150" spans="1:12" s="3" customFormat="1" x14ac:dyDescent="0.2">
      <c r="A150" s="3" t="s">
        <v>118</v>
      </c>
      <c r="B150" s="29">
        <v>102</v>
      </c>
      <c r="C150" s="29">
        <v>121</v>
      </c>
      <c r="D150" s="31">
        <v>98</v>
      </c>
      <c r="E150" s="29">
        <v>46</v>
      </c>
      <c r="F150" s="29">
        <v>68</v>
      </c>
      <c r="G150" s="18">
        <v>92</v>
      </c>
      <c r="H150" s="18">
        <v>55</v>
      </c>
      <c r="I150" s="18">
        <v>78</v>
      </c>
      <c r="J150" s="18">
        <v>44</v>
      </c>
      <c r="K150" s="18">
        <v>60</v>
      </c>
      <c r="L150" s="111">
        <v>32</v>
      </c>
    </row>
    <row r="151" spans="1:12" s="3" customFormat="1" x14ac:dyDescent="0.2">
      <c r="A151" s="3" t="s">
        <v>119</v>
      </c>
      <c r="B151" s="29">
        <v>550</v>
      </c>
      <c r="C151" s="29">
        <v>343</v>
      </c>
      <c r="D151" s="31" t="s">
        <v>213</v>
      </c>
      <c r="E151" s="29">
        <v>179</v>
      </c>
      <c r="F151" s="29">
        <v>69</v>
      </c>
      <c r="G151" s="18" t="s">
        <v>213</v>
      </c>
      <c r="H151" s="18" t="s">
        <v>213</v>
      </c>
      <c r="I151" s="18" t="s">
        <v>213</v>
      </c>
      <c r="J151" s="18" t="s">
        <v>213</v>
      </c>
      <c r="K151" s="18">
        <v>1</v>
      </c>
      <c r="L151" s="111" t="s">
        <v>213</v>
      </c>
    </row>
    <row r="152" spans="1:12" s="3" customFormat="1" x14ac:dyDescent="0.2">
      <c r="A152" s="3" t="s">
        <v>120</v>
      </c>
      <c r="B152" s="29">
        <v>46</v>
      </c>
      <c r="C152" s="29">
        <v>110</v>
      </c>
      <c r="D152" s="31">
        <v>152</v>
      </c>
      <c r="E152" s="29">
        <v>63</v>
      </c>
      <c r="F152" s="29">
        <v>171</v>
      </c>
      <c r="G152" s="18">
        <v>176</v>
      </c>
      <c r="H152" s="18">
        <v>134</v>
      </c>
      <c r="I152" s="18">
        <v>119</v>
      </c>
      <c r="J152" s="18">
        <v>110</v>
      </c>
      <c r="K152" s="18">
        <v>245</v>
      </c>
      <c r="L152" s="111">
        <v>173</v>
      </c>
    </row>
    <row r="153" spans="1:12" s="3" customFormat="1" x14ac:dyDescent="0.2">
      <c r="A153" s="3" t="s">
        <v>121</v>
      </c>
      <c r="B153" s="29" t="s">
        <v>213</v>
      </c>
      <c r="C153" s="29">
        <v>1</v>
      </c>
      <c r="D153" s="31">
        <v>1</v>
      </c>
      <c r="E153" s="29">
        <v>4</v>
      </c>
      <c r="F153" s="29">
        <v>1</v>
      </c>
      <c r="G153" s="18" t="s">
        <v>213</v>
      </c>
      <c r="H153" s="18" t="s">
        <v>213</v>
      </c>
      <c r="I153" s="18" t="s">
        <v>213</v>
      </c>
      <c r="J153" s="18" t="s">
        <v>213</v>
      </c>
      <c r="K153" s="18" t="s">
        <v>213</v>
      </c>
      <c r="L153" s="111" t="s">
        <v>213</v>
      </c>
    </row>
    <row r="154" spans="1:12" s="3" customFormat="1" x14ac:dyDescent="0.2">
      <c r="A154" s="3" t="s">
        <v>122</v>
      </c>
      <c r="B154" s="29">
        <v>3</v>
      </c>
      <c r="C154" s="29">
        <v>5</v>
      </c>
      <c r="D154" s="31">
        <v>7</v>
      </c>
      <c r="E154" s="29">
        <v>6</v>
      </c>
      <c r="F154" s="29">
        <v>7</v>
      </c>
      <c r="G154" s="18">
        <v>7</v>
      </c>
      <c r="H154" s="18">
        <v>3</v>
      </c>
      <c r="I154" s="18">
        <v>5</v>
      </c>
      <c r="J154" s="18">
        <v>3</v>
      </c>
      <c r="K154" s="18">
        <v>8</v>
      </c>
      <c r="L154" s="111">
        <v>7</v>
      </c>
    </row>
    <row r="155" spans="1:12" s="3" customFormat="1" x14ac:dyDescent="0.2">
      <c r="A155" s="3" t="s">
        <v>123</v>
      </c>
      <c r="B155" s="29">
        <v>4376</v>
      </c>
      <c r="C155" s="29">
        <v>5542</v>
      </c>
      <c r="D155" s="31">
        <v>2234</v>
      </c>
      <c r="E155" s="29">
        <v>5374</v>
      </c>
      <c r="F155" s="29">
        <v>5196</v>
      </c>
      <c r="G155" s="18">
        <v>4825</v>
      </c>
      <c r="H155" s="18">
        <v>9030</v>
      </c>
      <c r="I155" s="18">
        <v>4519</v>
      </c>
      <c r="J155" s="18">
        <v>7155</v>
      </c>
      <c r="K155" s="18">
        <v>8491</v>
      </c>
      <c r="L155" s="111">
        <v>8526</v>
      </c>
    </row>
    <row r="156" spans="1:12" s="3" customFormat="1" x14ac:dyDescent="0.2">
      <c r="A156" s="3" t="s">
        <v>124</v>
      </c>
      <c r="B156" s="29">
        <v>161481</v>
      </c>
      <c r="C156" s="29">
        <v>187540</v>
      </c>
      <c r="D156" s="31">
        <v>176021</v>
      </c>
      <c r="E156" s="29">
        <v>221876</v>
      </c>
      <c r="F156" s="29">
        <v>288995</v>
      </c>
      <c r="G156" s="18">
        <v>258188</v>
      </c>
      <c r="H156" s="18">
        <v>254506</v>
      </c>
      <c r="I156" s="18">
        <v>238827</v>
      </c>
      <c r="J156" s="18">
        <v>290291</v>
      </c>
      <c r="K156" s="18">
        <v>302777</v>
      </c>
      <c r="L156" s="111">
        <v>341044</v>
      </c>
    </row>
    <row r="157" spans="1:12" s="3" customFormat="1" x14ac:dyDescent="0.2">
      <c r="A157" s="3" t="s">
        <v>125</v>
      </c>
      <c r="B157" s="29">
        <v>716</v>
      </c>
      <c r="C157" s="29">
        <v>844</v>
      </c>
      <c r="D157" s="31">
        <v>894</v>
      </c>
      <c r="E157" s="29">
        <v>1316</v>
      </c>
      <c r="F157" s="29">
        <v>1371</v>
      </c>
      <c r="G157" s="18">
        <v>901</v>
      </c>
      <c r="H157" s="18">
        <v>1275</v>
      </c>
      <c r="I157" s="18">
        <v>2089</v>
      </c>
      <c r="J157" s="18">
        <v>2577</v>
      </c>
      <c r="K157" s="18">
        <v>2339</v>
      </c>
      <c r="L157" s="111">
        <v>3452</v>
      </c>
    </row>
    <row r="158" spans="1:12" s="3" customFormat="1" x14ac:dyDescent="0.2">
      <c r="A158" s="3" t="s">
        <v>126</v>
      </c>
      <c r="B158" s="29">
        <v>3673</v>
      </c>
      <c r="C158" s="29">
        <v>2711</v>
      </c>
      <c r="D158" s="31">
        <v>1767</v>
      </c>
      <c r="E158" s="29">
        <v>3459</v>
      </c>
      <c r="F158" s="29">
        <v>1953</v>
      </c>
      <c r="G158" s="18">
        <v>1708</v>
      </c>
      <c r="H158" s="18">
        <v>1448</v>
      </c>
      <c r="I158" s="18">
        <v>1439</v>
      </c>
      <c r="J158" s="18">
        <v>1486</v>
      </c>
      <c r="K158" s="18">
        <v>1271</v>
      </c>
      <c r="L158" s="111">
        <v>1585</v>
      </c>
    </row>
    <row r="159" spans="1:12" s="3" customFormat="1" x14ac:dyDescent="0.2">
      <c r="A159" s="3" t="s">
        <v>127</v>
      </c>
      <c r="B159" s="29">
        <v>4272</v>
      </c>
      <c r="C159" s="29">
        <v>3559</v>
      </c>
      <c r="D159" s="31">
        <v>3006</v>
      </c>
      <c r="E159" s="29">
        <v>4039</v>
      </c>
      <c r="F159" s="29">
        <v>4345</v>
      </c>
      <c r="G159" s="18">
        <v>3742</v>
      </c>
      <c r="H159" s="18">
        <v>2343</v>
      </c>
      <c r="I159" s="18">
        <v>2960</v>
      </c>
      <c r="J159" s="18">
        <v>3260</v>
      </c>
      <c r="K159" s="18">
        <v>2421</v>
      </c>
      <c r="L159" s="111">
        <v>2040</v>
      </c>
    </row>
    <row r="160" spans="1:12" s="3" customFormat="1" x14ac:dyDescent="0.2">
      <c r="A160" s="3" t="s">
        <v>128</v>
      </c>
      <c r="B160" s="29">
        <v>124389</v>
      </c>
      <c r="C160" s="29">
        <v>145667</v>
      </c>
      <c r="D160" s="31">
        <v>56337</v>
      </c>
      <c r="E160" s="29">
        <v>200428</v>
      </c>
      <c r="F160" s="29">
        <v>163495</v>
      </c>
      <c r="G160" s="18">
        <v>144965</v>
      </c>
      <c r="H160" s="18">
        <v>106271</v>
      </c>
      <c r="I160" s="18">
        <v>176602</v>
      </c>
      <c r="J160" s="18">
        <v>143684</v>
      </c>
      <c r="K160" s="18">
        <v>180914</v>
      </c>
      <c r="L160" s="111">
        <v>152537</v>
      </c>
    </row>
    <row r="161" spans="1:12" s="3" customFormat="1" x14ac:dyDescent="0.2">
      <c r="A161" s="3" t="s">
        <v>129</v>
      </c>
      <c r="B161" s="29">
        <v>6644</v>
      </c>
      <c r="C161" s="29">
        <v>3251</v>
      </c>
      <c r="D161" s="31">
        <v>7725</v>
      </c>
      <c r="E161" s="29">
        <v>9608</v>
      </c>
      <c r="F161" s="29">
        <v>7494</v>
      </c>
      <c r="G161" s="18">
        <v>7397</v>
      </c>
      <c r="H161" s="18">
        <v>4908</v>
      </c>
      <c r="I161" s="18">
        <v>5087</v>
      </c>
      <c r="J161" s="18">
        <v>3774</v>
      </c>
      <c r="K161" s="18">
        <v>3070</v>
      </c>
      <c r="L161" s="111">
        <v>4186</v>
      </c>
    </row>
    <row r="162" spans="1:12" s="3" customFormat="1" x14ac:dyDescent="0.2">
      <c r="A162" s="3" t="s">
        <v>130</v>
      </c>
      <c r="B162" s="29">
        <v>2074</v>
      </c>
      <c r="C162" s="29">
        <v>1854</v>
      </c>
      <c r="D162" s="31">
        <v>2030</v>
      </c>
      <c r="E162" s="29">
        <v>1785</v>
      </c>
      <c r="F162" s="29">
        <v>2523</v>
      </c>
      <c r="G162" s="18" t="s">
        <v>213</v>
      </c>
      <c r="H162" s="18" t="s">
        <v>213</v>
      </c>
      <c r="I162" s="18">
        <v>7</v>
      </c>
      <c r="J162" s="18" t="s">
        <v>213</v>
      </c>
      <c r="K162" s="18" t="s">
        <v>213</v>
      </c>
      <c r="L162" s="111" t="s">
        <v>213</v>
      </c>
    </row>
    <row r="163" spans="1:12" s="3" customFormat="1" x14ac:dyDescent="0.2">
      <c r="A163" s="3" t="s">
        <v>131</v>
      </c>
      <c r="B163" s="29">
        <v>122</v>
      </c>
      <c r="C163" s="29">
        <v>148</v>
      </c>
      <c r="D163" s="31">
        <v>201</v>
      </c>
      <c r="E163" s="29">
        <v>471</v>
      </c>
      <c r="F163" s="29">
        <v>290</v>
      </c>
      <c r="G163" s="18">
        <v>2475</v>
      </c>
      <c r="H163" s="18">
        <v>985</v>
      </c>
      <c r="I163" s="18">
        <v>887</v>
      </c>
      <c r="J163" s="18">
        <v>605</v>
      </c>
      <c r="K163" s="18">
        <v>686</v>
      </c>
      <c r="L163" s="111">
        <v>585</v>
      </c>
    </row>
    <row r="164" spans="1:12" s="3" customFormat="1" x14ac:dyDescent="0.2">
      <c r="A164" s="3" t="s">
        <v>132</v>
      </c>
      <c r="B164" s="29">
        <v>5</v>
      </c>
      <c r="C164" s="29">
        <v>1</v>
      </c>
      <c r="D164" s="31" t="s">
        <v>213</v>
      </c>
      <c r="E164" s="29">
        <v>4</v>
      </c>
      <c r="F164" s="31" t="s">
        <v>213</v>
      </c>
      <c r="G164" s="18">
        <v>11</v>
      </c>
      <c r="H164" s="18">
        <v>4</v>
      </c>
      <c r="I164" s="18">
        <v>226</v>
      </c>
      <c r="J164" s="18">
        <v>15</v>
      </c>
      <c r="K164" s="18">
        <v>28</v>
      </c>
      <c r="L164" s="111">
        <v>25</v>
      </c>
    </row>
    <row r="165" spans="1:12" s="3" customFormat="1" x14ac:dyDescent="0.2">
      <c r="A165" s="3" t="s">
        <v>133</v>
      </c>
      <c r="B165" s="29">
        <v>63</v>
      </c>
      <c r="C165" s="29">
        <v>31</v>
      </c>
      <c r="D165" s="31">
        <v>29</v>
      </c>
      <c r="E165" s="29">
        <v>33</v>
      </c>
      <c r="F165" s="29">
        <v>48</v>
      </c>
      <c r="G165" s="18">
        <v>50</v>
      </c>
      <c r="H165" s="18">
        <v>33</v>
      </c>
      <c r="I165" s="18">
        <v>32</v>
      </c>
      <c r="J165" s="18">
        <v>41</v>
      </c>
      <c r="K165" s="18">
        <v>15</v>
      </c>
      <c r="L165" s="111">
        <v>7</v>
      </c>
    </row>
    <row r="166" spans="1:12" s="3" customFormat="1" x14ac:dyDescent="0.2">
      <c r="A166" s="3" t="s">
        <v>134</v>
      </c>
      <c r="B166" s="29">
        <v>2939</v>
      </c>
      <c r="C166" s="29">
        <v>3210</v>
      </c>
      <c r="D166" s="31">
        <v>3641</v>
      </c>
      <c r="E166" s="29">
        <v>3009</v>
      </c>
      <c r="F166" s="29">
        <v>2255</v>
      </c>
      <c r="G166" s="18">
        <v>2252</v>
      </c>
      <c r="H166" s="18">
        <v>2067</v>
      </c>
      <c r="I166" s="18">
        <v>2250</v>
      </c>
      <c r="J166" s="18">
        <v>2395</v>
      </c>
      <c r="K166" s="18">
        <v>2361</v>
      </c>
      <c r="L166" s="111">
        <v>2698</v>
      </c>
    </row>
    <row r="167" spans="1:12" s="3" customFormat="1" x14ac:dyDescent="0.2">
      <c r="A167" s="3" t="s">
        <v>135</v>
      </c>
      <c r="B167" s="29">
        <v>2882</v>
      </c>
      <c r="C167" s="29">
        <v>2108</v>
      </c>
      <c r="D167" s="31">
        <v>2906</v>
      </c>
      <c r="E167" s="29">
        <v>4056</v>
      </c>
      <c r="F167" s="29">
        <v>2734</v>
      </c>
      <c r="G167" s="18">
        <v>2879</v>
      </c>
      <c r="H167" s="18">
        <v>2741</v>
      </c>
      <c r="I167" s="18">
        <v>832</v>
      </c>
      <c r="J167" s="18">
        <v>1255</v>
      </c>
      <c r="K167" s="18">
        <v>1003</v>
      </c>
      <c r="L167" s="111">
        <v>2569</v>
      </c>
    </row>
    <row r="168" spans="1:12" s="3" customFormat="1" x14ac:dyDescent="0.2">
      <c r="A168" s="3" t="s">
        <v>136</v>
      </c>
      <c r="B168" s="29">
        <v>4885</v>
      </c>
      <c r="C168" s="29">
        <v>3969</v>
      </c>
      <c r="D168" s="31">
        <v>3179</v>
      </c>
      <c r="E168" s="29">
        <v>3248</v>
      </c>
      <c r="F168" s="29">
        <v>4016</v>
      </c>
      <c r="G168" s="18">
        <v>4915</v>
      </c>
      <c r="H168" s="18">
        <v>5577</v>
      </c>
      <c r="I168" s="18">
        <v>4317</v>
      </c>
      <c r="J168" s="18">
        <v>5022</v>
      </c>
      <c r="K168" s="18">
        <v>4995</v>
      </c>
      <c r="L168" s="111">
        <v>5983</v>
      </c>
    </row>
    <row r="169" spans="1:12" s="3" customFormat="1" x14ac:dyDescent="0.2">
      <c r="A169" s="3" t="s">
        <v>137</v>
      </c>
      <c r="B169" s="29">
        <v>20072</v>
      </c>
      <c r="C169" s="29">
        <v>21277</v>
      </c>
      <c r="D169" s="31">
        <v>16671</v>
      </c>
      <c r="E169" s="29">
        <v>8840</v>
      </c>
      <c r="F169" s="29">
        <v>11020</v>
      </c>
      <c r="G169" s="18">
        <v>5798</v>
      </c>
      <c r="H169" s="18">
        <v>5001</v>
      </c>
      <c r="I169" s="18">
        <v>4146</v>
      </c>
      <c r="J169" s="18">
        <v>2947</v>
      </c>
      <c r="K169" s="18">
        <v>3547</v>
      </c>
      <c r="L169" s="111">
        <v>4705</v>
      </c>
    </row>
    <row r="170" spans="1:12" s="3" customFormat="1" x14ac:dyDescent="0.2">
      <c r="A170" s="3" t="s">
        <v>138</v>
      </c>
      <c r="B170" s="29">
        <v>35</v>
      </c>
      <c r="C170" s="29">
        <v>6</v>
      </c>
      <c r="D170" s="31">
        <v>687</v>
      </c>
      <c r="E170" s="29">
        <v>502</v>
      </c>
      <c r="F170" s="29">
        <v>865</v>
      </c>
      <c r="G170" s="18">
        <v>718</v>
      </c>
      <c r="H170" s="18">
        <v>847</v>
      </c>
      <c r="I170" s="18">
        <v>771</v>
      </c>
      <c r="J170" s="18">
        <v>614</v>
      </c>
      <c r="K170" s="18">
        <v>1020</v>
      </c>
      <c r="L170" s="111">
        <v>996</v>
      </c>
    </row>
    <row r="171" spans="1:12" s="3" customFormat="1" x14ac:dyDescent="0.2">
      <c r="A171" s="3" t="s">
        <v>139</v>
      </c>
      <c r="B171" s="29" t="s">
        <v>213</v>
      </c>
      <c r="C171" s="29" t="s">
        <v>213</v>
      </c>
      <c r="D171" s="31" t="s">
        <v>213</v>
      </c>
      <c r="E171" s="29" t="s">
        <v>213</v>
      </c>
      <c r="F171" s="29">
        <v>38</v>
      </c>
      <c r="G171" s="18">
        <v>11</v>
      </c>
      <c r="H171" s="18" t="s">
        <v>213</v>
      </c>
      <c r="I171" s="18" t="s">
        <v>213</v>
      </c>
      <c r="J171" s="18" t="s">
        <v>213</v>
      </c>
      <c r="K171" s="18" t="s">
        <v>213</v>
      </c>
      <c r="L171" s="111" t="s">
        <v>213</v>
      </c>
    </row>
    <row r="172" spans="1:12" s="3" customFormat="1" x14ac:dyDescent="0.2">
      <c r="A172" s="3" t="s">
        <v>140</v>
      </c>
      <c r="B172" s="29">
        <v>191</v>
      </c>
      <c r="C172" s="29">
        <v>208</v>
      </c>
      <c r="D172" s="31">
        <v>171</v>
      </c>
      <c r="E172" s="29">
        <v>177</v>
      </c>
      <c r="F172" s="29">
        <v>245</v>
      </c>
      <c r="G172" s="18">
        <v>225</v>
      </c>
      <c r="H172" s="18">
        <v>206</v>
      </c>
      <c r="I172" s="18">
        <v>244</v>
      </c>
      <c r="J172" s="18">
        <v>248</v>
      </c>
      <c r="K172" s="18">
        <v>336</v>
      </c>
      <c r="L172" s="111">
        <v>551</v>
      </c>
    </row>
    <row r="173" spans="1:12" s="3" customFormat="1" x14ac:dyDescent="0.2">
      <c r="A173" s="3" t="s">
        <v>141</v>
      </c>
      <c r="B173" s="29">
        <v>778</v>
      </c>
      <c r="C173" s="29">
        <v>882</v>
      </c>
      <c r="D173" s="31">
        <v>67</v>
      </c>
      <c r="E173" s="29">
        <v>94</v>
      </c>
      <c r="F173" s="29">
        <v>159</v>
      </c>
      <c r="G173" s="18">
        <v>92</v>
      </c>
      <c r="H173" s="18">
        <v>44</v>
      </c>
      <c r="I173" s="18">
        <v>83</v>
      </c>
      <c r="J173" s="18">
        <v>34</v>
      </c>
      <c r="K173" s="18">
        <v>43</v>
      </c>
      <c r="L173" s="111">
        <v>46</v>
      </c>
    </row>
    <row r="174" spans="1:12" s="3" customFormat="1" x14ac:dyDescent="0.2">
      <c r="A174" s="3" t="s">
        <v>142</v>
      </c>
      <c r="B174" s="29">
        <v>1340</v>
      </c>
      <c r="C174" s="29">
        <v>2783</v>
      </c>
      <c r="D174" s="31">
        <v>2153</v>
      </c>
      <c r="E174" s="29">
        <f>(1438+457)</f>
        <v>1895</v>
      </c>
      <c r="F174" s="29">
        <f>(2792+828)</f>
        <v>3620</v>
      </c>
      <c r="G174" s="18">
        <v>1220</v>
      </c>
      <c r="H174" s="18">
        <f>(1304+492)</f>
        <v>1796</v>
      </c>
      <c r="I174" s="18">
        <f>(1743+540)</f>
        <v>2283</v>
      </c>
      <c r="J174" s="18">
        <v>1849</v>
      </c>
      <c r="K174" s="18">
        <v>3215</v>
      </c>
      <c r="L174" s="111">
        <v>3602</v>
      </c>
    </row>
    <row r="175" spans="1:12" s="3" customFormat="1" x14ac:dyDescent="0.2">
      <c r="A175" s="3" t="s">
        <v>143</v>
      </c>
      <c r="B175" s="29">
        <v>7870</v>
      </c>
      <c r="C175" s="29">
        <v>3843</v>
      </c>
      <c r="D175" s="31">
        <v>2650</v>
      </c>
      <c r="E175" s="29">
        <v>3290</v>
      </c>
      <c r="F175" s="29">
        <v>1734</v>
      </c>
      <c r="G175" s="18">
        <v>722</v>
      </c>
      <c r="H175" s="18">
        <v>935</v>
      </c>
      <c r="I175" s="18">
        <v>1743</v>
      </c>
      <c r="J175" s="18">
        <v>1154</v>
      </c>
      <c r="K175" s="18">
        <v>1234</v>
      </c>
      <c r="L175" s="111">
        <v>1587</v>
      </c>
    </row>
    <row r="176" spans="1:12" s="3" customFormat="1" x14ac:dyDescent="0.2">
      <c r="A176" s="3" t="s">
        <v>144</v>
      </c>
      <c r="B176" s="29">
        <v>1853</v>
      </c>
      <c r="C176" s="29">
        <v>1143</v>
      </c>
      <c r="D176" s="31">
        <v>689</v>
      </c>
      <c r="E176" s="29">
        <v>1752</v>
      </c>
      <c r="F176" s="29">
        <v>1005</v>
      </c>
      <c r="G176" s="18">
        <v>627</v>
      </c>
      <c r="H176" s="18">
        <v>595</v>
      </c>
      <c r="I176" s="18">
        <v>535</v>
      </c>
      <c r="J176" s="18">
        <v>661</v>
      </c>
      <c r="K176" s="18">
        <v>348</v>
      </c>
      <c r="L176" s="111">
        <v>492</v>
      </c>
    </row>
    <row r="177" spans="1:12" s="3" customFormat="1" x14ac:dyDescent="0.2">
      <c r="A177" s="3" t="s">
        <v>145</v>
      </c>
      <c r="B177" s="29">
        <v>11</v>
      </c>
      <c r="C177" s="29">
        <v>32</v>
      </c>
      <c r="D177" s="31" t="s">
        <v>213</v>
      </c>
      <c r="E177" s="29" t="s">
        <v>213</v>
      </c>
      <c r="F177" s="29" t="s">
        <v>213</v>
      </c>
      <c r="G177" s="18">
        <v>976</v>
      </c>
      <c r="H177" s="18">
        <v>9</v>
      </c>
      <c r="I177" s="18">
        <f>(13)</f>
        <v>13</v>
      </c>
      <c r="J177" s="18">
        <v>11</v>
      </c>
      <c r="K177" s="18">
        <v>343</v>
      </c>
      <c r="L177" s="111">
        <v>1186</v>
      </c>
    </row>
    <row r="178" spans="1:12" s="3" customFormat="1" x14ac:dyDescent="0.2">
      <c r="B178" s="11"/>
      <c r="C178" s="11"/>
      <c r="D178" s="11"/>
      <c r="E178" s="11"/>
      <c r="F178" s="11"/>
      <c r="G178" s="11"/>
      <c r="H178" s="11"/>
      <c r="J178" s="18"/>
      <c r="K178" s="11"/>
      <c r="L178" s="11"/>
    </row>
    <row r="179" spans="1:12" s="3" customFormat="1" x14ac:dyDescent="0.2">
      <c r="I179" s="4"/>
      <c r="J179" s="18"/>
      <c r="K179" s="11"/>
      <c r="L179" s="11"/>
    </row>
    <row r="180" spans="1:12" s="13" customFormat="1" ht="12" x14ac:dyDescent="0.25">
      <c r="A180" s="115" t="s">
        <v>224</v>
      </c>
      <c r="B180" s="115"/>
      <c r="C180" s="115"/>
      <c r="D180" s="115"/>
      <c r="E180" s="115"/>
      <c r="F180" s="115"/>
      <c r="G180" s="115"/>
      <c r="H180" s="115"/>
      <c r="I180" s="115"/>
      <c r="J180" s="115"/>
      <c r="K180" s="25"/>
      <c r="L180" s="25"/>
    </row>
    <row r="181" spans="1:12" s="3" customFormat="1" ht="11.25" customHeight="1" x14ac:dyDescent="0.2">
      <c r="A181" s="118" t="s">
        <v>0</v>
      </c>
      <c r="B181" s="118"/>
      <c r="C181" s="118"/>
      <c r="D181" s="118"/>
      <c r="E181" s="118"/>
      <c r="F181" s="118"/>
      <c r="G181" s="118"/>
      <c r="H181" s="118"/>
      <c r="I181" s="118"/>
      <c r="J181" s="118"/>
      <c r="K181" s="118"/>
      <c r="L181" s="11"/>
    </row>
    <row r="182" spans="1:12" s="3" customFormat="1" x14ac:dyDescent="0.2">
      <c r="I182" s="4"/>
      <c r="J182" s="18"/>
      <c r="K182" s="11"/>
      <c r="L182" s="11"/>
    </row>
    <row r="183" spans="1:12" s="7" customFormat="1" x14ac:dyDescent="0.2">
      <c r="A183" s="5" t="s">
        <v>1</v>
      </c>
      <c r="B183" s="6">
        <v>2007</v>
      </c>
      <c r="C183" s="6">
        <v>2008</v>
      </c>
      <c r="D183" s="6">
        <v>2009</v>
      </c>
      <c r="E183" s="28">
        <v>2010</v>
      </c>
      <c r="F183" s="28">
        <v>2011</v>
      </c>
      <c r="G183" s="6">
        <v>2012</v>
      </c>
      <c r="H183" s="6">
        <v>2013</v>
      </c>
      <c r="I183" s="6">
        <v>2014</v>
      </c>
      <c r="J183" s="6">
        <v>2015</v>
      </c>
      <c r="K183" s="6">
        <v>2016</v>
      </c>
      <c r="L183" s="6">
        <v>2017</v>
      </c>
    </row>
    <row r="184" spans="1:12" s="3" customFormat="1" x14ac:dyDescent="0.2">
      <c r="B184" s="4"/>
      <c r="C184" s="4"/>
      <c r="E184" s="18"/>
      <c r="F184" s="18"/>
      <c r="G184" s="11"/>
      <c r="H184" s="11"/>
      <c r="I184" s="11"/>
      <c r="J184" s="11"/>
      <c r="K184" s="11"/>
      <c r="L184" s="11"/>
    </row>
    <row r="185" spans="1:12" s="7" customFormat="1" x14ac:dyDescent="0.2">
      <c r="A185" s="8" t="s">
        <v>146</v>
      </c>
      <c r="B185" s="9">
        <f>SUM(B186:B189)</f>
        <v>39985</v>
      </c>
      <c r="C185" s="9">
        <f>SUM(C186:C189)</f>
        <v>40078</v>
      </c>
      <c r="D185" s="9">
        <f>SUM(D186:D189)</f>
        <v>39775</v>
      </c>
      <c r="E185" s="22">
        <v>33046</v>
      </c>
      <c r="F185" s="22">
        <v>33082</v>
      </c>
      <c r="G185" s="9">
        <v>30553</v>
      </c>
      <c r="H185" s="9">
        <v>31576</v>
      </c>
      <c r="I185" s="9">
        <v>34298</v>
      </c>
      <c r="J185" s="9">
        <v>34176</v>
      </c>
      <c r="K185" s="9">
        <f>SUM(K186:K189)</f>
        <v>32459</v>
      </c>
      <c r="L185" s="9">
        <f>SUM(L186:L189)</f>
        <v>33752</v>
      </c>
    </row>
    <row r="186" spans="1:12" s="3" customFormat="1" x14ac:dyDescent="0.2">
      <c r="A186" s="3" t="s">
        <v>147</v>
      </c>
      <c r="B186" s="11">
        <v>38526</v>
      </c>
      <c r="C186" s="11">
        <v>38922</v>
      </c>
      <c r="D186" s="11">
        <v>37866</v>
      </c>
      <c r="E186" s="18">
        <v>32060</v>
      </c>
      <c r="F186" s="18">
        <v>31901</v>
      </c>
      <c r="G186" s="11">
        <v>29162</v>
      </c>
      <c r="H186" s="11">
        <v>30446</v>
      </c>
      <c r="I186" s="11">
        <v>32343</v>
      </c>
      <c r="J186" s="11">
        <v>31085</v>
      </c>
      <c r="K186" s="11">
        <v>29086</v>
      </c>
      <c r="L186" s="11">
        <v>30107</v>
      </c>
    </row>
    <row r="187" spans="1:12" s="3" customFormat="1" x14ac:dyDescent="0.2">
      <c r="A187" s="3" t="s">
        <v>212</v>
      </c>
      <c r="B187" s="29" t="s">
        <v>213</v>
      </c>
      <c r="C187" s="29" t="s">
        <v>213</v>
      </c>
      <c r="D187" s="29" t="s">
        <v>213</v>
      </c>
      <c r="E187" s="29" t="s">
        <v>213</v>
      </c>
      <c r="F187" s="29" t="s">
        <v>213</v>
      </c>
      <c r="G187" s="29" t="s">
        <v>213</v>
      </c>
      <c r="H187" s="29" t="s">
        <v>213</v>
      </c>
      <c r="I187" s="29" t="s">
        <v>213</v>
      </c>
      <c r="J187" s="29" t="s">
        <v>213</v>
      </c>
      <c r="K187" s="11">
        <v>1048</v>
      </c>
      <c r="L187" s="11">
        <v>924</v>
      </c>
    </row>
    <row r="188" spans="1:12" s="3" customFormat="1" x14ac:dyDescent="0.2">
      <c r="A188" s="3" t="s">
        <v>148</v>
      </c>
      <c r="B188" s="11">
        <v>257</v>
      </c>
      <c r="C188" s="11">
        <v>130</v>
      </c>
      <c r="D188" s="11">
        <v>658</v>
      </c>
      <c r="E188" s="18">
        <v>109</v>
      </c>
      <c r="F188" s="18">
        <v>148</v>
      </c>
      <c r="G188" s="11">
        <v>109</v>
      </c>
      <c r="H188" s="11">
        <v>9</v>
      </c>
      <c r="I188" s="11">
        <v>60</v>
      </c>
      <c r="J188" s="11">
        <v>200</v>
      </c>
      <c r="K188" s="11">
        <v>205</v>
      </c>
      <c r="L188" s="11">
        <v>436</v>
      </c>
    </row>
    <row r="189" spans="1:12" s="3" customFormat="1" x14ac:dyDescent="0.2">
      <c r="A189" s="3" t="s">
        <v>149</v>
      </c>
      <c r="B189" s="11">
        <v>1202</v>
      </c>
      <c r="C189" s="11">
        <v>1026</v>
      </c>
      <c r="D189" s="11">
        <v>1251</v>
      </c>
      <c r="E189" s="18">
        <v>877</v>
      </c>
      <c r="F189" s="18">
        <v>1033</v>
      </c>
      <c r="G189" s="11">
        <v>1282</v>
      </c>
      <c r="H189" s="11">
        <v>1121</v>
      </c>
      <c r="I189" s="11">
        <v>1895</v>
      </c>
      <c r="J189" s="11">
        <v>2274</v>
      </c>
      <c r="K189" s="11">
        <v>2120</v>
      </c>
      <c r="L189" s="11">
        <v>2285</v>
      </c>
    </row>
    <row r="190" spans="1:12" s="3" customFormat="1" x14ac:dyDescent="0.2">
      <c r="I190" s="4"/>
      <c r="J190" s="18"/>
      <c r="K190" s="11"/>
      <c r="L190" s="11"/>
    </row>
    <row r="191" spans="1:12" s="3" customFormat="1" ht="10.5" customHeight="1" x14ac:dyDescent="0.2">
      <c r="I191" s="4"/>
      <c r="J191" s="18"/>
      <c r="K191" s="11"/>
      <c r="L191" s="11"/>
    </row>
    <row r="192" spans="1:12" s="3" customFormat="1" x14ac:dyDescent="0.2">
      <c r="I192" s="4"/>
      <c r="J192" s="18"/>
      <c r="K192" s="11"/>
      <c r="L192" s="11"/>
    </row>
    <row r="193" spans="1:12" s="3" customFormat="1" x14ac:dyDescent="0.2">
      <c r="I193" s="4"/>
      <c r="J193" s="18"/>
      <c r="K193" s="11"/>
      <c r="L193" s="11"/>
    </row>
    <row r="194" spans="1:12" s="3" customFormat="1" x14ac:dyDescent="0.2">
      <c r="I194" s="4"/>
      <c r="J194" s="18"/>
      <c r="K194" s="11"/>
      <c r="L194" s="11"/>
    </row>
    <row r="195" spans="1:12" s="3" customFormat="1" x14ac:dyDescent="0.2">
      <c r="I195" s="4"/>
      <c r="J195" s="18"/>
      <c r="K195" s="11"/>
      <c r="L195" s="11"/>
    </row>
    <row r="196" spans="1:12" s="3" customFormat="1" x14ac:dyDescent="0.2">
      <c r="I196" s="4"/>
      <c r="J196" s="18"/>
      <c r="K196" s="11"/>
      <c r="L196" s="11"/>
    </row>
    <row r="197" spans="1:12" s="3" customFormat="1" x14ac:dyDescent="0.2">
      <c r="I197" s="4"/>
      <c r="J197" s="18"/>
      <c r="K197" s="11"/>
      <c r="L197" s="11"/>
    </row>
    <row r="198" spans="1:12" s="3" customFormat="1" x14ac:dyDescent="0.2">
      <c r="I198" s="4"/>
      <c r="J198" s="18"/>
      <c r="K198" s="11"/>
      <c r="L198" s="11"/>
    </row>
    <row r="199" spans="1:12" s="3" customFormat="1" x14ac:dyDescent="0.2">
      <c r="I199" s="4"/>
      <c r="J199" s="18"/>
      <c r="K199" s="11"/>
      <c r="L199" s="11"/>
    </row>
    <row r="200" spans="1:12" s="3" customFormat="1" x14ac:dyDescent="0.2">
      <c r="I200" s="4"/>
      <c r="J200" s="18"/>
      <c r="K200" s="11"/>
      <c r="L200" s="11"/>
    </row>
    <row r="201" spans="1:12" s="3" customFormat="1" x14ac:dyDescent="0.2">
      <c r="I201" s="4"/>
      <c r="J201" s="18"/>
      <c r="K201" s="11"/>
      <c r="L201" s="11"/>
    </row>
    <row r="202" spans="1:12" s="3" customFormat="1" x14ac:dyDescent="0.2">
      <c r="I202" s="4"/>
      <c r="J202" s="18"/>
      <c r="K202" s="11"/>
      <c r="L202" s="11"/>
    </row>
    <row r="203" spans="1:12" s="3" customFormat="1" x14ac:dyDescent="0.2">
      <c r="I203" s="4"/>
      <c r="J203" s="18"/>
      <c r="K203" s="11"/>
      <c r="L203" s="11"/>
    </row>
    <row r="204" spans="1:12" s="3" customFormat="1" x14ac:dyDescent="0.2">
      <c r="I204" s="4"/>
      <c r="J204" s="18"/>
      <c r="K204" s="11"/>
      <c r="L204" s="11"/>
    </row>
    <row r="205" spans="1:12" s="14" customFormat="1" ht="12" x14ac:dyDescent="0.25">
      <c r="A205" s="115" t="s">
        <v>225</v>
      </c>
      <c r="B205" s="115"/>
      <c r="C205" s="115"/>
      <c r="D205" s="115"/>
      <c r="E205" s="115"/>
      <c r="F205" s="115"/>
      <c r="G205" s="115"/>
      <c r="H205" s="115"/>
      <c r="I205" s="115"/>
      <c r="J205" s="115"/>
      <c r="K205" s="26"/>
      <c r="L205" s="26"/>
    </row>
    <row r="206" spans="1:12" s="7" customFormat="1" ht="10.199999999999999" x14ac:dyDescent="0.2">
      <c r="A206" s="118" t="s">
        <v>0</v>
      </c>
      <c r="B206" s="118"/>
      <c r="C206" s="118"/>
      <c r="D206" s="118"/>
      <c r="E206" s="118"/>
      <c r="F206" s="118"/>
      <c r="G206" s="118"/>
      <c r="H206" s="118"/>
      <c r="I206" s="118"/>
      <c r="J206" s="118"/>
      <c r="K206" s="118"/>
      <c r="L206" s="16"/>
    </row>
    <row r="207" spans="1:12" s="3" customFormat="1" x14ac:dyDescent="0.2">
      <c r="I207" s="4"/>
      <c r="J207" s="18"/>
      <c r="K207" s="11"/>
      <c r="L207" s="11" t="s">
        <v>217</v>
      </c>
    </row>
    <row r="208" spans="1:12" s="7" customFormat="1" x14ac:dyDescent="0.2">
      <c r="A208" s="5" t="s">
        <v>1</v>
      </c>
      <c r="B208" s="6">
        <v>2007</v>
      </c>
      <c r="C208" s="6">
        <v>2008</v>
      </c>
      <c r="D208" s="5">
        <v>2009</v>
      </c>
      <c r="E208" s="28">
        <v>2010</v>
      </c>
      <c r="F208" s="28">
        <v>2011</v>
      </c>
      <c r="G208" s="6">
        <v>2012</v>
      </c>
      <c r="H208" s="6">
        <v>2013</v>
      </c>
      <c r="I208" s="6">
        <v>2014</v>
      </c>
      <c r="J208" s="6">
        <v>2015</v>
      </c>
      <c r="K208" s="6">
        <v>2016</v>
      </c>
      <c r="L208" s="6">
        <v>2017</v>
      </c>
    </row>
    <row r="209" spans="1:12" s="7" customFormat="1" x14ac:dyDescent="0.2">
      <c r="A209" s="8" t="s">
        <v>150</v>
      </c>
      <c r="B209" s="10">
        <f>SUM(B210:B226)</f>
        <v>339938</v>
      </c>
      <c r="C209" s="10">
        <f>SUM(C210:C226)</f>
        <v>412266</v>
      </c>
      <c r="D209" s="10">
        <f>SUM(D210:D226)</f>
        <v>456225</v>
      </c>
      <c r="E209" s="27">
        <v>380759</v>
      </c>
      <c r="F209" s="27">
        <v>418031</v>
      </c>
      <c r="G209" s="9">
        <v>446669</v>
      </c>
      <c r="H209" s="9">
        <v>530450</v>
      </c>
      <c r="I209" s="9">
        <v>430167</v>
      </c>
      <c r="J209" s="9">
        <v>358277</v>
      </c>
      <c r="K209" s="9">
        <f>SUM(K210:K226)</f>
        <v>344570</v>
      </c>
      <c r="L209" s="9">
        <f>SUM(L210:L226)</f>
        <v>409130</v>
      </c>
    </row>
    <row r="210" spans="1:12" s="3" customFormat="1" x14ac:dyDescent="0.2">
      <c r="A210" s="3" t="s">
        <v>151</v>
      </c>
      <c r="B210" s="29">
        <v>13</v>
      </c>
      <c r="C210" s="29" t="s">
        <v>213</v>
      </c>
      <c r="D210" s="29" t="s">
        <v>213</v>
      </c>
      <c r="E210" s="29" t="s">
        <v>213</v>
      </c>
      <c r="F210" s="29" t="s">
        <v>213</v>
      </c>
      <c r="G210" s="18">
        <v>1</v>
      </c>
      <c r="H210" s="18" t="s">
        <v>213</v>
      </c>
      <c r="I210" s="18" t="s">
        <v>213</v>
      </c>
      <c r="J210" s="18" t="s">
        <v>213</v>
      </c>
      <c r="K210" s="18" t="s">
        <v>213</v>
      </c>
      <c r="L210" s="18">
        <v>2</v>
      </c>
    </row>
    <row r="211" spans="1:12" s="3" customFormat="1" x14ac:dyDescent="0.2">
      <c r="A211" s="3" t="s">
        <v>152</v>
      </c>
      <c r="B211" s="29">
        <v>494</v>
      </c>
      <c r="C211" s="29">
        <v>292</v>
      </c>
      <c r="D211" s="29">
        <v>375</v>
      </c>
      <c r="E211" s="29">
        <v>219</v>
      </c>
      <c r="F211" s="29">
        <v>222</v>
      </c>
      <c r="G211" s="18">
        <v>135</v>
      </c>
      <c r="H211" s="18">
        <v>243</v>
      </c>
      <c r="I211" s="18">
        <v>576</v>
      </c>
      <c r="J211" s="18">
        <v>270</v>
      </c>
      <c r="K211" s="18">
        <v>194</v>
      </c>
      <c r="L211" s="18">
        <v>228</v>
      </c>
    </row>
    <row r="212" spans="1:12" s="3" customFormat="1" x14ac:dyDescent="0.2">
      <c r="A212" s="3" t="s">
        <v>187</v>
      </c>
      <c r="B212" s="29">
        <v>136766</v>
      </c>
      <c r="C212" s="29">
        <v>202262</v>
      </c>
      <c r="D212" s="29">
        <v>222628</v>
      </c>
      <c r="E212" s="29">
        <v>190746</v>
      </c>
      <c r="F212" s="29">
        <v>241633</v>
      </c>
      <c r="G212" s="18">
        <f>(37+268685)</f>
        <v>268722</v>
      </c>
      <c r="H212" s="18">
        <v>313341</v>
      </c>
      <c r="I212" s="18">
        <v>219998</v>
      </c>
      <c r="J212" s="18">
        <v>115311</v>
      </c>
      <c r="K212" s="18">
        <v>155740</v>
      </c>
      <c r="L212" s="18">
        <v>203850</v>
      </c>
    </row>
    <row r="213" spans="1:12" s="3" customFormat="1" x14ac:dyDescent="0.2">
      <c r="A213" s="3" t="s">
        <v>154</v>
      </c>
      <c r="B213" s="29">
        <v>980</v>
      </c>
      <c r="C213" s="29">
        <v>1031</v>
      </c>
      <c r="D213" s="29">
        <v>2001</v>
      </c>
      <c r="E213" s="29">
        <v>914</v>
      </c>
      <c r="F213" s="29">
        <v>998</v>
      </c>
      <c r="G213" s="18">
        <v>1400</v>
      </c>
      <c r="H213" s="18">
        <v>2475</v>
      </c>
      <c r="I213" s="18">
        <v>2715</v>
      </c>
      <c r="J213" s="18">
        <v>2199</v>
      </c>
      <c r="K213" s="18">
        <v>2125</v>
      </c>
      <c r="L213" s="18">
        <v>1270</v>
      </c>
    </row>
    <row r="214" spans="1:12" s="3" customFormat="1" x14ac:dyDescent="0.2">
      <c r="A214" s="3" t="s">
        <v>155</v>
      </c>
      <c r="B214" s="29">
        <v>4274</v>
      </c>
      <c r="C214" s="29">
        <v>4872</v>
      </c>
      <c r="D214" s="29">
        <v>5872</v>
      </c>
      <c r="E214" s="29">
        <v>6048</v>
      </c>
      <c r="F214" s="29">
        <v>6468</v>
      </c>
      <c r="G214" s="18">
        <v>2648</v>
      </c>
      <c r="H214" s="18">
        <v>8304</v>
      </c>
      <c r="I214" s="18">
        <v>8508</v>
      </c>
      <c r="J214" s="18">
        <v>9441</v>
      </c>
      <c r="K214" s="18">
        <v>8015</v>
      </c>
      <c r="L214" s="18">
        <v>9194</v>
      </c>
    </row>
    <row r="215" spans="1:12" s="3" customFormat="1" x14ac:dyDescent="0.2">
      <c r="A215" s="3" t="s">
        <v>156</v>
      </c>
      <c r="B215" s="29">
        <v>7</v>
      </c>
      <c r="C215" s="29">
        <v>16</v>
      </c>
      <c r="D215" s="29">
        <v>38</v>
      </c>
      <c r="E215" s="29">
        <v>12</v>
      </c>
      <c r="F215" s="29">
        <v>5</v>
      </c>
      <c r="G215" s="18">
        <v>18</v>
      </c>
      <c r="H215" s="18">
        <v>41</v>
      </c>
      <c r="I215" s="18">
        <v>26</v>
      </c>
      <c r="J215" s="18" t="s">
        <v>213</v>
      </c>
      <c r="K215" s="18">
        <v>13</v>
      </c>
      <c r="L215" s="18">
        <v>35</v>
      </c>
    </row>
    <row r="216" spans="1:12" s="3" customFormat="1" x14ac:dyDescent="0.2">
      <c r="A216" s="3" t="s">
        <v>157</v>
      </c>
      <c r="B216" s="29">
        <v>10950</v>
      </c>
      <c r="C216" s="29">
        <v>17061</v>
      </c>
      <c r="D216" s="29">
        <v>14097</v>
      </c>
      <c r="E216" s="29">
        <v>11735</v>
      </c>
      <c r="F216" s="29">
        <v>19400</v>
      </c>
      <c r="G216" s="18">
        <v>25943</v>
      </c>
      <c r="H216" s="18">
        <v>30556</v>
      </c>
      <c r="I216" s="18">
        <v>25626</v>
      </c>
      <c r="J216" s="18">
        <v>28558</v>
      </c>
      <c r="K216" s="18">
        <v>31875</v>
      </c>
      <c r="L216" s="18">
        <v>29870</v>
      </c>
    </row>
    <row r="217" spans="1:12" s="3" customFormat="1" x14ac:dyDescent="0.2">
      <c r="A217" s="3" t="s">
        <v>158</v>
      </c>
      <c r="B217" s="29">
        <v>31010</v>
      </c>
      <c r="C217" s="29">
        <v>33754</v>
      </c>
      <c r="D217" s="29">
        <v>54120</v>
      </c>
      <c r="E217" s="29">
        <v>62734</v>
      </c>
      <c r="F217" s="29">
        <v>46239</v>
      </c>
      <c r="G217" s="18">
        <v>48040</v>
      </c>
      <c r="H217" s="18">
        <v>38724</v>
      </c>
      <c r="I217" s="18">
        <v>60531</v>
      </c>
      <c r="J217" s="18">
        <v>72071</v>
      </c>
      <c r="K217" s="18">
        <v>49802</v>
      </c>
      <c r="L217" s="18">
        <v>56918</v>
      </c>
    </row>
    <row r="218" spans="1:12" s="3" customFormat="1" x14ac:dyDescent="0.2">
      <c r="A218" s="3" t="s">
        <v>159</v>
      </c>
      <c r="B218" s="29" t="s">
        <v>213</v>
      </c>
      <c r="C218" s="29">
        <v>2</v>
      </c>
      <c r="D218" s="29" t="s">
        <v>213</v>
      </c>
      <c r="E218" s="29" t="s">
        <v>213</v>
      </c>
      <c r="F218" s="29" t="s">
        <v>213</v>
      </c>
      <c r="G218" s="18" t="s">
        <v>213</v>
      </c>
      <c r="H218" s="18">
        <v>52</v>
      </c>
      <c r="I218" s="18">
        <v>407</v>
      </c>
      <c r="J218" s="18">
        <v>902</v>
      </c>
      <c r="K218" s="18">
        <v>239</v>
      </c>
      <c r="L218" s="18">
        <v>610</v>
      </c>
    </row>
    <row r="219" spans="1:12" s="3" customFormat="1" x14ac:dyDescent="0.2">
      <c r="A219" s="3" t="s">
        <v>160</v>
      </c>
      <c r="B219" s="29">
        <v>33</v>
      </c>
      <c r="C219" s="29">
        <v>87</v>
      </c>
      <c r="D219" s="29">
        <v>102</v>
      </c>
      <c r="E219" s="29">
        <v>16</v>
      </c>
      <c r="F219" s="29">
        <v>41</v>
      </c>
      <c r="G219" s="18">
        <v>89</v>
      </c>
      <c r="H219" s="18">
        <v>90</v>
      </c>
      <c r="I219" s="18">
        <v>132</v>
      </c>
      <c r="J219" s="18">
        <v>176</v>
      </c>
      <c r="K219" s="18">
        <v>105</v>
      </c>
      <c r="L219" s="18">
        <v>158</v>
      </c>
    </row>
    <row r="220" spans="1:12" s="33" customFormat="1" x14ac:dyDescent="0.2">
      <c r="A220" s="3" t="s">
        <v>161</v>
      </c>
      <c r="B220" s="29">
        <v>5108</v>
      </c>
      <c r="C220" s="29">
        <v>4372</v>
      </c>
      <c r="D220" s="29">
        <v>4225</v>
      </c>
      <c r="E220" s="29">
        <v>1172</v>
      </c>
      <c r="F220" s="29">
        <v>2096</v>
      </c>
      <c r="G220" s="35">
        <v>1574</v>
      </c>
      <c r="H220" s="35">
        <v>3181</v>
      </c>
      <c r="I220" s="35">
        <v>4607</v>
      </c>
      <c r="J220" s="35">
        <v>3013</v>
      </c>
      <c r="K220" s="35">
        <v>2273</v>
      </c>
      <c r="L220" s="35">
        <v>1427</v>
      </c>
    </row>
    <row r="221" spans="1:12" s="33" customFormat="1" x14ac:dyDescent="0.2">
      <c r="A221" s="3" t="s">
        <v>162</v>
      </c>
      <c r="B221" s="29">
        <v>12297</v>
      </c>
      <c r="C221" s="29">
        <v>14941</v>
      </c>
      <c r="D221" s="29">
        <v>34289</v>
      </c>
      <c r="E221" s="29">
        <v>30194</v>
      </c>
      <c r="F221" s="29">
        <v>29559</v>
      </c>
      <c r="G221" s="18">
        <v>36758</v>
      </c>
      <c r="H221" s="18">
        <v>34157</v>
      </c>
      <c r="I221" s="18">
        <v>34693</v>
      </c>
      <c r="J221" s="18">
        <v>41077</v>
      </c>
      <c r="K221" s="18">
        <v>30694</v>
      </c>
      <c r="L221" s="18">
        <v>21260</v>
      </c>
    </row>
    <row r="222" spans="1:12" s="33" customFormat="1" x14ac:dyDescent="0.2">
      <c r="A222" s="3" t="s">
        <v>163</v>
      </c>
      <c r="B222" s="29" t="s">
        <v>213</v>
      </c>
      <c r="C222" s="29" t="s">
        <v>213</v>
      </c>
      <c r="D222" s="29" t="s">
        <v>213</v>
      </c>
      <c r="E222" s="29" t="s">
        <v>213</v>
      </c>
      <c r="F222" s="29" t="s">
        <v>213</v>
      </c>
      <c r="G222" s="18" t="s">
        <v>213</v>
      </c>
      <c r="H222" s="18" t="s">
        <v>213</v>
      </c>
      <c r="I222" s="18" t="s">
        <v>213</v>
      </c>
      <c r="J222" s="18" t="s">
        <v>213</v>
      </c>
      <c r="K222" s="18" t="s">
        <v>213</v>
      </c>
      <c r="L222" s="18" t="s">
        <v>213</v>
      </c>
    </row>
    <row r="223" spans="1:12" s="33" customFormat="1" x14ac:dyDescent="0.2">
      <c r="A223" s="3" t="s">
        <v>164</v>
      </c>
      <c r="B223" s="29">
        <v>41879</v>
      </c>
      <c r="C223" s="29">
        <v>41896</v>
      </c>
      <c r="D223" s="29">
        <v>29159</v>
      </c>
      <c r="E223" s="29">
        <v>19725</v>
      </c>
      <c r="F223" s="29">
        <v>14616</v>
      </c>
      <c r="G223" s="18">
        <v>26354</v>
      </c>
      <c r="H223" s="18">
        <v>40760</v>
      </c>
      <c r="I223" s="18">
        <v>27068</v>
      </c>
      <c r="J223" s="18">
        <v>27327</v>
      </c>
      <c r="K223" s="18">
        <v>22199</v>
      </c>
      <c r="L223" s="18">
        <v>20058</v>
      </c>
    </row>
    <row r="224" spans="1:12" s="3" customFormat="1" x14ac:dyDescent="0.2">
      <c r="A224" s="3" t="s">
        <v>165</v>
      </c>
      <c r="B224" s="29">
        <v>93402</v>
      </c>
      <c r="C224" s="29">
        <v>85653</v>
      </c>
      <c r="D224" s="29">
        <v>89316</v>
      </c>
      <c r="E224" s="29">
        <v>57239</v>
      </c>
      <c r="F224" s="29">
        <v>56732</v>
      </c>
      <c r="G224" s="18">
        <v>34928</v>
      </c>
      <c r="H224" s="18">
        <v>58513</v>
      </c>
      <c r="I224" s="18">
        <v>45144</v>
      </c>
      <c r="J224" s="18">
        <v>57879</v>
      </c>
      <c r="K224" s="18">
        <v>41259</v>
      </c>
      <c r="L224" s="18">
        <v>64089</v>
      </c>
    </row>
    <row r="225" spans="1:12" s="3" customFormat="1" x14ac:dyDescent="0.2">
      <c r="A225" s="3" t="s">
        <v>166</v>
      </c>
      <c r="B225" s="29">
        <v>2712</v>
      </c>
      <c r="C225" s="29">
        <v>6000</v>
      </c>
      <c r="D225" s="29">
        <v>3</v>
      </c>
      <c r="E225" s="29">
        <v>5</v>
      </c>
      <c r="F225" s="29">
        <v>22</v>
      </c>
      <c r="G225" s="18">
        <v>10</v>
      </c>
      <c r="H225" s="18">
        <v>12</v>
      </c>
      <c r="I225" s="18" t="s">
        <v>213</v>
      </c>
      <c r="J225" s="18" t="s">
        <v>213</v>
      </c>
      <c r="K225" s="18">
        <v>4</v>
      </c>
      <c r="L225" s="18">
        <v>39</v>
      </c>
    </row>
    <row r="226" spans="1:12" s="3" customFormat="1" x14ac:dyDescent="0.2">
      <c r="A226" s="3" t="s">
        <v>167</v>
      </c>
      <c r="B226" s="29">
        <v>13</v>
      </c>
      <c r="C226" s="29">
        <v>27</v>
      </c>
      <c r="D226" s="29" t="s">
        <v>213</v>
      </c>
      <c r="E226" s="29" t="s">
        <v>213</v>
      </c>
      <c r="F226" s="29" t="s">
        <v>213</v>
      </c>
      <c r="G226" s="18">
        <f>(36+13)</f>
        <v>49</v>
      </c>
      <c r="H226" s="18">
        <v>1</v>
      </c>
      <c r="I226" s="18">
        <v>136</v>
      </c>
      <c r="J226" s="18">
        <v>53</v>
      </c>
      <c r="K226" s="18">
        <v>33</v>
      </c>
      <c r="L226" s="18">
        <v>122</v>
      </c>
    </row>
    <row r="227" spans="1:12" s="3" customFormat="1" x14ac:dyDescent="0.2">
      <c r="B227" s="11"/>
      <c r="C227" s="11"/>
      <c r="D227" s="11"/>
      <c r="E227" s="11"/>
      <c r="F227" s="11"/>
      <c r="G227" s="11"/>
      <c r="H227" s="11"/>
      <c r="J227" s="18"/>
      <c r="K227" s="11"/>
      <c r="L227" s="11"/>
    </row>
    <row r="228" spans="1:12" s="3" customFormat="1" x14ac:dyDescent="0.2">
      <c r="B228" s="11"/>
      <c r="C228" s="11"/>
      <c r="D228" s="11"/>
      <c r="E228" s="11"/>
      <c r="F228" s="11"/>
      <c r="G228" s="11"/>
      <c r="H228" s="11"/>
      <c r="J228" s="18"/>
      <c r="K228" s="11"/>
      <c r="L228" s="11"/>
    </row>
    <row r="229" spans="1:12" s="3" customFormat="1" x14ac:dyDescent="0.2">
      <c r="B229" s="11"/>
      <c r="C229" s="11"/>
      <c r="D229" s="11"/>
      <c r="E229" s="11"/>
      <c r="F229" s="11"/>
      <c r="G229" s="11"/>
      <c r="H229" s="11"/>
      <c r="J229" s="18"/>
      <c r="K229" s="11"/>
      <c r="L229" s="11"/>
    </row>
    <row r="230" spans="1:12" s="3" customFormat="1" x14ac:dyDescent="0.2">
      <c r="H230" s="11"/>
      <c r="I230" s="4"/>
      <c r="J230" s="18"/>
      <c r="K230" s="11"/>
      <c r="L230" s="11"/>
    </row>
    <row r="231" spans="1:12" s="14" customFormat="1" ht="12" x14ac:dyDescent="0.25">
      <c r="A231" s="115" t="s">
        <v>226</v>
      </c>
      <c r="B231" s="115"/>
      <c r="C231" s="115"/>
      <c r="D231" s="115"/>
      <c r="E231" s="115"/>
      <c r="F231" s="115"/>
      <c r="G231" s="115"/>
      <c r="H231" s="115"/>
      <c r="I231" s="115"/>
      <c r="J231" s="115"/>
      <c r="K231" s="26"/>
      <c r="L231" s="26"/>
    </row>
    <row r="232" spans="1:12" s="7" customFormat="1" ht="10.199999999999999" x14ac:dyDescent="0.2">
      <c r="A232" s="118" t="s">
        <v>0</v>
      </c>
      <c r="B232" s="118"/>
      <c r="C232" s="118"/>
      <c r="D232" s="118"/>
      <c r="E232" s="118"/>
      <c r="F232" s="118"/>
      <c r="G232" s="118"/>
      <c r="H232" s="118"/>
      <c r="I232" s="118"/>
      <c r="J232" s="118"/>
      <c r="K232" s="118"/>
      <c r="L232" s="16"/>
    </row>
    <row r="233" spans="1:12" s="3" customFormat="1" x14ac:dyDescent="0.2">
      <c r="I233" s="4"/>
      <c r="J233" s="18"/>
      <c r="K233" s="11"/>
      <c r="L233" s="11"/>
    </row>
    <row r="234" spans="1:12" s="7" customFormat="1" x14ac:dyDescent="0.2">
      <c r="A234" s="5" t="s">
        <v>1</v>
      </c>
      <c r="B234" s="6">
        <v>2007</v>
      </c>
      <c r="C234" s="6">
        <v>2008</v>
      </c>
      <c r="D234" s="5">
        <v>2009</v>
      </c>
      <c r="E234" s="28">
        <v>2010</v>
      </c>
      <c r="F234" s="28">
        <v>2011</v>
      </c>
      <c r="G234" s="6">
        <v>2012</v>
      </c>
      <c r="H234" s="6">
        <v>2013</v>
      </c>
      <c r="I234" s="5">
        <v>2014</v>
      </c>
      <c r="J234" s="5">
        <v>2015</v>
      </c>
      <c r="K234" s="5">
        <v>2016</v>
      </c>
      <c r="L234" s="5">
        <v>2017</v>
      </c>
    </row>
    <row r="235" spans="1:12" s="7" customFormat="1" x14ac:dyDescent="0.2">
      <c r="A235" s="5" t="s">
        <v>168</v>
      </c>
      <c r="B235" s="9">
        <v>4937021</v>
      </c>
      <c r="C235" s="9">
        <v>4810216</v>
      </c>
      <c r="D235" s="10">
        <v>4579831</v>
      </c>
      <c r="E235" s="27">
        <v>3761557</v>
      </c>
      <c r="F235" s="27">
        <v>4435373</v>
      </c>
      <c r="G235" s="10">
        <v>4110534</v>
      </c>
      <c r="H235" s="10">
        <v>3352698</v>
      </c>
      <c r="I235" s="10">
        <v>3803193</v>
      </c>
      <c r="J235" s="10">
        <f>SUM(J209+J185+J140+J107+J6)</f>
        <v>3323035</v>
      </c>
      <c r="K235" s="10">
        <v>2876585</v>
      </c>
      <c r="L235" s="10">
        <v>3533116</v>
      </c>
    </row>
    <row r="236" spans="1:12" s="7" customFormat="1" x14ac:dyDescent="0.2">
      <c r="A236" s="15"/>
      <c r="B236" s="17"/>
      <c r="C236" s="17"/>
      <c r="D236" s="17"/>
      <c r="E236" s="36"/>
      <c r="F236" s="36"/>
      <c r="G236" s="17"/>
      <c r="H236" s="17"/>
      <c r="I236" s="17"/>
      <c r="J236" s="17"/>
      <c r="K236" s="17"/>
    </row>
    <row r="237" spans="1:12" s="7" customFormat="1" x14ac:dyDescent="0.2">
      <c r="A237" s="15"/>
      <c r="B237" s="17"/>
      <c r="C237" s="17"/>
      <c r="D237" s="17"/>
      <c r="E237" s="36"/>
      <c r="F237" s="36"/>
      <c r="G237" s="17"/>
      <c r="H237" s="17"/>
      <c r="I237" s="17"/>
      <c r="J237" s="17"/>
      <c r="K237" s="17"/>
    </row>
    <row r="238" spans="1:12" ht="12" x14ac:dyDescent="0.25">
      <c r="A238" s="117" t="s">
        <v>218</v>
      </c>
      <c r="B238" s="117"/>
      <c r="C238" s="117"/>
      <c r="D238" s="117"/>
      <c r="E238" s="117"/>
      <c r="F238" s="117"/>
      <c r="G238" s="117"/>
      <c r="H238" s="117"/>
      <c r="I238" s="117"/>
      <c r="J238" s="117"/>
      <c r="K238" s="117"/>
      <c r="L238" s="37"/>
    </row>
    <row r="239" spans="1:12" s="40" customFormat="1" ht="11.4" x14ac:dyDescent="0.2">
      <c r="A239" s="116" t="s">
        <v>0</v>
      </c>
      <c r="B239" s="116"/>
      <c r="C239" s="116"/>
      <c r="D239" s="116"/>
      <c r="E239" s="116"/>
      <c r="F239" s="116"/>
      <c r="G239" s="116"/>
      <c r="H239" s="116"/>
      <c r="I239" s="116"/>
      <c r="J239" s="116"/>
      <c r="K239" s="116"/>
      <c r="L239" s="39"/>
    </row>
    <row r="240" spans="1:12" s="45" customFormat="1" x14ac:dyDescent="0.2">
      <c r="A240" s="38"/>
      <c r="B240" s="38"/>
      <c r="C240" s="38"/>
      <c r="D240" s="38"/>
      <c r="E240" s="38"/>
      <c r="F240" s="38"/>
      <c r="G240" s="38"/>
      <c r="H240" s="38"/>
      <c r="I240" s="41"/>
      <c r="J240" s="42"/>
      <c r="K240" s="43"/>
      <c r="L240" s="44"/>
    </row>
    <row r="241" spans="1:13" x14ac:dyDescent="0.2">
      <c r="A241" s="46" t="s">
        <v>1</v>
      </c>
      <c r="B241" s="47">
        <v>2007</v>
      </c>
      <c r="C241" s="47">
        <v>2008</v>
      </c>
      <c r="D241" s="46">
        <v>2009</v>
      </c>
      <c r="E241" s="48">
        <v>2010</v>
      </c>
      <c r="F241" s="48">
        <v>2011</v>
      </c>
      <c r="G241" s="47">
        <v>2012</v>
      </c>
      <c r="H241" s="47">
        <v>2013</v>
      </c>
      <c r="I241" s="46">
        <v>2014</v>
      </c>
      <c r="J241" s="46">
        <v>2015</v>
      </c>
      <c r="K241" s="46">
        <v>2016</v>
      </c>
      <c r="L241" s="46">
        <v>2017</v>
      </c>
    </row>
    <row r="242" spans="1:13" s="45" customFormat="1" x14ac:dyDescent="0.2">
      <c r="A242" s="38"/>
      <c r="B242" s="41"/>
      <c r="C242" s="41"/>
      <c r="D242" s="38"/>
      <c r="E242" s="42"/>
      <c r="F242" s="42"/>
      <c r="G242" s="43"/>
      <c r="H242" s="43"/>
      <c r="I242" s="38"/>
      <c r="J242" s="38"/>
      <c r="K242" s="38"/>
      <c r="L242" s="38"/>
    </row>
    <row r="243" spans="1:13" x14ac:dyDescent="0.2">
      <c r="A243" s="45" t="s">
        <v>169</v>
      </c>
      <c r="B243" s="49">
        <v>513158</v>
      </c>
      <c r="C243" s="49">
        <v>455304</v>
      </c>
      <c r="D243" s="49">
        <f>(423323+66+1683+2683+388+16+114)</f>
        <v>428273</v>
      </c>
      <c r="E243" s="50">
        <f>(362956+132+323+4+6+131+3531+15702+6986+238+151+2783)</f>
        <v>392943</v>
      </c>
      <c r="F243" s="50">
        <f>(510986+203+2+66+1794+12375+6000+187+71+2052)</f>
        <v>533736</v>
      </c>
      <c r="G243" s="44">
        <f>(563053+1001+12837+4596+186+2061+147+52)</f>
        <v>583933</v>
      </c>
      <c r="H243" s="44">
        <f>(548549+532+8710+5151+34+2328+242+234+230)</f>
        <v>566010</v>
      </c>
      <c r="I243" s="49">
        <f>(655688+220+6433+5413+27+1535+596+3+29+156)</f>
        <v>670100</v>
      </c>
      <c r="J243" s="49">
        <v>570843</v>
      </c>
      <c r="K243" s="51">
        <f>(497949+122298+12+1649+11+437+590+8081+4218+182+2732+5)</f>
        <v>638164</v>
      </c>
      <c r="L243" s="51">
        <f>SUM(L244+L247+L325+L362+L387)</f>
        <v>600269</v>
      </c>
    </row>
    <row r="244" spans="1:13" x14ac:dyDescent="0.2">
      <c r="A244" s="46" t="s">
        <v>150</v>
      </c>
      <c r="B244" s="52" t="s">
        <v>213</v>
      </c>
      <c r="C244" s="52" t="s">
        <v>213</v>
      </c>
      <c r="D244" s="52" t="s">
        <v>213</v>
      </c>
      <c r="E244" s="52" t="s">
        <v>213</v>
      </c>
      <c r="F244" s="52" t="s">
        <v>213</v>
      </c>
      <c r="G244" s="52" t="s">
        <v>213</v>
      </c>
      <c r="H244" s="52" t="s">
        <v>213</v>
      </c>
      <c r="I244" s="53">
        <v>10</v>
      </c>
      <c r="J244" s="53">
        <v>26</v>
      </c>
      <c r="K244" s="112" t="s">
        <v>213</v>
      </c>
      <c r="L244" s="54">
        <f>SUM(L245:L246)</f>
        <v>60</v>
      </c>
    </row>
    <row r="245" spans="1:13" x14ac:dyDescent="0.2">
      <c r="A245" s="55" t="s">
        <v>155</v>
      </c>
      <c r="B245" s="56" t="s">
        <v>213</v>
      </c>
      <c r="C245" s="56" t="s">
        <v>213</v>
      </c>
      <c r="D245" s="56" t="s">
        <v>213</v>
      </c>
      <c r="E245" s="56" t="s">
        <v>213</v>
      </c>
      <c r="F245" s="56" t="s">
        <v>213</v>
      </c>
      <c r="G245" s="56" t="s">
        <v>213</v>
      </c>
      <c r="H245" s="56" t="s">
        <v>213</v>
      </c>
      <c r="I245" s="57">
        <v>10</v>
      </c>
      <c r="J245" s="58">
        <v>9</v>
      </c>
      <c r="K245" s="59" t="s">
        <v>213</v>
      </c>
      <c r="L245" s="59" t="s">
        <v>213</v>
      </c>
    </row>
    <row r="246" spans="1:13" x14ac:dyDescent="0.2">
      <c r="A246" s="55" t="s">
        <v>157</v>
      </c>
      <c r="B246" s="60" t="s">
        <v>213</v>
      </c>
      <c r="C246" s="60" t="s">
        <v>213</v>
      </c>
      <c r="D246" s="60" t="s">
        <v>213</v>
      </c>
      <c r="E246" s="60" t="s">
        <v>213</v>
      </c>
      <c r="F246" s="60" t="s">
        <v>213</v>
      </c>
      <c r="G246" s="60" t="s">
        <v>213</v>
      </c>
      <c r="H246" s="60" t="s">
        <v>213</v>
      </c>
      <c r="I246" s="60" t="s">
        <v>213</v>
      </c>
      <c r="J246" s="61">
        <v>17</v>
      </c>
      <c r="K246" s="62" t="s">
        <v>213</v>
      </c>
      <c r="L246" s="62">
        <v>60</v>
      </c>
    </row>
    <row r="247" spans="1:13" ht="9.9" customHeight="1" x14ac:dyDescent="0.2">
      <c r="A247" s="63" t="s">
        <v>2</v>
      </c>
      <c r="B247" s="64">
        <v>454165</v>
      </c>
      <c r="C247" s="64">
        <v>369883</v>
      </c>
      <c r="D247" s="64">
        <v>366033</v>
      </c>
      <c r="E247" s="65">
        <f>(260682+596+3531+15702+6986+238+151+2783)</f>
        <v>290669</v>
      </c>
      <c r="F247" s="65">
        <f>(341042+1794+12375+5997+187+71+2052+203+2+66)</f>
        <v>363789</v>
      </c>
      <c r="G247" s="64">
        <f>(416233+998+12837+4587+186+2061+147+52)</f>
        <v>437101</v>
      </c>
      <c r="H247" s="64">
        <f>(407410+532+8710+5151+34+2328+242+234+230+1)</f>
        <v>424872</v>
      </c>
      <c r="I247" s="64">
        <f>(473318+220+6433+5413+27+1535+596+3+29+156)</f>
        <v>487730</v>
      </c>
      <c r="J247" s="66">
        <v>389057</v>
      </c>
      <c r="K247" s="67">
        <f>(305217+12+1649+11+98+590+5+8081+4218+182+2732)</f>
        <v>322795</v>
      </c>
      <c r="L247" s="67">
        <v>406182</v>
      </c>
    </row>
    <row r="248" spans="1:13" x14ac:dyDescent="0.2">
      <c r="A248" s="55" t="s">
        <v>5</v>
      </c>
      <c r="B248" s="68">
        <v>870</v>
      </c>
      <c r="C248" s="68">
        <v>311</v>
      </c>
      <c r="D248" s="68">
        <v>241</v>
      </c>
      <c r="E248" s="68">
        <f>(482+75)</f>
        <v>557</v>
      </c>
      <c r="F248" s="69">
        <f>(875+0)</f>
        <v>875</v>
      </c>
      <c r="G248" s="70">
        <v>1381</v>
      </c>
      <c r="H248" s="70">
        <v>639</v>
      </c>
      <c r="I248" s="68">
        <v>754</v>
      </c>
      <c r="J248" s="68">
        <v>872</v>
      </c>
      <c r="K248" s="71">
        <f>(1780+0)</f>
        <v>1780</v>
      </c>
      <c r="L248" s="71">
        <v>1839</v>
      </c>
    </row>
    <row r="249" spans="1:13" x14ac:dyDescent="0.2">
      <c r="A249" s="55" t="s">
        <v>6</v>
      </c>
      <c r="B249" s="68">
        <v>1235</v>
      </c>
      <c r="C249" s="68">
        <v>1278</v>
      </c>
      <c r="D249" s="68">
        <v>613</v>
      </c>
      <c r="E249" s="68">
        <v>459</v>
      </c>
      <c r="F249" s="68">
        <v>176</v>
      </c>
      <c r="G249" s="70" t="s">
        <v>213</v>
      </c>
      <c r="H249" s="70" t="s">
        <v>213</v>
      </c>
      <c r="I249" s="70" t="s">
        <v>213</v>
      </c>
      <c r="J249" s="70" t="s">
        <v>213</v>
      </c>
      <c r="K249" s="72" t="s">
        <v>213</v>
      </c>
      <c r="L249" s="72" t="s">
        <v>213</v>
      </c>
    </row>
    <row r="250" spans="1:13" x14ac:dyDescent="0.2">
      <c r="A250" s="55" t="s">
        <v>7</v>
      </c>
      <c r="B250" s="68">
        <v>73</v>
      </c>
      <c r="C250" s="68">
        <v>215</v>
      </c>
      <c r="D250" s="73">
        <v>53</v>
      </c>
      <c r="E250" s="68">
        <v>15</v>
      </c>
      <c r="F250" s="68">
        <v>6</v>
      </c>
      <c r="G250" s="70">
        <v>6</v>
      </c>
      <c r="H250" s="70">
        <v>32</v>
      </c>
      <c r="I250" s="68">
        <v>21</v>
      </c>
      <c r="J250" s="68">
        <v>2</v>
      </c>
      <c r="K250" s="72" t="s">
        <v>213</v>
      </c>
      <c r="L250" s="72">
        <v>41</v>
      </c>
    </row>
    <row r="251" spans="1:13" ht="9.9" customHeight="1" x14ac:dyDescent="0.25">
      <c r="A251" s="55" t="s">
        <v>9</v>
      </c>
      <c r="B251" s="68">
        <v>5</v>
      </c>
      <c r="C251" s="68" t="s">
        <v>213</v>
      </c>
      <c r="D251" s="73">
        <v>5</v>
      </c>
      <c r="E251" s="68" t="s">
        <v>213</v>
      </c>
      <c r="F251" s="68" t="s">
        <v>213</v>
      </c>
      <c r="G251" s="70">
        <v>13</v>
      </c>
      <c r="H251" s="70">
        <v>74</v>
      </c>
      <c r="I251" s="68">
        <v>1</v>
      </c>
      <c r="J251" s="68" t="s">
        <v>213</v>
      </c>
      <c r="K251" s="72" t="s">
        <v>213</v>
      </c>
      <c r="L251" s="72" t="s">
        <v>213</v>
      </c>
      <c r="M251" s="74"/>
    </row>
    <row r="252" spans="1:13" x14ac:dyDescent="0.2">
      <c r="A252" s="55" t="s">
        <v>11</v>
      </c>
      <c r="B252" s="68">
        <v>2</v>
      </c>
      <c r="C252" s="68">
        <v>1</v>
      </c>
      <c r="D252" s="73" t="s">
        <v>213</v>
      </c>
      <c r="E252" s="68" t="s">
        <v>213</v>
      </c>
      <c r="F252" s="68" t="s">
        <v>213</v>
      </c>
      <c r="G252" s="70">
        <v>25</v>
      </c>
      <c r="H252" s="70" t="s">
        <v>213</v>
      </c>
      <c r="I252" s="70" t="s">
        <v>213</v>
      </c>
      <c r="J252" s="70" t="s">
        <v>213</v>
      </c>
      <c r="K252" s="72" t="s">
        <v>213</v>
      </c>
      <c r="L252" s="72">
        <v>1</v>
      </c>
    </row>
    <row r="253" spans="1:13" x14ac:dyDescent="0.2">
      <c r="A253" s="55" t="s">
        <v>12</v>
      </c>
      <c r="B253" s="68" t="s">
        <v>213</v>
      </c>
      <c r="C253" s="68" t="s">
        <v>213</v>
      </c>
      <c r="D253" s="73" t="s">
        <v>213</v>
      </c>
      <c r="E253" s="68" t="s">
        <v>213</v>
      </c>
      <c r="F253" s="68" t="s">
        <v>213</v>
      </c>
      <c r="G253" s="70">
        <v>1</v>
      </c>
      <c r="H253" s="70" t="s">
        <v>213</v>
      </c>
      <c r="I253" s="70" t="s">
        <v>213</v>
      </c>
      <c r="J253" s="70" t="s">
        <v>213</v>
      </c>
      <c r="K253" s="72" t="s">
        <v>213</v>
      </c>
      <c r="L253" s="72" t="s">
        <v>213</v>
      </c>
    </row>
    <row r="254" spans="1:13" x14ac:dyDescent="0.2">
      <c r="A254" s="55" t="s">
        <v>13</v>
      </c>
      <c r="B254" s="68">
        <v>32</v>
      </c>
      <c r="C254" s="68">
        <v>13</v>
      </c>
      <c r="D254" s="73">
        <v>6</v>
      </c>
      <c r="E254" s="68">
        <v>1</v>
      </c>
      <c r="F254" s="68" t="s">
        <v>213</v>
      </c>
      <c r="G254" s="70">
        <v>6</v>
      </c>
      <c r="H254" s="70" t="s">
        <v>213</v>
      </c>
      <c r="I254" s="70" t="s">
        <v>213</v>
      </c>
      <c r="J254" s="70" t="s">
        <v>213</v>
      </c>
      <c r="K254" s="72" t="s">
        <v>213</v>
      </c>
      <c r="L254" s="72" t="s">
        <v>213</v>
      </c>
    </row>
    <row r="255" spans="1:13" x14ac:dyDescent="0.2">
      <c r="A255" s="55" t="s">
        <v>14</v>
      </c>
      <c r="B255" s="68" t="s">
        <v>213</v>
      </c>
      <c r="C255" s="68" t="s">
        <v>213</v>
      </c>
      <c r="D255" s="68" t="s">
        <v>213</v>
      </c>
      <c r="E255" s="68" t="s">
        <v>213</v>
      </c>
      <c r="F255" s="68" t="s">
        <v>213</v>
      </c>
      <c r="G255" s="70" t="s">
        <v>213</v>
      </c>
      <c r="H255" s="70" t="s">
        <v>213</v>
      </c>
      <c r="I255" s="70" t="s">
        <v>213</v>
      </c>
      <c r="J255" s="70" t="s">
        <v>213</v>
      </c>
      <c r="K255" s="72" t="s">
        <v>213</v>
      </c>
      <c r="L255" s="72" t="s">
        <v>213</v>
      </c>
    </row>
    <row r="256" spans="1:13" x14ac:dyDescent="0.2">
      <c r="A256" s="55" t="s">
        <v>15</v>
      </c>
      <c r="B256" s="68">
        <v>184</v>
      </c>
      <c r="C256" s="68" t="s">
        <v>213</v>
      </c>
      <c r="D256" s="73">
        <v>11</v>
      </c>
      <c r="E256" s="68" t="s">
        <v>213</v>
      </c>
      <c r="F256" s="68" t="s">
        <v>213</v>
      </c>
      <c r="G256" s="70">
        <v>2</v>
      </c>
      <c r="H256" s="70" t="s">
        <v>213</v>
      </c>
      <c r="I256" s="70" t="s">
        <v>213</v>
      </c>
      <c r="J256" s="70" t="s">
        <v>213</v>
      </c>
      <c r="K256" s="72">
        <v>3</v>
      </c>
      <c r="L256" s="72" t="s">
        <v>213</v>
      </c>
    </row>
    <row r="257" spans="1:13" x14ac:dyDescent="0.2">
      <c r="A257" s="55" t="s">
        <v>17</v>
      </c>
      <c r="B257" s="68" t="s">
        <v>213</v>
      </c>
      <c r="C257" s="68" t="s">
        <v>213</v>
      </c>
      <c r="D257" s="73" t="s">
        <v>213</v>
      </c>
      <c r="E257" s="68">
        <v>13</v>
      </c>
      <c r="F257" s="68" t="s">
        <v>213</v>
      </c>
      <c r="G257" s="70" t="s">
        <v>213</v>
      </c>
      <c r="H257" s="70" t="s">
        <v>213</v>
      </c>
      <c r="I257" s="70" t="s">
        <v>213</v>
      </c>
      <c r="J257" s="70" t="s">
        <v>213</v>
      </c>
      <c r="K257" s="72" t="s">
        <v>213</v>
      </c>
      <c r="L257" s="72" t="s">
        <v>213</v>
      </c>
    </row>
    <row r="258" spans="1:13" x14ac:dyDescent="0.2">
      <c r="A258" s="55" t="s">
        <v>18</v>
      </c>
      <c r="B258" s="68">
        <v>4540</v>
      </c>
      <c r="C258" s="68">
        <v>4092</v>
      </c>
      <c r="D258" s="73">
        <f>(854+1353+66)</f>
        <v>2273</v>
      </c>
      <c r="E258" s="68">
        <f>(990+3009+484)</f>
        <v>4483</v>
      </c>
      <c r="F258" s="68">
        <f>(1561+626+1123+321+203+66)</f>
        <v>3900</v>
      </c>
      <c r="G258" s="70">
        <f>(1471+147+52+98+1506+17+454)</f>
        <v>3745</v>
      </c>
      <c r="H258" s="70">
        <f>(1287+1420+478+242+230)</f>
        <v>3657</v>
      </c>
      <c r="I258" s="68">
        <f>(1018+3+593+156+709+219)</f>
        <v>2698</v>
      </c>
      <c r="J258" s="68">
        <v>3060</v>
      </c>
      <c r="K258" s="71">
        <f>(1384+1419+9+1+504+820+343)</f>
        <v>4480</v>
      </c>
      <c r="L258" s="71">
        <v>5047</v>
      </c>
    </row>
    <row r="259" spans="1:13" s="45" customFormat="1" x14ac:dyDescent="0.2">
      <c r="A259" s="55" t="s">
        <v>19</v>
      </c>
      <c r="B259" s="68">
        <v>188</v>
      </c>
      <c r="C259" s="68">
        <v>101</v>
      </c>
      <c r="D259" s="73">
        <v>41</v>
      </c>
      <c r="E259" s="68">
        <v>21</v>
      </c>
      <c r="F259" s="68">
        <v>27</v>
      </c>
      <c r="G259" s="70">
        <v>5</v>
      </c>
      <c r="H259" s="70">
        <v>5</v>
      </c>
      <c r="I259" s="70" t="s">
        <v>213</v>
      </c>
      <c r="J259" s="70" t="s">
        <v>213</v>
      </c>
      <c r="K259" s="72" t="s">
        <v>213</v>
      </c>
      <c r="L259" s="72" t="s">
        <v>213</v>
      </c>
    </row>
    <row r="260" spans="1:13" s="45" customFormat="1" x14ac:dyDescent="0.2">
      <c r="A260" s="55" t="s">
        <v>20</v>
      </c>
      <c r="B260" s="68" t="s">
        <v>213</v>
      </c>
      <c r="C260" s="68">
        <v>3</v>
      </c>
      <c r="D260" s="73" t="s">
        <v>213</v>
      </c>
      <c r="E260" s="68" t="s">
        <v>213</v>
      </c>
      <c r="F260" s="68" t="s">
        <v>213</v>
      </c>
      <c r="G260" s="70" t="s">
        <v>213</v>
      </c>
      <c r="H260" s="70">
        <v>2</v>
      </c>
      <c r="I260" s="68">
        <v>1</v>
      </c>
      <c r="J260" s="68">
        <v>14</v>
      </c>
      <c r="K260" s="72" t="s">
        <v>213</v>
      </c>
      <c r="L260" s="72" t="s">
        <v>213</v>
      </c>
    </row>
    <row r="261" spans="1:13" s="45" customFormat="1" x14ac:dyDescent="0.2">
      <c r="A261" s="55" t="s">
        <v>21</v>
      </c>
      <c r="B261" s="68" t="s">
        <v>213</v>
      </c>
      <c r="C261" s="68" t="s">
        <v>213</v>
      </c>
      <c r="D261" s="73">
        <v>3</v>
      </c>
      <c r="E261" s="68" t="s">
        <v>213</v>
      </c>
      <c r="F261" s="68" t="s">
        <v>213</v>
      </c>
      <c r="G261" s="70" t="s">
        <v>213</v>
      </c>
      <c r="H261" s="70" t="s">
        <v>213</v>
      </c>
      <c r="I261" s="68">
        <v>16</v>
      </c>
      <c r="J261" s="68" t="s">
        <v>213</v>
      </c>
      <c r="K261" s="71">
        <v>4</v>
      </c>
      <c r="L261" s="72" t="s">
        <v>213</v>
      </c>
    </row>
    <row r="262" spans="1:13" x14ac:dyDescent="0.2">
      <c r="A262" s="55" t="s">
        <v>22</v>
      </c>
      <c r="B262" s="68" t="s">
        <v>213</v>
      </c>
      <c r="C262" s="68" t="s">
        <v>213</v>
      </c>
      <c r="D262" s="73" t="s">
        <v>213</v>
      </c>
      <c r="E262" s="68" t="s">
        <v>213</v>
      </c>
      <c r="F262" s="68" t="s">
        <v>213</v>
      </c>
      <c r="G262" s="70">
        <v>1</v>
      </c>
      <c r="H262" s="70">
        <v>1</v>
      </c>
      <c r="I262" s="70" t="s">
        <v>213</v>
      </c>
      <c r="J262" s="70" t="s">
        <v>213</v>
      </c>
      <c r="K262" s="72" t="s">
        <v>213</v>
      </c>
      <c r="L262" s="72" t="s">
        <v>213</v>
      </c>
    </row>
    <row r="263" spans="1:13" x14ac:dyDescent="0.2">
      <c r="A263" s="55" t="s">
        <v>23</v>
      </c>
      <c r="B263" s="68">
        <v>356</v>
      </c>
      <c r="C263" s="68">
        <v>369</v>
      </c>
      <c r="D263" s="73">
        <f>(3+43)</f>
        <v>46</v>
      </c>
      <c r="E263" s="68">
        <f>(1+892)</f>
        <v>893</v>
      </c>
      <c r="F263" s="68">
        <f>(1+565+98+0)</f>
        <v>664</v>
      </c>
      <c r="G263" s="70">
        <f>(1+399+2+60)</f>
        <v>462</v>
      </c>
      <c r="H263" s="70">
        <f>(3+190+1+36)</f>
        <v>230</v>
      </c>
      <c r="I263" s="68">
        <f>(26+253+61)</f>
        <v>340</v>
      </c>
      <c r="J263" s="68">
        <v>497</v>
      </c>
      <c r="K263" s="71">
        <f>(4+260+96+1)</f>
        <v>361</v>
      </c>
      <c r="L263" s="72">
        <v>224</v>
      </c>
    </row>
    <row r="264" spans="1:13" x14ac:dyDescent="0.2">
      <c r="A264" s="55" t="s">
        <v>24</v>
      </c>
      <c r="B264" s="68">
        <v>7475</v>
      </c>
      <c r="C264" s="68">
        <v>903</v>
      </c>
      <c r="D264" s="73">
        <v>1336</v>
      </c>
      <c r="E264" s="68">
        <v>697</v>
      </c>
      <c r="F264" s="68">
        <v>146</v>
      </c>
      <c r="G264" s="70">
        <v>2922</v>
      </c>
      <c r="H264" s="70">
        <v>2860</v>
      </c>
      <c r="I264" s="68">
        <v>982</v>
      </c>
      <c r="J264" s="68">
        <v>379</v>
      </c>
      <c r="K264" s="71">
        <f>(1010+0)</f>
        <v>1010</v>
      </c>
      <c r="L264" s="71">
        <v>1188</v>
      </c>
    </row>
    <row r="265" spans="1:13" x14ac:dyDescent="0.2">
      <c r="A265" s="55" t="s">
        <v>25</v>
      </c>
      <c r="B265" s="68">
        <v>6</v>
      </c>
      <c r="C265" s="68" t="s">
        <v>213</v>
      </c>
      <c r="D265" s="73" t="s">
        <v>213</v>
      </c>
      <c r="E265" s="68" t="s">
        <v>213</v>
      </c>
      <c r="F265" s="68" t="s">
        <v>213</v>
      </c>
      <c r="G265" s="70" t="s">
        <v>213</v>
      </c>
      <c r="H265" s="70" t="s">
        <v>213</v>
      </c>
      <c r="I265" s="70" t="s">
        <v>213</v>
      </c>
      <c r="J265" s="70" t="s">
        <v>213</v>
      </c>
      <c r="K265" s="72" t="s">
        <v>213</v>
      </c>
      <c r="L265" s="72" t="s">
        <v>213</v>
      </c>
    </row>
    <row r="266" spans="1:13" x14ac:dyDescent="0.2">
      <c r="A266" s="55" t="s">
        <v>26</v>
      </c>
      <c r="B266" s="68">
        <v>2</v>
      </c>
      <c r="C266" s="68">
        <v>2</v>
      </c>
      <c r="D266" s="73" t="s">
        <v>213</v>
      </c>
      <c r="E266" s="68">
        <f>(0+43)</f>
        <v>43</v>
      </c>
      <c r="F266" s="68">
        <f>(2+11)</f>
        <v>13</v>
      </c>
      <c r="G266" s="70">
        <f>(0+2)</f>
        <v>2</v>
      </c>
      <c r="H266" s="70">
        <f>(2+1)</f>
        <v>3</v>
      </c>
      <c r="I266" s="68">
        <f>(1+0)</f>
        <v>1</v>
      </c>
      <c r="J266" s="68">
        <v>3</v>
      </c>
      <c r="K266" s="71">
        <f>(4+2+2)</f>
        <v>8</v>
      </c>
      <c r="L266" s="72" t="s">
        <v>213</v>
      </c>
      <c r="M266" s="43"/>
    </row>
    <row r="267" spans="1:13" x14ac:dyDescent="0.2">
      <c r="A267" s="55" t="s">
        <v>29</v>
      </c>
      <c r="B267" s="68">
        <v>42</v>
      </c>
      <c r="C267" s="68">
        <v>19</v>
      </c>
      <c r="D267" s="73">
        <v>5</v>
      </c>
      <c r="E267" s="68">
        <f>(4+43)</f>
        <v>47</v>
      </c>
      <c r="F267" s="68">
        <f>(40+4+45)</f>
        <v>89</v>
      </c>
      <c r="G267" s="70">
        <f>(16+1+35)</f>
        <v>52</v>
      </c>
      <c r="H267" s="70">
        <f>(5+24)</f>
        <v>29</v>
      </c>
      <c r="I267" s="68">
        <f>(8+20)</f>
        <v>28</v>
      </c>
      <c r="J267" s="68">
        <v>26</v>
      </c>
      <c r="K267" s="71">
        <f>(8+27)</f>
        <v>35</v>
      </c>
      <c r="L267" s="71">
        <v>33</v>
      </c>
    </row>
    <row r="268" spans="1:13" x14ac:dyDescent="0.2">
      <c r="A268" s="55" t="s">
        <v>31</v>
      </c>
      <c r="B268" s="68">
        <v>1413</v>
      </c>
      <c r="C268" s="68">
        <v>1517</v>
      </c>
      <c r="D268" s="73">
        <f>(12+101+133+245)</f>
        <v>491</v>
      </c>
      <c r="E268" s="68">
        <f>(8+144+1766+189)</f>
        <v>2107</v>
      </c>
      <c r="F268" s="68">
        <f>(1+11+125+143+1+8+1606+1+21+210)</f>
        <v>2127</v>
      </c>
      <c r="G268" s="70">
        <f>(17+175+243+1+22+898+1+79)</f>
        <v>1436</v>
      </c>
      <c r="H268" s="70">
        <f>(20+402+62+2+7+1448+94)</f>
        <v>2035</v>
      </c>
      <c r="I268" s="68">
        <f>(1+8+408+103+17+1445+29+161)</f>
        <v>2172</v>
      </c>
      <c r="J268" s="68">
        <v>2999</v>
      </c>
      <c r="K268" s="71">
        <f>(1+651+248+64+2822+1+640)</f>
        <v>4427</v>
      </c>
      <c r="L268" s="71">
        <v>2516</v>
      </c>
      <c r="M268" s="43"/>
    </row>
    <row r="269" spans="1:13" x14ac:dyDescent="0.2">
      <c r="A269" s="55" t="s">
        <v>32</v>
      </c>
      <c r="B269" s="68">
        <v>4</v>
      </c>
      <c r="C269" s="68">
        <v>30</v>
      </c>
      <c r="D269" s="73">
        <f>(18+0)</f>
        <v>18</v>
      </c>
      <c r="E269" s="68">
        <v>7</v>
      </c>
      <c r="F269" s="68">
        <v>21</v>
      </c>
      <c r="G269" s="70">
        <v>21</v>
      </c>
      <c r="H269" s="70">
        <v>12</v>
      </c>
      <c r="I269" s="68">
        <f>(6+0)</f>
        <v>6</v>
      </c>
      <c r="J269" s="68">
        <v>6</v>
      </c>
      <c r="K269" s="71">
        <f>(11+0)</f>
        <v>11</v>
      </c>
      <c r="L269" s="71">
        <v>28</v>
      </c>
    </row>
    <row r="270" spans="1:13" x14ac:dyDescent="0.2">
      <c r="A270" s="55" t="s">
        <v>33</v>
      </c>
      <c r="B270" s="68">
        <v>2097</v>
      </c>
      <c r="C270" s="68">
        <v>1602</v>
      </c>
      <c r="D270" s="73">
        <f>(277+108)</f>
        <v>385</v>
      </c>
      <c r="E270" s="68">
        <f>(447+907)</f>
        <v>1354</v>
      </c>
      <c r="F270" s="68">
        <f>(456+643+1+161+0)</f>
        <v>1261</v>
      </c>
      <c r="G270" s="70">
        <f>(443+682+2+249)</f>
        <v>1376</v>
      </c>
      <c r="H270" s="70">
        <f>(449+341+3+134)</f>
        <v>927</v>
      </c>
      <c r="I270" s="68">
        <f>(157+116+34)</f>
        <v>307</v>
      </c>
      <c r="J270" s="68">
        <v>693</v>
      </c>
      <c r="K270" s="71">
        <f>(191+7+2+338+102)</f>
        <v>640</v>
      </c>
      <c r="L270" s="71">
        <v>638</v>
      </c>
    </row>
    <row r="271" spans="1:13" x14ac:dyDescent="0.2">
      <c r="A271" s="55" t="s">
        <v>34</v>
      </c>
      <c r="B271" s="68">
        <v>7</v>
      </c>
      <c r="C271" s="68">
        <v>19</v>
      </c>
      <c r="D271" s="73">
        <v>7</v>
      </c>
      <c r="E271" s="68">
        <v>10</v>
      </c>
      <c r="F271" s="68">
        <f>(40+0)</f>
        <v>40</v>
      </c>
      <c r="G271" s="70">
        <v>6</v>
      </c>
      <c r="H271" s="70">
        <v>5</v>
      </c>
      <c r="I271" s="68">
        <v>4</v>
      </c>
      <c r="J271" s="68" t="s">
        <v>213</v>
      </c>
      <c r="K271" s="71">
        <v>1</v>
      </c>
      <c r="L271" s="72" t="s">
        <v>213</v>
      </c>
    </row>
    <row r="272" spans="1:13" x14ac:dyDescent="0.2">
      <c r="A272" s="55" t="s">
        <v>35</v>
      </c>
      <c r="B272" s="68">
        <v>21</v>
      </c>
      <c r="C272" s="68">
        <v>40</v>
      </c>
      <c r="D272" s="73">
        <v>29</v>
      </c>
      <c r="E272" s="68">
        <f>(16+0)</f>
        <v>16</v>
      </c>
      <c r="F272" s="68">
        <v>34</v>
      </c>
      <c r="G272" s="70">
        <v>59</v>
      </c>
      <c r="H272" s="70">
        <v>42</v>
      </c>
      <c r="I272" s="68">
        <v>8</v>
      </c>
      <c r="J272" s="68">
        <v>5</v>
      </c>
      <c r="K272" s="71">
        <f>(92+0)</f>
        <v>92</v>
      </c>
      <c r="L272" s="71">
        <v>7</v>
      </c>
    </row>
    <row r="273" spans="1:12" x14ac:dyDescent="0.2">
      <c r="A273" s="55" t="s">
        <v>36</v>
      </c>
      <c r="B273" s="68">
        <v>8</v>
      </c>
      <c r="C273" s="68">
        <v>16</v>
      </c>
      <c r="D273" s="68" t="s">
        <v>213</v>
      </c>
      <c r="E273" s="68">
        <v>7</v>
      </c>
      <c r="F273" s="68">
        <v>13</v>
      </c>
      <c r="G273" s="70" t="s">
        <v>213</v>
      </c>
      <c r="H273" s="70">
        <v>10</v>
      </c>
      <c r="I273" s="70" t="s">
        <v>213</v>
      </c>
      <c r="J273" s="70">
        <v>1</v>
      </c>
      <c r="K273" s="72">
        <v>22</v>
      </c>
      <c r="L273" s="72">
        <v>11</v>
      </c>
    </row>
    <row r="274" spans="1:12" x14ac:dyDescent="0.2">
      <c r="A274" s="55" t="s">
        <v>37</v>
      </c>
      <c r="B274" s="68">
        <v>1518</v>
      </c>
      <c r="C274" s="68">
        <v>508</v>
      </c>
      <c r="D274" s="68" t="s">
        <v>213</v>
      </c>
      <c r="E274" s="68">
        <v>1</v>
      </c>
      <c r="F274" s="68" t="s">
        <v>213</v>
      </c>
      <c r="G274" s="70" t="s">
        <v>213</v>
      </c>
      <c r="H274" s="70">
        <v>234</v>
      </c>
      <c r="I274" s="68">
        <v>27</v>
      </c>
      <c r="J274" s="68" t="s">
        <v>213</v>
      </c>
      <c r="K274" s="71">
        <v>94</v>
      </c>
      <c r="L274" s="72" t="s">
        <v>213</v>
      </c>
    </row>
    <row r="275" spans="1:12" x14ac:dyDescent="0.2">
      <c r="A275" s="55" t="s">
        <v>40</v>
      </c>
      <c r="B275" s="68">
        <v>126232</v>
      </c>
      <c r="C275" s="68">
        <v>54992</v>
      </c>
      <c r="D275" s="68">
        <v>113339</v>
      </c>
      <c r="E275" s="68">
        <v>37343</v>
      </c>
      <c r="F275" s="68">
        <v>57807</v>
      </c>
      <c r="G275" s="70">
        <v>75618</v>
      </c>
      <c r="H275" s="70">
        <v>108362</v>
      </c>
      <c r="I275" s="68">
        <v>122685</v>
      </c>
      <c r="J275" s="68">
        <v>70205</v>
      </c>
      <c r="K275" s="71">
        <f>(72970+0)</f>
        <v>72970</v>
      </c>
      <c r="L275" s="71">
        <v>109142</v>
      </c>
    </row>
    <row r="276" spans="1:12" x14ac:dyDescent="0.2">
      <c r="A276" s="55" t="s">
        <v>41</v>
      </c>
      <c r="B276" s="68" t="s">
        <v>213</v>
      </c>
      <c r="C276" s="68" t="s">
        <v>213</v>
      </c>
      <c r="D276" s="68" t="s">
        <v>213</v>
      </c>
      <c r="E276" s="68" t="s">
        <v>213</v>
      </c>
      <c r="F276" s="68">
        <v>6</v>
      </c>
      <c r="G276" s="70" t="s">
        <v>213</v>
      </c>
      <c r="H276" s="70" t="s">
        <v>213</v>
      </c>
      <c r="I276" s="70" t="s">
        <v>213</v>
      </c>
      <c r="J276" s="70" t="s">
        <v>213</v>
      </c>
      <c r="K276" s="72" t="s">
        <v>213</v>
      </c>
      <c r="L276" s="72">
        <v>1</v>
      </c>
    </row>
    <row r="277" spans="1:12" x14ac:dyDescent="0.2">
      <c r="A277" s="55" t="s">
        <v>42</v>
      </c>
      <c r="B277" s="68">
        <v>1</v>
      </c>
      <c r="C277" s="68">
        <v>2</v>
      </c>
      <c r="D277" s="68">
        <v>1</v>
      </c>
      <c r="E277" s="68" t="s">
        <v>213</v>
      </c>
      <c r="F277" s="68" t="s">
        <v>213</v>
      </c>
      <c r="G277" s="70" t="s">
        <v>213</v>
      </c>
      <c r="H277" s="70" t="s">
        <v>213</v>
      </c>
      <c r="I277" s="70" t="s">
        <v>213</v>
      </c>
      <c r="J277" s="70" t="s">
        <v>213</v>
      </c>
      <c r="K277" s="72" t="s">
        <v>213</v>
      </c>
      <c r="L277" s="72" t="s">
        <v>213</v>
      </c>
    </row>
    <row r="278" spans="1:12" x14ac:dyDescent="0.2">
      <c r="A278" s="55" t="s">
        <v>43</v>
      </c>
      <c r="B278" s="68" t="s">
        <v>213</v>
      </c>
      <c r="C278" s="68" t="s">
        <v>213</v>
      </c>
      <c r="D278" s="68" t="s">
        <v>213</v>
      </c>
      <c r="E278" s="68" t="s">
        <v>213</v>
      </c>
      <c r="F278" s="68" t="s">
        <v>213</v>
      </c>
      <c r="G278" s="70">
        <v>27</v>
      </c>
      <c r="H278" s="70">
        <v>15</v>
      </c>
      <c r="I278" s="70" t="s">
        <v>213</v>
      </c>
      <c r="J278" s="70" t="s">
        <v>213</v>
      </c>
      <c r="K278" s="72">
        <v>1</v>
      </c>
      <c r="L278" s="72" t="s">
        <v>213</v>
      </c>
    </row>
    <row r="279" spans="1:12" x14ac:dyDescent="0.2">
      <c r="A279" s="55" t="s">
        <v>44</v>
      </c>
      <c r="B279" s="68">
        <v>15</v>
      </c>
      <c r="C279" s="68" t="s">
        <v>213</v>
      </c>
      <c r="D279" s="68" t="s">
        <v>213</v>
      </c>
      <c r="E279" s="68" t="s">
        <v>213</v>
      </c>
      <c r="F279" s="68" t="s">
        <v>213</v>
      </c>
      <c r="G279" s="70" t="s">
        <v>213</v>
      </c>
      <c r="H279" s="70" t="s">
        <v>213</v>
      </c>
      <c r="I279" s="70" t="s">
        <v>213</v>
      </c>
      <c r="J279" s="70" t="s">
        <v>213</v>
      </c>
      <c r="K279" s="72" t="s">
        <v>213</v>
      </c>
      <c r="L279" s="72" t="s">
        <v>213</v>
      </c>
    </row>
    <row r="280" spans="1:12" x14ac:dyDescent="0.2">
      <c r="A280" s="55" t="s">
        <v>45</v>
      </c>
      <c r="B280" s="68">
        <v>104</v>
      </c>
      <c r="C280" s="68">
        <v>7</v>
      </c>
      <c r="D280" s="68">
        <v>25</v>
      </c>
      <c r="E280" s="68">
        <f>(1+15)</f>
        <v>16</v>
      </c>
      <c r="F280" s="68">
        <v>2</v>
      </c>
      <c r="G280" s="70">
        <f>(21+1)</f>
        <v>22</v>
      </c>
      <c r="H280" s="70">
        <v>2</v>
      </c>
      <c r="I280" s="70" t="s">
        <v>213</v>
      </c>
      <c r="J280" s="70">
        <v>11</v>
      </c>
      <c r="K280" s="72">
        <f>(31+0)</f>
        <v>31</v>
      </c>
      <c r="L280" s="72">
        <v>4</v>
      </c>
    </row>
    <row r="281" spans="1:12" x14ac:dyDescent="0.2">
      <c r="A281" s="55" t="s">
        <v>46</v>
      </c>
      <c r="B281" s="68">
        <v>11955</v>
      </c>
      <c r="C281" s="68">
        <v>12138</v>
      </c>
      <c r="D281" s="68">
        <v>11484</v>
      </c>
      <c r="E281" s="68">
        <v>9041</v>
      </c>
      <c r="F281" s="68">
        <v>9845</v>
      </c>
      <c r="G281" s="70">
        <v>8811</v>
      </c>
      <c r="H281" s="70">
        <v>7753</v>
      </c>
      <c r="I281" s="68">
        <v>3507</v>
      </c>
      <c r="J281" s="68">
        <v>3908</v>
      </c>
      <c r="K281" s="71">
        <f>(4265+0)</f>
        <v>4265</v>
      </c>
      <c r="L281" s="71">
        <v>4585</v>
      </c>
    </row>
    <row r="282" spans="1:12" x14ac:dyDescent="0.2">
      <c r="A282" s="55" t="s">
        <v>170</v>
      </c>
      <c r="B282" s="68" t="s">
        <v>213</v>
      </c>
      <c r="C282" s="68" t="s">
        <v>213</v>
      </c>
      <c r="D282" s="68" t="s">
        <v>213</v>
      </c>
      <c r="E282" s="68" t="s">
        <v>213</v>
      </c>
      <c r="F282" s="68" t="s">
        <v>213</v>
      </c>
      <c r="G282" s="70" t="s">
        <v>213</v>
      </c>
      <c r="H282" s="70" t="s">
        <v>213</v>
      </c>
      <c r="I282" s="70" t="s">
        <v>213</v>
      </c>
      <c r="J282" s="70" t="s">
        <v>213</v>
      </c>
      <c r="K282" s="72">
        <v>63</v>
      </c>
      <c r="L282" s="72">
        <v>110</v>
      </c>
    </row>
    <row r="283" spans="1:12" x14ac:dyDescent="0.2">
      <c r="A283" s="55" t="s">
        <v>48</v>
      </c>
      <c r="B283" s="68">
        <v>3899</v>
      </c>
      <c r="C283" s="68">
        <v>34</v>
      </c>
      <c r="D283" s="68">
        <v>353</v>
      </c>
      <c r="E283" s="75">
        <f>(430+1976+43+168)</f>
        <v>2617</v>
      </c>
      <c r="F283" s="75">
        <f>(14+862+156+139)</f>
        <v>1171</v>
      </c>
      <c r="G283" s="69">
        <f>(150+5+296+149+78)</f>
        <v>678</v>
      </c>
      <c r="H283" s="69">
        <f>(849+23+73+82+49)</f>
        <v>1076</v>
      </c>
      <c r="I283" s="68">
        <f>(680+22+123+114+43)</f>
        <v>982</v>
      </c>
      <c r="J283" s="68">
        <v>258</v>
      </c>
      <c r="K283" s="71">
        <f>(11+239+29+0)</f>
        <v>279</v>
      </c>
      <c r="L283" s="72">
        <v>1492</v>
      </c>
    </row>
    <row r="284" spans="1:12" x14ac:dyDescent="0.2">
      <c r="A284" s="55" t="s">
        <v>47</v>
      </c>
      <c r="B284" s="68">
        <v>19537</v>
      </c>
      <c r="C284" s="68">
        <v>9936</v>
      </c>
      <c r="D284" s="68">
        <f>(9219+1920)</f>
        <v>11139</v>
      </c>
      <c r="E284" s="75">
        <f>(8337+1932+3237+6635+151+455)</f>
        <v>20747</v>
      </c>
      <c r="F284" s="75">
        <f>(7997+1136+2201+5788+50+139+0)</f>
        <v>17311</v>
      </c>
      <c r="G284" s="59">
        <f>(7112+877+3449+3804+126)</f>
        <v>15368</v>
      </c>
      <c r="H284" s="59">
        <f>(8683+502+1509+4343+457)</f>
        <v>15494</v>
      </c>
      <c r="I284" s="68">
        <f>(7695+189+1506+4979+195)</f>
        <v>14564</v>
      </c>
      <c r="J284" s="68">
        <v>13106</v>
      </c>
      <c r="K284" s="71">
        <f>(5817+5+180+3362+86+0)</f>
        <v>9450</v>
      </c>
      <c r="L284" s="72">
        <v>8649</v>
      </c>
    </row>
    <row r="285" spans="1:12" x14ac:dyDescent="0.2">
      <c r="A285" s="55" t="s">
        <v>49</v>
      </c>
      <c r="B285" s="68">
        <v>10633</v>
      </c>
      <c r="C285" s="68">
        <v>10236</v>
      </c>
      <c r="D285" s="68">
        <f>(1592+706)</f>
        <v>2298</v>
      </c>
      <c r="E285" s="75">
        <f>(1235+7124)</f>
        <v>8359</v>
      </c>
      <c r="F285" s="75">
        <f>(1825+25+5176+41+976)</f>
        <v>8043</v>
      </c>
      <c r="G285" s="69">
        <f>(1564+5310+620+993)</f>
        <v>8487</v>
      </c>
      <c r="H285" s="69">
        <f>(2362+3648+703+1+863)</f>
        <v>7577</v>
      </c>
      <c r="I285" s="68">
        <f>(1354+2158+283+665)</f>
        <v>4460</v>
      </c>
      <c r="J285" s="68">
        <v>7615</v>
      </c>
      <c r="K285" s="71">
        <f>(3338+610+1271+3295)</f>
        <v>8514</v>
      </c>
      <c r="L285" s="71">
        <v>7779</v>
      </c>
    </row>
    <row r="286" spans="1:12" x14ac:dyDescent="0.2">
      <c r="A286" s="55" t="s">
        <v>51</v>
      </c>
      <c r="B286" s="68">
        <v>2</v>
      </c>
      <c r="C286" s="68" t="s">
        <v>213</v>
      </c>
      <c r="D286" s="68" t="s">
        <v>213</v>
      </c>
      <c r="E286" s="75" t="s">
        <v>213</v>
      </c>
      <c r="F286" s="75" t="s">
        <v>213</v>
      </c>
      <c r="G286" s="69" t="s">
        <v>213</v>
      </c>
      <c r="H286" s="69" t="s">
        <v>213</v>
      </c>
      <c r="I286" s="70" t="s">
        <v>213</v>
      </c>
      <c r="J286" s="70" t="s">
        <v>213</v>
      </c>
      <c r="K286" s="72" t="s">
        <v>213</v>
      </c>
      <c r="L286" s="72" t="s">
        <v>213</v>
      </c>
    </row>
    <row r="287" spans="1:12" x14ac:dyDescent="0.2">
      <c r="A287" s="55" t="s">
        <v>53</v>
      </c>
      <c r="B287" s="68">
        <v>3</v>
      </c>
      <c r="C287" s="68">
        <v>5</v>
      </c>
      <c r="D287" s="68">
        <v>21</v>
      </c>
      <c r="E287" s="75">
        <v>1</v>
      </c>
      <c r="F287" s="75">
        <v>5</v>
      </c>
      <c r="G287" s="69" t="s">
        <v>213</v>
      </c>
      <c r="H287" s="69">
        <v>1</v>
      </c>
      <c r="I287" s="70" t="s">
        <v>213</v>
      </c>
      <c r="J287" s="70" t="s">
        <v>213</v>
      </c>
      <c r="K287" s="72" t="s">
        <v>213</v>
      </c>
      <c r="L287" s="72" t="s">
        <v>213</v>
      </c>
    </row>
    <row r="288" spans="1:12" x14ac:dyDescent="0.2">
      <c r="A288" s="55" t="s">
        <v>55</v>
      </c>
      <c r="B288" s="68">
        <v>31</v>
      </c>
      <c r="C288" s="68">
        <v>895</v>
      </c>
      <c r="D288" s="68">
        <v>6</v>
      </c>
      <c r="E288" s="75">
        <f>(6+67)</f>
        <v>73</v>
      </c>
      <c r="F288" s="75">
        <f>(52+9+1+2)</f>
        <v>64</v>
      </c>
      <c r="G288" s="69">
        <f>(2+53+10)</f>
        <v>65</v>
      </c>
      <c r="H288" s="69">
        <f>(2+19+18+1)</f>
        <v>40</v>
      </c>
      <c r="I288" s="68">
        <f>(3+3+8+8)</f>
        <v>22</v>
      </c>
      <c r="J288" s="68">
        <v>26</v>
      </c>
      <c r="K288" s="71">
        <f>(2+10+5+2+2)</f>
        <v>21</v>
      </c>
      <c r="L288" s="72">
        <v>11</v>
      </c>
    </row>
    <row r="289" spans="1:12" x14ac:dyDescent="0.2">
      <c r="A289" s="55" t="s">
        <v>56</v>
      </c>
      <c r="B289" s="68">
        <v>518</v>
      </c>
      <c r="C289" s="68">
        <v>557</v>
      </c>
      <c r="D289" s="68">
        <v>331</v>
      </c>
      <c r="E289" s="75">
        <v>72</v>
      </c>
      <c r="F289" s="75">
        <v>320</v>
      </c>
      <c r="G289" s="69">
        <v>820</v>
      </c>
      <c r="H289" s="69">
        <v>465</v>
      </c>
      <c r="I289" s="68">
        <v>535</v>
      </c>
      <c r="J289" s="68">
        <v>530</v>
      </c>
      <c r="K289" s="71">
        <f>(107)</f>
        <v>107</v>
      </c>
      <c r="L289" s="71">
        <v>334</v>
      </c>
    </row>
    <row r="290" spans="1:12" x14ac:dyDescent="0.2">
      <c r="A290" s="55" t="s">
        <v>59</v>
      </c>
      <c r="B290" s="68">
        <v>2425</v>
      </c>
      <c r="C290" s="68">
        <v>1586</v>
      </c>
      <c r="D290" s="68">
        <f>(17+1604+7)</f>
        <v>1628</v>
      </c>
      <c r="E290" s="75">
        <f>(3+1535)</f>
        <v>1538</v>
      </c>
      <c r="F290" s="75">
        <f>(10+1552)</f>
        <v>1562</v>
      </c>
      <c r="G290" s="69">
        <f>(7+5+1346)</f>
        <v>1358</v>
      </c>
      <c r="H290" s="69">
        <f>(47+751)</f>
        <v>798</v>
      </c>
      <c r="I290" s="68">
        <f>(12+2)</f>
        <v>14</v>
      </c>
      <c r="J290" s="68">
        <v>16</v>
      </c>
      <c r="K290" s="71">
        <f>(29+555+10+1+10+2)</f>
        <v>607</v>
      </c>
      <c r="L290" s="72">
        <v>8</v>
      </c>
    </row>
    <row r="291" spans="1:12" x14ac:dyDescent="0.2">
      <c r="A291" s="55" t="s">
        <v>60</v>
      </c>
      <c r="B291" s="68">
        <v>806</v>
      </c>
      <c r="C291" s="68">
        <v>944</v>
      </c>
      <c r="D291" s="68">
        <f>(1543+1)</f>
        <v>1544</v>
      </c>
      <c r="E291" s="75">
        <f>(1476+67)</f>
        <v>1543</v>
      </c>
      <c r="F291" s="75">
        <f>(3210+20)</f>
        <v>3230</v>
      </c>
      <c r="G291" s="69">
        <f>(2072+12+117)</f>
        <v>2201</v>
      </c>
      <c r="H291" s="69">
        <f>(767+5+7)</f>
        <v>779</v>
      </c>
      <c r="I291" s="68">
        <f>(3223+9+10+7)</f>
        <v>3249</v>
      </c>
      <c r="J291" s="68">
        <v>2273</v>
      </c>
      <c r="K291" s="71">
        <f>(46+1+153+1452)</f>
        <v>1652</v>
      </c>
      <c r="L291" s="71">
        <v>1553</v>
      </c>
    </row>
    <row r="292" spans="1:12" x14ac:dyDescent="0.2">
      <c r="B292" s="76"/>
      <c r="C292" s="76"/>
      <c r="D292" s="76"/>
      <c r="E292" s="76"/>
      <c r="F292" s="76"/>
      <c r="G292" s="76"/>
      <c r="H292" s="76"/>
      <c r="I292" s="77"/>
      <c r="J292" s="77"/>
      <c r="K292" s="78"/>
      <c r="L292" s="38"/>
    </row>
    <row r="293" spans="1:12" x14ac:dyDescent="0.2">
      <c r="B293" s="76"/>
      <c r="C293" s="76"/>
      <c r="D293" s="76"/>
      <c r="E293" s="76"/>
      <c r="F293" s="76"/>
      <c r="G293" s="76"/>
      <c r="H293" s="76"/>
      <c r="I293" s="77"/>
      <c r="J293" s="77"/>
      <c r="K293" s="78"/>
      <c r="L293" s="38"/>
    </row>
    <row r="294" spans="1:12" x14ac:dyDescent="0.2">
      <c r="B294" s="76"/>
      <c r="C294" s="76"/>
      <c r="D294" s="76"/>
      <c r="E294" s="76"/>
      <c r="F294" s="76"/>
      <c r="G294" s="76"/>
      <c r="H294" s="76"/>
      <c r="I294" s="77"/>
      <c r="J294" s="77"/>
      <c r="K294" s="78"/>
      <c r="L294" s="38"/>
    </row>
    <row r="295" spans="1:12" x14ac:dyDescent="0.2">
      <c r="B295" s="76"/>
      <c r="C295" s="76"/>
      <c r="D295" s="76"/>
      <c r="E295" s="76"/>
      <c r="F295" s="76"/>
      <c r="G295" s="76"/>
      <c r="H295" s="76"/>
      <c r="I295" s="77"/>
      <c r="J295" s="77"/>
      <c r="K295" s="78"/>
      <c r="L295" s="38"/>
    </row>
    <row r="296" spans="1:12" x14ac:dyDescent="0.2">
      <c r="B296" s="76"/>
      <c r="C296" s="76"/>
      <c r="D296" s="76"/>
      <c r="E296" s="76"/>
      <c r="F296" s="76"/>
      <c r="G296" s="76"/>
      <c r="H296" s="76"/>
      <c r="I296" s="77"/>
      <c r="J296" s="77"/>
      <c r="K296" s="78"/>
      <c r="L296" s="38"/>
    </row>
    <row r="297" spans="1:12" x14ac:dyDescent="0.2">
      <c r="B297" s="76"/>
      <c r="C297" s="76"/>
      <c r="D297" s="76"/>
      <c r="E297" s="76"/>
      <c r="F297" s="76"/>
      <c r="G297" s="76"/>
      <c r="H297" s="76"/>
      <c r="I297" s="77"/>
      <c r="J297" s="77"/>
      <c r="K297" s="78"/>
      <c r="L297" s="38"/>
    </row>
    <row r="298" spans="1:12" x14ac:dyDescent="0.2">
      <c r="B298" s="76"/>
      <c r="C298" s="76"/>
      <c r="D298" s="76"/>
      <c r="E298" s="76"/>
      <c r="F298" s="76"/>
      <c r="G298" s="76"/>
      <c r="H298" s="76"/>
      <c r="I298" s="77"/>
      <c r="J298" s="77"/>
      <c r="K298" s="78"/>
      <c r="L298" s="38"/>
    </row>
    <row r="299" spans="1:12" x14ac:dyDescent="0.2">
      <c r="B299" s="76"/>
      <c r="C299" s="76"/>
      <c r="D299" s="76"/>
      <c r="E299" s="76"/>
      <c r="F299" s="76"/>
      <c r="G299" s="76"/>
      <c r="H299" s="76"/>
      <c r="I299" s="77"/>
      <c r="J299" s="77"/>
      <c r="K299" s="78"/>
      <c r="L299" s="38"/>
    </row>
    <row r="300" spans="1:12" x14ac:dyDescent="0.2">
      <c r="B300" s="76"/>
      <c r="C300" s="76"/>
      <c r="D300" s="76"/>
      <c r="E300" s="76"/>
      <c r="F300" s="76"/>
      <c r="G300" s="76"/>
      <c r="H300" s="76"/>
      <c r="I300" s="77"/>
      <c r="J300" s="77"/>
      <c r="K300" s="78"/>
      <c r="L300" s="38"/>
    </row>
    <row r="301" spans="1:12" x14ac:dyDescent="0.2">
      <c r="B301" s="76"/>
      <c r="C301" s="76"/>
      <c r="D301" s="76"/>
      <c r="E301" s="76"/>
      <c r="F301" s="76"/>
      <c r="G301" s="76"/>
      <c r="H301" s="76"/>
      <c r="I301" s="77"/>
      <c r="J301" s="77"/>
      <c r="K301" s="78"/>
      <c r="L301" s="38"/>
    </row>
    <row r="302" spans="1:12" x14ac:dyDescent="0.2">
      <c r="B302" s="76"/>
      <c r="C302" s="76"/>
      <c r="D302" s="76"/>
      <c r="E302" s="76"/>
      <c r="F302" s="76"/>
      <c r="G302" s="76"/>
      <c r="H302" s="76"/>
      <c r="I302" s="77"/>
      <c r="J302" s="77"/>
      <c r="K302" s="78"/>
      <c r="L302" s="38"/>
    </row>
    <row r="303" spans="1:12" x14ac:dyDescent="0.2">
      <c r="B303" s="76"/>
      <c r="C303" s="76"/>
      <c r="D303" s="76"/>
      <c r="E303" s="76"/>
      <c r="F303" s="76"/>
      <c r="G303" s="76"/>
      <c r="H303" s="76"/>
      <c r="I303" s="77"/>
      <c r="J303" s="77"/>
      <c r="K303" s="78"/>
      <c r="L303" s="38"/>
    </row>
    <row r="304" spans="1:12" x14ac:dyDescent="0.2">
      <c r="B304" s="76"/>
      <c r="C304" s="76"/>
      <c r="D304" s="76"/>
      <c r="E304" s="76"/>
      <c r="F304" s="76"/>
      <c r="G304" s="76"/>
      <c r="H304" s="76"/>
      <c r="I304" s="77"/>
      <c r="J304" s="77"/>
      <c r="K304" s="78"/>
      <c r="L304" s="38"/>
    </row>
    <row r="305" spans="1:16" ht="12" x14ac:dyDescent="0.25">
      <c r="A305" s="117" t="s">
        <v>219</v>
      </c>
      <c r="B305" s="117"/>
      <c r="C305" s="117"/>
      <c r="D305" s="117"/>
      <c r="E305" s="117"/>
      <c r="F305" s="117"/>
      <c r="G305" s="117"/>
      <c r="H305" s="117"/>
      <c r="I305" s="117"/>
      <c r="J305" s="117"/>
      <c r="K305" s="39"/>
      <c r="L305" s="38"/>
    </row>
    <row r="306" spans="1:16" ht="10.199999999999999" x14ac:dyDescent="0.2">
      <c r="A306" s="116" t="s">
        <v>0</v>
      </c>
      <c r="B306" s="116"/>
      <c r="C306" s="116"/>
      <c r="D306" s="116"/>
      <c r="E306" s="116"/>
      <c r="F306" s="116"/>
      <c r="G306" s="116"/>
      <c r="H306" s="116"/>
      <c r="I306" s="116"/>
      <c r="J306" s="116"/>
      <c r="K306" s="116"/>
      <c r="L306" s="38"/>
    </row>
    <row r="307" spans="1:16" x14ac:dyDescent="0.2">
      <c r="L307" s="38"/>
    </row>
    <row r="308" spans="1:16" s="45" customFormat="1" x14ac:dyDescent="0.2">
      <c r="A308" s="46" t="s">
        <v>1</v>
      </c>
      <c r="B308" s="47">
        <v>2007</v>
      </c>
      <c r="C308" s="47">
        <v>2008</v>
      </c>
      <c r="D308" s="46">
        <v>2009</v>
      </c>
      <c r="E308" s="48">
        <v>2010</v>
      </c>
      <c r="F308" s="48">
        <v>2011</v>
      </c>
      <c r="G308" s="47">
        <v>2012</v>
      </c>
      <c r="H308" s="46">
        <v>2013</v>
      </c>
      <c r="I308" s="46">
        <v>2014</v>
      </c>
      <c r="J308" s="46">
        <v>2015</v>
      </c>
      <c r="K308" s="46">
        <v>2016</v>
      </c>
      <c r="L308" s="46">
        <v>2017</v>
      </c>
    </row>
    <row r="309" spans="1:16" x14ac:dyDescent="0.2">
      <c r="A309" s="38" t="s">
        <v>62</v>
      </c>
      <c r="B309" s="76">
        <v>18</v>
      </c>
      <c r="C309" s="76">
        <v>27</v>
      </c>
      <c r="D309" s="76">
        <v>1</v>
      </c>
      <c r="E309" s="77" t="s">
        <v>213</v>
      </c>
      <c r="F309" s="77">
        <v>8</v>
      </c>
      <c r="G309" s="78">
        <v>4</v>
      </c>
      <c r="H309" s="76">
        <v>7</v>
      </c>
      <c r="I309" s="76">
        <v>15</v>
      </c>
      <c r="J309" s="76">
        <v>5</v>
      </c>
      <c r="K309" s="42">
        <f>(9+0)</f>
        <v>9</v>
      </c>
      <c r="L309" s="42">
        <v>18</v>
      </c>
    </row>
    <row r="310" spans="1:16" x14ac:dyDescent="0.2">
      <c r="A310" s="38" t="s">
        <v>66</v>
      </c>
      <c r="B310" s="76">
        <v>5</v>
      </c>
      <c r="C310" s="76" t="s">
        <v>213</v>
      </c>
      <c r="D310" s="76" t="s">
        <v>213</v>
      </c>
      <c r="E310" s="77" t="s">
        <v>213</v>
      </c>
      <c r="F310" s="77" t="s">
        <v>213</v>
      </c>
      <c r="G310" s="78" t="s">
        <v>213</v>
      </c>
      <c r="H310" s="76" t="s">
        <v>213</v>
      </c>
      <c r="I310" s="42" t="s">
        <v>213</v>
      </c>
      <c r="J310" s="42" t="s">
        <v>213</v>
      </c>
      <c r="K310" s="42" t="s">
        <v>213</v>
      </c>
      <c r="L310" s="42" t="s">
        <v>213</v>
      </c>
    </row>
    <row r="311" spans="1:16" x14ac:dyDescent="0.2">
      <c r="A311" s="38" t="s">
        <v>67</v>
      </c>
      <c r="B311" s="76">
        <v>106865</v>
      </c>
      <c r="C311" s="76">
        <v>119853</v>
      </c>
      <c r="D311" s="76">
        <v>64364</v>
      </c>
      <c r="E311" s="76">
        <v>24356</v>
      </c>
      <c r="F311" s="76">
        <v>68197</v>
      </c>
      <c r="G311" s="42">
        <v>83259</v>
      </c>
      <c r="H311" s="76">
        <v>120230</v>
      </c>
      <c r="I311" s="76">
        <v>169452</v>
      </c>
      <c r="J311" s="76">
        <v>136749</v>
      </c>
      <c r="K311" s="42">
        <f>(107071)</f>
        <v>107071</v>
      </c>
      <c r="L311" s="42">
        <v>135177</v>
      </c>
      <c r="N311" s="43"/>
    </row>
    <row r="312" spans="1:16" x14ac:dyDescent="0.2">
      <c r="A312" s="38" t="s">
        <v>68</v>
      </c>
      <c r="B312" s="76">
        <v>69487</v>
      </c>
      <c r="C312" s="76">
        <v>61674</v>
      </c>
      <c r="D312" s="76">
        <v>79997</v>
      </c>
      <c r="E312" s="76">
        <v>77196</v>
      </c>
      <c r="F312" s="76">
        <v>85378</v>
      </c>
      <c r="G312" s="42">
        <v>103474</v>
      </c>
      <c r="H312" s="76">
        <v>88734</v>
      </c>
      <c r="I312" s="76">
        <v>89542</v>
      </c>
      <c r="J312" s="76">
        <v>94121</v>
      </c>
      <c r="K312" s="42">
        <v>66969</v>
      </c>
      <c r="L312" s="42">
        <v>86889</v>
      </c>
      <c r="N312" s="43"/>
      <c r="P312" s="43"/>
    </row>
    <row r="313" spans="1:16" x14ac:dyDescent="0.2">
      <c r="A313" s="38" t="s">
        <v>171</v>
      </c>
      <c r="B313" s="76" t="s">
        <v>213</v>
      </c>
      <c r="C313" s="76" t="s">
        <v>213</v>
      </c>
      <c r="D313" s="76" t="s">
        <v>213</v>
      </c>
      <c r="E313" s="76" t="s">
        <v>213</v>
      </c>
      <c r="F313" s="76" t="s">
        <v>213</v>
      </c>
      <c r="G313" s="42" t="s">
        <v>213</v>
      </c>
      <c r="H313" s="76" t="s">
        <v>213</v>
      </c>
      <c r="I313" s="42" t="s">
        <v>213</v>
      </c>
      <c r="J313" s="42" t="s">
        <v>213</v>
      </c>
      <c r="K313" s="42" t="s">
        <v>213</v>
      </c>
      <c r="L313" s="42" t="s">
        <v>213</v>
      </c>
      <c r="N313" s="43"/>
      <c r="O313" s="43"/>
      <c r="P313" s="43"/>
    </row>
    <row r="314" spans="1:16" x14ac:dyDescent="0.2">
      <c r="A314" s="38" t="s">
        <v>69</v>
      </c>
      <c r="B314" s="76">
        <v>1131</v>
      </c>
      <c r="C314" s="76">
        <v>44</v>
      </c>
      <c r="D314" s="76">
        <v>467</v>
      </c>
      <c r="E314" s="76">
        <v>480</v>
      </c>
      <c r="F314" s="76">
        <v>871</v>
      </c>
      <c r="G314" s="42">
        <v>1200</v>
      </c>
      <c r="H314" s="76">
        <v>657</v>
      </c>
      <c r="I314" s="42" t="s">
        <v>213</v>
      </c>
      <c r="J314" s="42" t="s">
        <v>213</v>
      </c>
      <c r="K314" s="42" t="s">
        <v>213</v>
      </c>
      <c r="L314" s="42" t="s">
        <v>213</v>
      </c>
      <c r="M314" s="43"/>
      <c r="N314" s="43"/>
    </row>
    <row r="315" spans="1:16" x14ac:dyDescent="0.2">
      <c r="A315" s="38" t="s">
        <v>70</v>
      </c>
      <c r="B315" s="76">
        <v>319</v>
      </c>
      <c r="C315" s="76">
        <v>62</v>
      </c>
      <c r="D315" s="76">
        <v>63</v>
      </c>
      <c r="E315" s="76">
        <v>25</v>
      </c>
      <c r="F315" s="76">
        <v>29</v>
      </c>
      <c r="G315" s="42">
        <v>191</v>
      </c>
      <c r="H315" s="76">
        <v>34</v>
      </c>
      <c r="I315" s="76">
        <v>49</v>
      </c>
      <c r="J315" s="76">
        <v>54</v>
      </c>
      <c r="K315" s="42">
        <f>(31)</f>
        <v>31</v>
      </c>
      <c r="L315" s="42" t="s">
        <v>213</v>
      </c>
      <c r="N315" s="43"/>
      <c r="P315" s="43"/>
    </row>
    <row r="316" spans="1:16" x14ac:dyDescent="0.2">
      <c r="A316" s="38" t="s">
        <v>71</v>
      </c>
      <c r="B316" s="76">
        <v>1</v>
      </c>
      <c r="C316" s="76" t="s">
        <v>213</v>
      </c>
      <c r="D316" s="76" t="s">
        <v>213</v>
      </c>
      <c r="E316" s="76" t="s">
        <v>213</v>
      </c>
      <c r="F316" s="76" t="s">
        <v>213</v>
      </c>
      <c r="G316" s="42" t="s">
        <v>213</v>
      </c>
      <c r="H316" s="76" t="s">
        <v>213</v>
      </c>
      <c r="I316" s="76">
        <v>3</v>
      </c>
      <c r="J316" s="76" t="s">
        <v>213</v>
      </c>
      <c r="K316" s="42" t="s">
        <v>213</v>
      </c>
      <c r="L316" s="42" t="s">
        <v>213</v>
      </c>
      <c r="N316" s="43"/>
    </row>
    <row r="317" spans="1:16" x14ac:dyDescent="0.2">
      <c r="A317" s="38" t="s">
        <v>72</v>
      </c>
      <c r="B317" s="76">
        <v>653</v>
      </c>
      <c r="C317" s="76">
        <v>1163</v>
      </c>
      <c r="D317" s="76">
        <v>62</v>
      </c>
      <c r="E317" s="76">
        <v>39</v>
      </c>
      <c r="F317" s="76">
        <v>9</v>
      </c>
      <c r="G317" s="42" t="s">
        <v>213</v>
      </c>
      <c r="H317" s="76">
        <v>440</v>
      </c>
      <c r="I317" s="76">
        <v>68</v>
      </c>
      <c r="J317" s="76">
        <v>138</v>
      </c>
      <c r="K317" s="42">
        <v>68</v>
      </c>
      <c r="L317" s="42">
        <v>209</v>
      </c>
    </row>
    <row r="318" spans="1:16" x14ac:dyDescent="0.2">
      <c r="A318" s="38" t="s">
        <v>74</v>
      </c>
      <c r="B318" s="76">
        <v>6</v>
      </c>
      <c r="C318" s="76">
        <v>5</v>
      </c>
      <c r="D318" s="76">
        <v>3</v>
      </c>
      <c r="E318" s="76">
        <v>103</v>
      </c>
      <c r="F318" s="76">
        <v>41</v>
      </c>
      <c r="G318" s="42">
        <v>1047</v>
      </c>
      <c r="H318" s="76">
        <v>659</v>
      </c>
      <c r="I318" s="76">
        <v>380</v>
      </c>
      <c r="J318" s="76">
        <v>474</v>
      </c>
      <c r="K318" s="42">
        <v>701</v>
      </c>
      <c r="L318" s="42">
        <v>751</v>
      </c>
      <c r="M318" s="43"/>
    </row>
    <row r="319" spans="1:16" x14ac:dyDescent="0.2">
      <c r="A319" s="38" t="s">
        <v>75</v>
      </c>
      <c r="B319" s="76">
        <f>(37+38)</f>
        <v>75</v>
      </c>
      <c r="C319" s="76">
        <v>6</v>
      </c>
      <c r="D319" s="76" t="s">
        <v>213</v>
      </c>
      <c r="E319" s="76" t="s">
        <v>213</v>
      </c>
      <c r="F319" s="76" t="s">
        <v>213</v>
      </c>
      <c r="G319" s="42" t="s">
        <v>213</v>
      </c>
      <c r="H319" s="76" t="s">
        <v>213</v>
      </c>
      <c r="I319" s="76">
        <f>(1+0)</f>
        <v>1</v>
      </c>
      <c r="J319" s="76" t="s">
        <v>213</v>
      </c>
      <c r="K319" s="42" t="s">
        <v>213</v>
      </c>
      <c r="L319" s="42" t="s">
        <v>213</v>
      </c>
    </row>
    <row r="320" spans="1:16" x14ac:dyDescent="0.2">
      <c r="A320" s="38" t="s">
        <v>77</v>
      </c>
      <c r="B320" s="76">
        <v>89437</v>
      </c>
      <c r="C320" s="76">
        <v>84326</v>
      </c>
      <c r="D320" s="76">
        <v>73305</v>
      </c>
      <c r="E320" s="76">
        <v>96115</v>
      </c>
      <c r="F320" s="76">
        <v>100375</v>
      </c>
      <c r="G320" s="42">
        <v>122897</v>
      </c>
      <c r="H320" s="76">
        <v>60716</v>
      </c>
      <c r="I320" s="76">
        <v>70685</v>
      </c>
      <c r="J320" s="76">
        <v>50980</v>
      </c>
      <c r="K320" s="42">
        <v>36648</v>
      </c>
      <c r="L320" s="42">
        <v>37610</v>
      </c>
    </row>
    <row r="321" spans="1:14" x14ac:dyDescent="0.2">
      <c r="A321" s="38" t="s">
        <v>78</v>
      </c>
      <c r="B321" s="76">
        <v>3</v>
      </c>
      <c r="C321" s="76">
        <v>2</v>
      </c>
      <c r="D321" s="76" t="s">
        <v>213</v>
      </c>
      <c r="E321" s="76">
        <v>5</v>
      </c>
      <c r="F321" s="76">
        <v>3</v>
      </c>
      <c r="G321" s="42">
        <v>10</v>
      </c>
      <c r="H321" s="76">
        <v>10</v>
      </c>
      <c r="I321" s="42" t="s">
        <v>213</v>
      </c>
      <c r="J321" s="42" t="s">
        <v>213</v>
      </c>
      <c r="K321" s="42" t="s">
        <v>213</v>
      </c>
      <c r="L321" s="42" t="s">
        <v>213</v>
      </c>
    </row>
    <row r="322" spans="1:14" x14ac:dyDescent="0.2">
      <c r="A322" s="79" t="s">
        <v>79</v>
      </c>
      <c r="B322" s="76">
        <f>(2+6+0)</f>
        <v>8</v>
      </c>
      <c r="C322" s="76">
        <v>40</v>
      </c>
      <c r="D322" s="76">
        <v>1</v>
      </c>
      <c r="E322" s="76" t="s">
        <v>213</v>
      </c>
      <c r="F322" s="76">
        <f>(7+1)</f>
        <v>8</v>
      </c>
      <c r="G322" s="42">
        <f>(12+3)</f>
        <v>15</v>
      </c>
      <c r="H322" s="76">
        <v>1</v>
      </c>
      <c r="I322" s="76">
        <v>1</v>
      </c>
      <c r="J322" s="76">
        <v>4</v>
      </c>
      <c r="K322" s="42">
        <v>30</v>
      </c>
      <c r="L322" s="42">
        <v>7</v>
      </c>
    </row>
    <row r="323" spans="1:14" x14ac:dyDescent="0.2">
      <c r="A323" s="38" t="s">
        <v>81</v>
      </c>
      <c r="B323" s="76">
        <v>43</v>
      </c>
      <c r="C323" s="76">
        <v>128</v>
      </c>
      <c r="D323" s="76">
        <f>(3+2+1+23+9)</f>
        <v>38</v>
      </c>
      <c r="E323" s="76">
        <f>(94+2+3+1+6+1)</f>
        <v>107</v>
      </c>
      <c r="F323" s="76">
        <f>(1+2+109)</f>
        <v>112</v>
      </c>
      <c r="G323" s="42">
        <f>(15+13)</f>
        <v>28</v>
      </c>
      <c r="H323" s="76">
        <f>(4+10+1+0)</f>
        <v>15</v>
      </c>
      <c r="I323" s="76">
        <f>(2+1+1+1+3+2+140)</f>
        <v>150</v>
      </c>
      <c r="J323" s="76">
        <f>(9+1)</f>
        <v>10</v>
      </c>
      <c r="K323" s="42">
        <f>(4+125+64+44+1+1)</f>
        <v>239</v>
      </c>
      <c r="L323" s="42">
        <v>280</v>
      </c>
    </row>
    <row r="324" spans="1:14" x14ac:dyDescent="0.2">
      <c r="A324" s="38" t="s">
        <v>172</v>
      </c>
      <c r="B324" s="76">
        <v>540</v>
      </c>
      <c r="C324" s="76">
        <v>182</v>
      </c>
      <c r="D324" s="76" t="s">
        <v>213</v>
      </c>
      <c r="E324" s="76">
        <v>162</v>
      </c>
      <c r="F324" s="76" t="s">
        <v>213</v>
      </c>
      <c r="G324" s="80" t="s">
        <v>213</v>
      </c>
      <c r="H324" s="76">
        <v>210</v>
      </c>
      <c r="I324" s="42" t="s">
        <v>213</v>
      </c>
      <c r="J324" s="42">
        <v>17</v>
      </c>
      <c r="K324" s="42">
        <v>101</v>
      </c>
      <c r="L324" s="42" t="s">
        <v>213</v>
      </c>
    </row>
    <row r="325" spans="1:14" x14ac:dyDescent="0.2">
      <c r="A325" s="46" t="s">
        <v>107</v>
      </c>
      <c r="B325" s="53">
        <v>50064</v>
      </c>
      <c r="C325" s="53">
        <f>SUM(C326:C361)</f>
        <v>79441</v>
      </c>
      <c r="D325" s="53">
        <f>SUM(D326:D361)</f>
        <v>56609</v>
      </c>
      <c r="E325" s="52">
        <v>96651</v>
      </c>
      <c r="F325" s="52">
        <f>(162049+3)</f>
        <v>162052</v>
      </c>
      <c r="G325" s="52">
        <f>(139001+3+9)</f>
        <v>139013</v>
      </c>
      <c r="H325" s="53">
        <v>132692</v>
      </c>
      <c r="I325" s="53">
        <f>(173274+0)</f>
        <v>173274</v>
      </c>
      <c r="J325" s="53">
        <f>(172648+0)</f>
        <v>172648</v>
      </c>
      <c r="K325" s="53">
        <f>(183576+0+339)</f>
        <v>183915</v>
      </c>
      <c r="L325" s="53">
        <f>SUM(L326:L361)</f>
        <v>183057</v>
      </c>
    </row>
    <row r="326" spans="1:14" x14ac:dyDescent="0.2">
      <c r="A326" s="81" t="s">
        <v>108</v>
      </c>
      <c r="B326" s="77">
        <v>2</v>
      </c>
      <c r="C326" s="76">
        <v>1</v>
      </c>
      <c r="D326" s="76" t="s">
        <v>213</v>
      </c>
      <c r="E326" s="76" t="s">
        <v>213</v>
      </c>
      <c r="F326" s="76">
        <v>2</v>
      </c>
      <c r="G326" s="42">
        <v>2</v>
      </c>
      <c r="H326" s="77">
        <v>5</v>
      </c>
      <c r="I326" s="42" t="s">
        <v>213</v>
      </c>
      <c r="J326" s="42">
        <v>5</v>
      </c>
      <c r="K326" s="42" t="s">
        <v>213</v>
      </c>
      <c r="L326" s="42" t="s">
        <v>213</v>
      </c>
    </row>
    <row r="327" spans="1:14" x14ac:dyDescent="0.2">
      <c r="A327" s="81" t="s">
        <v>109</v>
      </c>
      <c r="B327" s="76">
        <v>196</v>
      </c>
      <c r="C327" s="76">
        <v>346</v>
      </c>
      <c r="D327" s="76">
        <v>417</v>
      </c>
      <c r="E327" s="76">
        <v>387</v>
      </c>
      <c r="F327" s="76">
        <v>325</v>
      </c>
      <c r="G327" s="42">
        <v>332</v>
      </c>
      <c r="H327" s="76">
        <v>317</v>
      </c>
      <c r="I327" s="76">
        <v>122</v>
      </c>
      <c r="J327" s="76">
        <v>204</v>
      </c>
      <c r="K327" s="42">
        <v>246</v>
      </c>
      <c r="L327" s="42">
        <v>160</v>
      </c>
    </row>
    <row r="328" spans="1:14" x14ac:dyDescent="0.2">
      <c r="A328" s="38" t="s">
        <v>110</v>
      </c>
      <c r="B328" s="76">
        <v>3</v>
      </c>
      <c r="C328" s="76">
        <v>44</v>
      </c>
      <c r="D328" s="76">
        <v>1</v>
      </c>
      <c r="E328" s="76">
        <v>102</v>
      </c>
      <c r="F328" s="76">
        <v>31</v>
      </c>
      <c r="G328" s="42">
        <v>35</v>
      </c>
      <c r="H328" s="76">
        <v>147</v>
      </c>
      <c r="I328" s="76">
        <v>135</v>
      </c>
      <c r="J328" s="76">
        <v>33</v>
      </c>
      <c r="K328" s="42">
        <v>28</v>
      </c>
      <c r="L328" s="42">
        <v>47</v>
      </c>
      <c r="N328" s="43"/>
    </row>
    <row r="329" spans="1:14" x14ac:dyDescent="0.2">
      <c r="A329" s="38" t="s">
        <v>111</v>
      </c>
      <c r="B329" s="76" t="s">
        <v>213</v>
      </c>
      <c r="C329" s="76" t="s">
        <v>213</v>
      </c>
      <c r="D329" s="76" t="s">
        <v>213</v>
      </c>
      <c r="E329" s="76">
        <v>6</v>
      </c>
      <c r="F329" s="76" t="s">
        <v>213</v>
      </c>
      <c r="G329" s="42" t="s">
        <v>213</v>
      </c>
      <c r="H329" s="76" t="s">
        <v>213</v>
      </c>
      <c r="I329" s="42" t="s">
        <v>213</v>
      </c>
      <c r="J329" s="42">
        <v>2</v>
      </c>
      <c r="K329" s="42">
        <v>5</v>
      </c>
      <c r="L329" s="42">
        <v>4</v>
      </c>
    </row>
    <row r="330" spans="1:14" x14ac:dyDescent="0.2">
      <c r="A330" s="38" t="s">
        <v>112</v>
      </c>
      <c r="B330" s="76" t="s">
        <v>213</v>
      </c>
      <c r="C330" s="76" t="s">
        <v>213</v>
      </c>
      <c r="D330" s="76" t="s">
        <v>213</v>
      </c>
      <c r="E330" s="76" t="s">
        <v>213</v>
      </c>
      <c r="F330" s="76" t="s">
        <v>213</v>
      </c>
      <c r="G330" s="42" t="s">
        <v>213</v>
      </c>
      <c r="H330" s="76" t="s">
        <v>213</v>
      </c>
      <c r="I330" s="42" t="s">
        <v>213</v>
      </c>
      <c r="J330" s="42" t="s">
        <v>213</v>
      </c>
      <c r="K330" s="42">
        <v>162</v>
      </c>
      <c r="L330" s="42">
        <v>1160</v>
      </c>
    </row>
    <row r="331" spans="1:14" x14ac:dyDescent="0.2">
      <c r="A331" s="38" t="s">
        <v>173</v>
      </c>
      <c r="B331" s="76" t="s">
        <v>213</v>
      </c>
      <c r="C331" s="76" t="s">
        <v>213</v>
      </c>
      <c r="D331" s="76" t="s">
        <v>213</v>
      </c>
      <c r="E331" s="76" t="s">
        <v>213</v>
      </c>
      <c r="F331" s="76" t="s">
        <v>213</v>
      </c>
      <c r="G331" s="42" t="s">
        <v>213</v>
      </c>
      <c r="H331" s="76" t="s">
        <v>213</v>
      </c>
      <c r="I331" s="42" t="s">
        <v>213</v>
      </c>
      <c r="J331" s="42" t="s">
        <v>213</v>
      </c>
      <c r="K331" s="42" t="s">
        <v>213</v>
      </c>
      <c r="L331" s="42" t="s">
        <v>213</v>
      </c>
    </row>
    <row r="332" spans="1:14" x14ac:dyDescent="0.2">
      <c r="A332" s="38" t="s">
        <v>113</v>
      </c>
      <c r="B332" s="76">
        <v>37</v>
      </c>
      <c r="C332" s="76">
        <v>57</v>
      </c>
      <c r="D332" s="76">
        <v>62</v>
      </c>
      <c r="E332" s="76">
        <v>13</v>
      </c>
      <c r="F332" s="76">
        <v>32</v>
      </c>
      <c r="G332" s="42">
        <v>38</v>
      </c>
      <c r="H332" s="76">
        <v>15</v>
      </c>
      <c r="I332" s="76">
        <v>49</v>
      </c>
      <c r="J332" s="76">
        <v>62</v>
      </c>
      <c r="K332" s="42">
        <v>42</v>
      </c>
      <c r="L332" s="42">
        <v>22</v>
      </c>
    </row>
    <row r="333" spans="1:14" s="45" customFormat="1" x14ac:dyDescent="0.2">
      <c r="A333" s="38" t="s">
        <v>114</v>
      </c>
      <c r="B333" s="76">
        <v>11</v>
      </c>
      <c r="C333" s="76">
        <v>18</v>
      </c>
      <c r="D333" s="76">
        <v>9</v>
      </c>
      <c r="E333" s="76">
        <v>24</v>
      </c>
      <c r="F333" s="76">
        <v>18</v>
      </c>
      <c r="G333" s="42">
        <v>19</v>
      </c>
      <c r="H333" s="76">
        <v>14</v>
      </c>
      <c r="I333" s="76">
        <v>20</v>
      </c>
      <c r="J333" s="76">
        <v>5</v>
      </c>
      <c r="K333" s="42">
        <v>11</v>
      </c>
      <c r="L333" s="42">
        <v>3</v>
      </c>
    </row>
    <row r="334" spans="1:14" x14ac:dyDescent="0.2">
      <c r="A334" s="38" t="s">
        <v>115</v>
      </c>
      <c r="B334" s="76" t="s">
        <v>213</v>
      </c>
      <c r="C334" s="76" t="s">
        <v>213</v>
      </c>
      <c r="D334" s="76" t="s">
        <v>213</v>
      </c>
      <c r="E334" s="76" t="s">
        <v>213</v>
      </c>
      <c r="F334" s="76" t="s">
        <v>213</v>
      </c>
      <c r="G334" s="42" t="s">
        <v>213</v>
      </c>
      <c r="H334" s="76" t="s">
        <v>213</v>
      </c>
      <c r="I334" s="42" t="s">
        <v>213</v>
      </c>
      <c r="J334" s="42" t="s">
        <v>213</v>
      </c>
      <c r="K334" s="42" t="s">
        <v>213</v>
      </c>
      <c r="L334" s="42" t="s">
        <v>213</v>
      </c>
    </row>
    <row r="335" spans="1:14" x14ac:dyDescent="0.2">
      <c r="A335" s="38" t="s">
        <v>116</v>
      </c>
      <c r="B335" s="76">
        <v>9</v>
      </c>
      <c r="C335" s="76">
        <v>12</v>
      </c>
      <c r="D335" s="76" t="s">
        <v>213</v>
      </c>
      <c r="E335" s="76">
        <v>49</v>
      </c>
      <c r="F335" s="76">
        <v>26</v>
      </c>
      <c r="G335" s="42">
        <v>3</v>
      </c>
      <c r="H335" s="76" t="s">
        <v>213</v>
      </c>
      <c r="I335" s="42" t="s">
        <v>213</v>
      </c>
      <c r="J335" s="42" t="s">
        <v>213</v>
      </c>
      <c r="K335" s="42" t="s">
        <v>213</v>
      </c>
      <c r="L335" s="42" t="s">
        <v>213</v>
      </c>
    </row>
    <row r="336" spans="1:14" x14ac:dyDescent="0.2">
      <c r="A336" s="38" t="s">
        <v>174</v>
      </c>
      <c r="B336" s="76" t="s">
        <v>213</v>
      </c>
      <c r="C336" s="76" t="s">
        <v>213</v>
      </c>
      <c r="D336" s="76" t="s">
        <v>213</v>
      </c>
      <c r="E336" s="76" t="s">
        <v>213</v>
      </c>
      <c r="F336" s="76" t="s">
        <v>213</v>
      </c>
      <c r="G336" s="42" t="s">
        <v>213</v>
      </c>
      <c r="H336" s="76" t="s">
        <v>213</v>
      </c>
      <c r="I336" s="42" t="s">
        <v>213</v>
      </c>
      <c r="J336" s="42" t="s">
        <v>213</v>
      </c>
      <c r="K336" s="42" t="s">
        <v>213</v>
      </c>
      <c r="L336" s="42" t="s">
        <v>213</v>
      </c>
    </row>
    <row r="337" spans="1:12" x14ac:dyDescent="0.2">
      <c r="A337" s="38" t="s">
        <v>118</v>
      </c>
      <c r="B337" s="76" t="s">
        <v>213</v>
      </c>
      <c r="C337" s="76" t="s">
        <v>213</v>
      </c>
      <c r="D337" s="76" t="s">
        <v>213</v>
      </c>
      <c r="E337" s="76" t="s">
        <v>213</v>
      </c>
      <c r="F337" s="76" t="s">
        <v>213</v>
      </c>
      <c r="G337" s="42" t="s">
        <v>213</v>
      </c>
      <c r="H337" s="76" t="s">
        <v>213</v>
      </c>
      <c r="I337" s="42" t="s">
        <v>213</v>
      </c>
      <c r="J337" s="42" t="s">
        <v>213</v>
      </c>
      <c r="K337" s="42" t="s">
        <v>213</v>
      </c>
      <c r="L337" s="42" t="s">
        <v>213</v>
      </c>
    </row>
    <row r="338" spans="1:12" x14ac:dyDescent="0.2">
      <c r="A338" s="38" t="s">
        <v>119</v>
      </c>
      <c r="B338" s="76">
        <v>134</v>
      </c>
      <c r="C338" s="76">
        <v>49</v>
      </c>
      <c r="D338" s="76" t="s">
        <v>213</v>
      </c>
      <c r="E338" s="76">
        <v>25</v>
      </c>
      <c r="F338" s="76">
        <v>6</v>
      </c>
      <c r="G338" s="42" t="s">
        <v>213</v>
      </c>
      <c r="H338" s="76" t="s">
        <v>213</v>
      </c>
      <c r="I338" s="42" t="s">
        <v>213</v>
      </c>
      <c r="J338" s="42" t="s">
        <v>213</v>
      </c>
      <c r="K338" s="42" t="s">
        <v>213</v>
      </c>
      <c r="L338" s="42" t="s">
        <v>213</v>
      </c>
    </row>
    <row r="339" spans="1:12" x14ac:dyDescent="0.2">
      <c r="A339" s="38" t="s">
        <v>120</v>
      </c>
      <c r="B339" s="76">
        <v>7</v>
      </c>
      <c r="C339" s="76">
        <v>14</v>
      </c>
      <c r="D339" s="76">
        <v>24</v>
      </c>
      <c r="E339" s="76">
        <v>10</v>
      </c>
      <c r="F339" s="76">
        <v>13</v>
      </c>
      <c r="G339" s="42">
        <v>20</v>
      </c>
      <c r="H339" s="76">
        <v>15</v>
      </c>
      <c r="I339" s="76">
        <v>15</v>
      </c>
      <c r="J339" s="76">
        <v>14</v>
      </c>
      <c r="K339" s="42">
        <v>17</v>
      </c>
      <c r="L339" s="42">
        <v>11</v>
      </c>
    </row>
    <row r="340" spans="1:12" x14ac:dyDescent="0.2">
      <c r="A340" s="38" t="s">
        <v>121</v>
      </c>
      <c r="B340" s="76">
        <v>1</v>
      </c>
      <c r="C340" s="76" t="s">
        <v>213</v>
      </c>
      <c r="D340" s="76" t="s">
        <v>213</v>
      </c>
      <c r="E340" s="76" t="s">
        <v>213</v>
      </c>
      <c r="F340" s="76" t="s">
        <v>213</v>
      </c>
      <c r="G340" s="42" t="s">
        <v>213</v>
      </c>
      <c r="H340" s="76" t="s">
        <v>213</v>
      </c>
      <c r="I340" s="42" t="s">
        <v>213</v>
      </c>
      <c r="J340" s="42" t="s">
        <v>213</v>
      </c>
      <c r="K340" s="42" t="s">
        <v>213</v>
      </c>
      <c r="L340" s="42" t="s">
        <v>213</v>
      </c>
    </row>
    <row r="341" spans="1:12" x14ac:dyDescent="0.2">
      <c r="A341" s="38" t="s">
        <v>123</v>
      </c>
      <c r="B341" s="76">
        <v>67</v>
      </c>
      <c r="C341" s="76">
        <v>47</v>
      </c>
      <c r="D341" s="76">
        <v>133</v>
      </c>
      <c r="E341" s="76">
        <v>113</v>
      </c>
      <c r="F341" s="76">
        <v>209</v>
      </c>
      <c r="G341" s="42">
        <v>36</v>
      </c>
      <c r="H341" s="76">
        <v>374</v>
      </c>
      <c r="I341" s="76">
        <v>33</v>
      </c>
      <c r="J341" s="76">
        <v>71</v>
      </c>
      <c r="K341" s="42">
        <v>23</v>
      </c>
      <c r="L341" s="42">
        <v>40</v>
      </c>
    </row>
    <row r="342" spans="1:12" x14ac:dyDescent="0.2">
      <c r="A342" s="38" t="s">
        <v>124</v>
      </c>
      <c r="B342" s="76">
        <v>25149</v>
      </c>
      <c r="C342" s="76">
        <v>50871</v>
      </c>
      <c r="D342" s="76">
        <v>38227</v>
      </c>
      <c r="E342" s="76">
        <v>51016</v>
      </c>
      <c r="F342" s="76">
        <v>69762</v>
      </c>
      <c r="G342" s="42">
        <v>62854</v>
      </c>
      <c r="H342" s="76">
        <v>63761</v>
      </c>
      <c r="I342" s="76">
        <v>64610</v>
      </c>
      <c r="J342" s="76">
        <v>83530</v>
      </c>
      <c r="K342" s="42">
        <v>76079</v>
      </c>
      <c r="L342" s="42">
        <v>86156</v>
      </c>
    </row>
    <row r="343" spans="1:12" x14ac:dyDescent="0.2">
      <c r="A343" s="38" t="s">
        <v>125</v>
      </c>
      <c r="B343" s="76" t="s">
        <v>213</v>
      </c>
      <c r="C343" s="76" t="s">
        <v>213</v>
      </c>
      <c r="D343" s="76">
        <v>1</v>
      </c>
      <c r="E343" s="76" t="s">
        <v>213</v>
      </c>
      <c r="F343" s="76" t="s">
        <v>213</v>
      </c>
      <c r="G343" s="42">
        <v>17</v>
      </c>
      <c r="H343" s="76">
        <v>84</v>
      </c>
      <c r="I343" s="76">
        <v>73</v>
      </c>
      <c r="J343" s="76">
        <v>29</v>
      </c>
      <c r="K343" s="42">
        <v>24</v>
      </c>
      <c r="L343" s="42">
        <v>19</v>
      </c>
    </row>
    <row r="344" spans="1:12" x14ac:dyDescent="0.2">
      <c r="A344" s="38" t="s">
        <v>126</v>
      </c>
      <c r="B344" s="76">
        <v>315</v>
      </c>
      <c r="C344" s="76">
        <v>190</v>
      </c>
      <c r="D344" s="76">
        <v>160</v>
      </c>
      <c r="E344" s="76">
        <v>183</v>
      </c>
      <c r="F344" s="76">
        <v>100</v>
      </c>
      <c r="G344" s="42">
        <v>68</v>
      </c>
      <c r="H344" s="76">
        <v>80</v>
      </c>
      <c r="I344" s="76">
        <v>75</v>
      </c>
      <c r="J344" s="76">
        <v>90</v>
      </c>
      <c r="K344" s="42">
        <v>60</v>
      </c>
      <c r="L344" s="42">
        <v>70</v>
      </c>
    </row>
    <row r="345" spans="1:12" x14ac:dyDescent="0.2">
      <c r="A345" s="38" t="s">
        <v>127</v>
      </c>
      <c r="B345" s="76">
        <v>184</v>
      </c>
      <c r="C345" s="76">
        <v>280</v>
      </c>
      <c r="D345" s="76">
        <v>171</v>
      </c>
      <c r="E345" s="76">
        <v>264</v>
      </c>
      <c r="F345" s="76">
        <v>264</v>
      </c>
      <c r="G345" s="42">
        <v>352</v>
      </c>
      <c r="H345" s="76">
        <v>242</v>
      </c>
      <c r="I345" s="76">
        <v>210</v>
      </c>
      <c r="J345" s="76">
        <v>567</v>
      </c>
      <c r="K345" s="42">
        <v>303</v>
      </c>
      <c r="L345" s="42">
        <v>418</v>
      </c>
    </row>
    <row r="346" spans="1:12" x14ac:dyDescent="0.2">
      <c r="A346" s="38" t="s">
        <v>128</v>
      </c>
      <c r="B346" s="76">
        <f>(13882+0)</f>
        <v>13882</v>
      </c>
      <c r="C346" s="76">
        <v>20355</v>
      </c>
      <c r="D346" s="76">
        <f>(8090+0)</f>
        <v>8090</v>
      </c>
      <c r="E346" s="76">
        <f>(36264+0)</f>
        <v>36264</v>
      </c>
      <c r="F346" s="76">
        <f>(81430+3)</f>
        <v>81433</v>
      </c>
      <c r="G346" s="42">
        <f>(68476+3+9)</f>
        <v>68488</v>
      </c>
      <c r="H346" s="76">
        <v>61682</v>
      </c>
      <c r="I346" s="76">
        <v>101948</v>
      </c>
      <c r="J346" s="76">
        <v>82320</v>
      </c>
      <c r="K346" s="42">
        <v>99796</v>
      </c>
      <c r="L346" s="42">
        <v>86407</v>
      </c>
    </row>
    <row r="347" spans="1:12" x14ac:dyDescent="0.2">
      <c r="A347" s="38" t="s">
        <v>129</v>
      </c>
      <c r="B347" s="76">
        <v>2869</v>
      </c>
      <c r="C347" s="76">
        <v>1127</v>
      </c>
      <c r="D347" s="76">
        <v>4036</v>
      </c>
      <c r="E347" s="76">
        <v>3806</v>
      </c>
      <c r="F347" s="76">
        <v>4388</v>
      </c>
      <c r="G347" s="42">
        <v>3009</v>
      </c>
      <c r="H347" s="76">
        <v>2334</v>
      </c>
      <c r="I347" s="76">
        <v>1830</v>
      </c>
      <c r="J347" s="76">
        <v>1821</v>
      </c>
      <c r="K347" s="42">
        <v>1755</v>
      </c>
      <c r="L347" s="42">
        <v>2375</v>
      </c>
    </row>
    <row r="348" spans="1:12" x14ac:dyDescent="0.2">
      <c r="A348" s="38" t="s">
        <v>130</v>
      </c>
      <c r="B348" s="76">
        <v>148</v>
      </c>
      <c r="C348" s="76">
        <v>203</v>
      </c>
      <c r="D348" s="76">
        <v>181</v>
      </c>
      <c r="E348" s="76">
        <f>(211+107)</f>
        <v>318</v>
      </c>
      <c r="F348" s="76">
        <f>(329+50)</f>
        <v>379</v>
      </c>
      <c r="G348" s="42">
        <v>216</v>
      </c>
      <c r="H348" s="76">
        <v>98</v>
      </c>
      <c r="I348" s="76">
        <v>100</v>
      </c>
      <c r="J348" s="76">
        <f>(99+0)</f>
        <v>99</v>
      </c>
      <c r="K348" s="42">
        <f>(102+1+1)</f>
        <v>104</v>
      </c>
      <c r="L348" s="42">
        <v>61</v>
      </c>
    </row>
    <row r="349" spans="1:12" x14ac:dyDescent="0.2">
      <c r="A349" s="38" t="s">
        <v>134</v>
      </c>
      <c r="B349" s="76">
        <v>717</v>
      </c>
      <c r="C349" s="76">
        <v>455</v>
      </c>
      <c r="D349" s="76">
        <v>568</v>
      </c>
      <c r="E349" s="76">
        <v>498</v>
      </c>
      <c r="F349" s="76">
        <v>232</v>
      </c>
      <c r="G349" s="42">
        <v>248</v>
      </c>
      <c r="H349" s="76">
        <v>199</v>
      </c>
      <c r="I349" s="76">
        <v>234</v>
      </c>
      <c r="J349" s="76">
        <v>303</v>
      </c>
      <c r="K349" s="42">
        <v>343</v>
      </c>
      <c r="L349" s="42">
        <v>573</v>
      </c>
    </row>
    <row r="350" spans="1:12" x14ac:dyDescent="0.2">
      <c r="A350" s="38" t="s">
        <v>135</v>
      </c>
      <c r="B350" s="76">
        <v>17</v>
      </c>
      <c r="C350" s="76">
        <v>29</v>
      </c>
      <c r="D350" s="76">
        <v>36</v>
      </c>
      <c r="E350" s="76">
        <v>79</v>
      </c>
      <c r="F350" s="76">
        <v>143</v>
      </c>
      <c r="G350" s="42">
        <v>84</v>
      </c>
      <c r="H350" s="76">
        <v>126</v>
      </c>
      <c r="I350" s="76">
        <v>65</v>
      </c>
      <c r="J350" s="76">
        <v>59</v>
      </c>
      <c r="K350" s="42">
        <v>53</v>
      </c>
      <c r="L350" s="42">
        <v>104</v>
      </c>
    </row>
    <row r="351" spans="1:12" x14ac:dyDescent="0.2">
      <c r="A351" s="38" t="s">
        <v>136</v>
      </c>
      <c r="B351" s="76">
        <v>193</v>
      </c>
      <c r="C351" s="76">
        <v>128</v>
      </c>
      <c r="D351" s="76">
        <v>150</v>
      </c>
      <c r="E351" s="76">
        <v>362</v>
      </c>
      <c r="F351" s="76">
        <v>385</v>
      </c>
      <c r="G351" s="42">
        <v>606</v>
      </c>
      <c r="H351" s="76">
        <v>973</v>
      </c>
      <c r="I351" s="76">
        <v>936</v>
      </c>
      <c r="J351" s="76">
        <v>1157</v>
      </c>
      <c r="K351" s="42">
        <v>897</v>
      </c>
      <c r="L351" s="42">
        <v>1096</v>
      </c>
    </row>
    <row r="352" spans="1:12" x14ac:dyDescent="0.2">
      <c r="A352" s="38" t="s">
        <v>137</v>
      </c>
      <c r="B352" s="76">
        <v>3007</v>
      </c>
      <c r="C352" s="76">
        <v>2349</v>
      </c>
      <c r="D352" s="76">
        <v>2078</v>
      </c>
      <c r="E352" s="76">
        <v>1263</v>
      </c>
      <c r="F352" s="76">
        <v>1312</v>
      </c>
      <c r="G352" s="42">
        <v>745</v>
      </c>
      <c r="H352" s="76">
        <v>766</v>
      </c>
      <c r="I352" s="76">
        <v>710</v>
      </c>
      <c r="J352" s="76">
        <v>602</v>
      </c>
      <c r="K352" s="42">
        <v>927</v>
      </c>
      <c r="L352" s="42">
        <v>1307</v>
      </c>
    </row>
    <row r="353" spans="1:12" s="40" customFormat="1" ht="11.4" x14ac:dyDescent="0.2">
      <c r="A353" s="38" t="s">
        <v>138</v>
      </c>
      <c r="B353" s="76" t="s">
        <v>213</v>
      </c>
      <c r="C353" s="76" t="s">
        <v>213</v>
      </c>
      <c r="D353" s="76">
        <v>123</v>
      </c>
      <c r="E353" s="76">
        <v>73</v>
      </c>
      <c r="F353" s="76">
        <v>122</v>
      </c>
      <c r="G353" s="42">
        <v>107</v>
      </c>
      <c r="H353" s="76">
        <v>123</v>
      </c>
      <c r="I353" s="76">
        <v>160</v>
      </c>
      <c r="J353" s="76">
        <v>123</v>
      </c>
      <c r="K353" s="42">
        <v>149</v>
      </c>
      <c r="L353" s="42">
        <v>114</v>
      </c>
    </row>
    <row r="354" spans="1:12" x14ac:dyDescent="0.2">
      <c r="A354" s="38" t="s">
        <v>139</v>
      </c>
      <c r="B354" s="76" t="s">
        <v>213</v>
      </c>
      <c r="C354" s="76" t="s">
        <v>213</v>
      </c>
      <c r="D354" s="76">
        <v>2</v>
      </c>
      <c r="E354" s="76" t="s">
        <v>213</v>
      </c>
      <c r="F354" s="76">
        <v>4</v>
      </c>
      <c r="G354" s="42">
        <v>1</v>
      </c>
      <c r="H354" s="76" t="s">
        <v>213</v>
      </c>
      <c r="I354" s="42" t="s">
        <v>213</v>
      </c>
      <c r="J354" s="42" t="s">
        <v>213</v>
      </c>
      <c r="K354" s="42" t="s">
        <v>213</v>
      </c>
      <c r="L354" s="42" t="s">
        <v>213</v>
      </c>
    </row>
    <row r="355" spans="1:12" x14ac:dyDescent="0.2">
      <c r="A355" s="38" t="s">
        <v>140</v>
      </c>
      <c r="B355" s="76" t="s">
        <v>213</v>
      </c>
      <c r="C355" s="76" t="s">
        <v>213</v>
      </c>
      <c r="D355" s="76" t="s">
        <v>213</v>
      </c>
      <c r="E355" s="76" t="s">
        <v>213</v>
      </c>
      <c r="F355" s="76" t="s">
        <v>213</v>
      </c>
      <c r="G355" s="42" t="s">
        <v>213</v>
      </c>
      <c r="H355" s="76" t="s">
        <v>213</v>
      </c>
      <c r="I355" s="42" t="s">
        <v>213</v>
      </c>
      <c r="J355" s="42" t="s">
        <v>213</v>
      </c>
      <c r="K355" s="42" t="s">
        <v>213</v>
      </c>
      <c r="L355" s="42">
        <v>2</v>
      </c>
    </row>
    <row r="356" spans="1:12" s="45" customFormat="1" x14ac:dyDescent="0.2">
      <c r="A356" s="38" t="s">
        <v>141</v>
      </c>
      <c r="B356" s="76">
        <v>824</v>
      </c>
      <c r="C356" s="76">
        <v>348</v>
      </c>
      <c r="D356" s="76">
        <v>2</v>
      </c>
      <c r="E356" s="76">
        <v>13</v>
      </c>
      <c r="F356" s="76" t="s">
        <v>213</v>
      </c>
      <c r="G356" s="42">
        <v>2</v>
      </c>
      <c r="H356" s="76" t="s">
        <v>213</v>
      </c>
      <c r="I356" s="76">
        <v>2</v>
      </c>
      <c r="J356" s="76" t="s">
        <v>213</v>
      </c>
      <c r="K356" s="42" t="s">
        <v>213</v>
      </c>
      <c r="L356" s="42" t="s">
        <v>213</v>
      </c>
    </row>
    <row r="357" spans="1:12" x14ac:dyDescent="0.2">
      <c r="A357" s="38" t="s">
        <v>142</v>
      </c>
      <c r="B357" s="76">
        <v>2078</v>
      </c>
      <c r="C357" s="76">
        <v>2210</v>
      </c>
      <c r="D357" s="76">
        <v>1747</v>
      </c>
      <c r="E357" s="76">
        <f>(959+303)</f>
        <v>1262</v>
      </c>
      <c r="F357" s="76">
        <f>(2016+607)</f>
        <v>2623</v>
      </c>
      <c r="G357" s="42">
        <f>(1025+620)</f>
        <v>1645</v>
      </c>
      <c r="H357" s="76">
        <f>(1040+172)</f>
        <v>1212</v>
      </c>
      <c r="I357" s="76">
        <f>(1545+304)</f>
        <v>1849</v>
      </c>
      <c r="J357" s="76">
        <f>(1013+405)</f>
        <v>1418</v>
      </c>
      <c r="K357" s="42">
        <f>(2182+298)</f>
        <v>2480</v>
      </c>
      <c r="L357" s="42">
        <v>2730</v>
      </c>
    </row>
    <row r="358" spans="1:12" s="45" customFormat="1" x14ac:dyDescent="0.2">
      <c r="A358" s="38" t="s">
        <v>143</v>
      </c>
      <c r="B358" s="76">
        <v>3</v>
      </c>
      <c r="C358" s="76">
        <v>170</v>
      </c>
      <c r="D358" s="76">
        <v>251</v>
      </c>
      <c r="E358" s="76">
        <v>225</v>
      </c>
      <c r="F358" s="76">
        <v>106</v>
      </c>
      <c r="G358" s="42">
        <v>14</v>
      </c>
      <c r="H358" s="76">
        <v>18</v>
      </c>
      <c r="I358" s="76">
        <v>15</v>
      </c>
      <c r="J358" s="76">
        <v>30</v>
      </c>
      <c r="K358" s="42">
        <v>182</v>
      </c>
      <c r="L358" s="42">
        <v>106</v>
      </c>
    </row>
    <row r="359" spans="1:12" s="45" customFormat="1" x14ac:dyDescent="0.2">
      <c r="A359" s="38" t="s">
        <v>144</v>
      </c>
      <c r="B359" s="76">
        <v>210</v>
      </c>
      <c r="C359" s="76">
        <v>138</v>
      </c>
      <c r="D359" s="76">
        <v>140</v>
      </c>
      <c r="E359" s="76">
        <v>291</v>
      </c>
      <c r="F359" s="76">
        <v>137</v>
      </c>
      <c r="G359" s="42">
        <v>72</v>
      </c>
      <c r="H359" s="76">
        <v>107</v>
      </c>
      <c r="I359" s="76">
        <v>83</v>
      </c>
      <c r="J359" s="76">
        <v>104</v>
      </c>
      <c r="K359" s="42">
        <v>56</v>
      </c>
      <c r="L359" s="42">
        <v>72</v>
      </c>
    </row>
    <row r="360" spans="1:12" s="45" customFormat="1" x14ac:dyDescent="0.2">
      <c r="A360" s="38" t="s">
        <v>145</v>
      </c>
      <c r="B360" s="76" t="s">
        <v>213</v>
      </c>
      <c r="C360" s="76" t="s">
        <v>213</v>
      </c>
      <c r="D360" s="76" t="s">
        <v>213</v>
      </c>
      <c r="E360" s="76">
        <v>5</v>
      </c>
      <c r="F360" s="76" t="s">
        <v>213</v>
      </c>
      <c r="G360" s="42" t="s">
        <v>213</v>
      </c>
      <c r="H360" s="76" t="s">
        <v>213</v>
      </c>
      <c r="I360" s="42" t="s">
        <v>213</v>
      </c>
      <c r="J360" s="42" t="s">
        <v>213</v>
      </c>
      <c r="K360" s="42">
        <v>173</v>
      </c>
      <c r="L360" s="42" t="s">
        <v>213</v>
      </c>
    </row>
    <row r="361" spans="1:12" s="45" customFormat="1" x14ac:dyDescent="0.2">
      <c r="A361" s="38" t="s">
        <v>198</v>
      </c>
      <c r="B361" s="76">
        <v>1</v>
      </c>
      <c r="C361" s="76" t="s">
        <v>213</v>
      </c>
      <c r="D361" s="76" t="s">
        <v>213</v>
      </c>
      <c r="E361" s="76" t="s">
        <v>213</v>
      </c>
      <c r="F361" s="82" t="s">
        <v>213</v>
      </c>
      <c r="G361" s="42" t="s">
        <v>213</v>
      </c>
      <c r="H361" s="76" t="s">
        <v>213</v>
      </c>
      <c r="I361" s="42" t="s">
        <v>213</v>
      </c>
      <c r="J361" s="42" t="s">
        <v>213</v>
      </c>
      <c r="K361" s="42" t="s">
        <v>213</v>
      </c>
      <c r="L361" s="42" t="s">
        <v>213</v>
      </c>
    </row>
    <row r="362" spans="1:12" s="45" customFormat="1" x14ac:dyDescent="0.2">
      <c r="A362" s="46" t="s">
        <v>82</v>
      </c>
      <c r="B362" s="53">
        <v>3945</v>
      </c>
      <c r="C362" s="53">
        <f>SUM(C363:C386)</f>
        <v>4525</v>
      </c>
      <c r="D362" s="53">
        <v>4198</v>
      </c>
      <c r="E362" s="52">
        <v>4511</v>
      </c>
      <c r="F362" s="52">
        <f>(6405+0)</f>
        <v>6405</v>
      </c>
      <c r="G362" s="52">
        <f>(6605+0)</f>
        <v>6605</v>
      </c>
      <c r="H362" s="53">
        <v>7147</v>
      </c>
      <c r="I362" s="53">
        <v>7852</v>
      </c>
      <c r="J362" s="53">
        <v>7857</v>
      </c>
      <c r="K362" s="53">
        <f>(7994+0)</f>
        <v>7994</v>
      </c>
      <c r="L362" s="53">
        <f>SUM(L363:L386)</f>
        <v>9615</v>
      </c>
    </row>
    <row r="363" spans="1:12" x14ac:dyDescent="0.2">
      <c r="A363" s="38" t="s">
        <v>176</v>
      </c>
      <c r="B363" s="76" t="s">
        <v>213</v>
      </c>
      <c r="C363" s="76" t="s">
        <v>213</v>
      </c>
      <c r="D363" s="76" t="s">
        <v>213</v>
      </c>
      <c r="E363" s="76" t="s">
        <v>213</v>
      </c>
      <c r="F363" s="76" t="s">
        <v>213</v>
      </c>
      <c r="G363" s="42" t="s">
        <v>213</v>
      </c>
      <c r="H363" s="76" t="s">
        <v>213</v>
      </c>
      <c r="I363" s="42" t="s">
        <v>213</v>
      </c>
      <c r="J363" s="42" t="s">
        <v>213</v>
      </c>
      <c r="K363" s="42" t="s">
        <v>213</v>
      </c>
      <c r="L363" s="42" t="s">
        <v>213</v>
      </c>
    </row>
    <row r="364" spans="1:12" x14ac:dyDescent="0.2">
      <c r="A364" s="38" t="s">
        <v>84</v>
      </c>
      <c r="B364" s="76">
        <v>892</v>
      </c>
      <c r="C364" s="76">
        <v>955</v>
      </c>
      <c r="D364" s="76">
        <v>943</v>
      </c>
      <c r="E364" s="76">
        <v>1031</v>
      </c>
      <c r="F364" s="76">
        <v>862</v>
      </c>
      <c r="G364" s="42">
        <v>790</v>
      </c>
      <c r="H364" s="76">
        <v>982</v>
      </c>
      <c r="I364" s="76">
        <v>960</v>
      </c>
      <c r="J364" s="76">
        <v>866</v>
      </c>
      <c r="K364" s="42">
        <v>995</v>
      </c>
      <c r="L364" s="42">
        <v>907</v>
      </c>
    </row>
    <row r="365" spans="1:12" x14ac:dyDescent="0.2">
      <c r="A365" s="38" t="s">
        <v>199</v>
      </c>
      <c r="B365" s="76" t="s">
        <v>213</v>
      </c>
      <c r="C365" s="76" t="s">
        <v>213</v>
      </c>
      <c r="D365" s="76" t="s">
        <v>213</v>
      </c>
      <c r="E365" s="76" t="s">
        <v>213</v>
      </c>
      <c r="F365" s="76" t="s">
        <v>213</v>
      </c>
      <c r="G365" s="42">
        <v>3</v>
      </c>
      <c r="H365" s="76" t="s">
        <v>213</v>
      </c>
      <c r="I365" s="42" t="s">
        <v>213</v>
      </c>
      <c r="J365" s="42" t="s">
        <v>213</v>
      </c>
      <c r="K365" s="42" t="s">
        <v>213</v>
      </c>
      <c r="L365" s="42" t="s">
        <v>213</v>
      </c>
    </row>
    <row r="366" spans="1:12" x14ac:dyDescent="0.2">
      <c r="A366" s="38" t="s">
        <v>86</v>
      </c>
      <c r="B366" s="76">
        <v>1479</v>
      </c>
      <c r="C366" s="76">
        <v>1496</v>
      </c>
      <c r="D366" s="76">
        <v>1432</v>
      </c>
      <c r="E366" s="76">
        <v>1652</v>
      </c>
      <c r="F366" s="76">
        <v>2923</v>
      </c>
      <c r="G366" s="42">
        <v>3403</v>
      </c>
      <c r="H366" s="76">
        <v>3199</v>
      </c>
      <c r="I366" s="76">
        <v>4060</v>
      </c>
      <c r="J366" s="76">
        <v>3849</v>
      </c>
      <c r="K366" s="42">
        <v>3765</v>
      </c>
      <c r="L366" s="42">
        <v>3560</v>
      </c>
    </row>
    <row r="367" spans="1:12" x14ac:dyDescent="0.2">
      <c r="A367" s="38" t="s">
        <v>87</v>
      </c>
      <c r="B367" s="76" t="s">
        <v>213</v>
      </c>
      <c r="C367" s="76" t="s">
        <v>213</v>
      </c>
      <c r="D367" s="76" t="s">
        <v>213</v>
      </c>
      <c r="E367" s="76" t="s">
        <v>213</v>
      </c>
      <c r="F367" s="76" t="s">
        <v>213</v>
      </c>
      <c r="G367" s="42" t="s">
        <v>213</v>
      </c>
      <c r="H367" s="76" t="s">
        <v>213</v>
      </c>
      <c r="I367" s="42" t="s">
        <v>213</v>
      </c>
      <c r="J367" s="42" t="s">
        <v>213</v>
      </c>
      <c r="K367" s="42" t="s">
        <v>213</v>
      </c>
      <c r="L367" s="42" t="s">
        <v>213</v>
      </c>
    </row>
    <row r="368" spans="1:12" x14ac:dyDescent="0.2">
      <c r="A368" s="38" t="s">
        <v>88</v>
      </c>
      <c r="B368" s="76">
        <v>333</v>
      </c>
      <c r="C368" s="76">
        <v>323</v>
      </c>
      <c r="D368" s="76">
        <v>244</v>
      </c>
      <c r="E368" s="76">
        <v>316</v>
      </c>
      <c r="F368" s="76">
        <v>447</v>
      </c>
      <c r="G368" s="42">
        <v>394</v>
      </c>
      <c r="H368" s="76">
        <v>524</v>
      </c>
      <c r="I368" s="76">
        <v>397</v>
      </c>
      <c r="J368" s="76">
        <v>325</v>
      </c>
      <c r="K368" s="42">
        <v>775</v>
      </c>
      <c r="L368" s="42">
        <v>2107</v>
      </c>
    </row>
    <row r="369" spans="1:13" x14ac:dyDescent="0.2">
      <c r="A369" s="38" t="s">
        <v>89</v>
      </c>
      <c r="B369" s="76">
        <v>26</v>
      </c>
      <c r="C369" s="76">
        <v>27</v>
      </c>
      <c r="D369" s="76">
        <v>13</v>
      </c>
      <c r="E369" s="76">
        <v>15</v>
      </c>
      <c r="F369" s="76">
        <v>7</v>
      </c>
      <c r="G369" s="42">
        <v>8</v>
      </c>
      <c r="H369" s="76">
        <v>19</v>
      </c>
      <c r="I369" s="76">
        <v>12</v>
      </c>
      <c r="J369" s="76">
        <v>21</v>
      </c>
      <c r="K369" s="42">
        <v>6</v>
      </c>
      <c r="L369" s="42">
        <v>12</v>
      </c>
    </row>
    <row r="370" spans="1:13" x14ac:dyDescent="0.2">
      <c r="A370" s="38" t="s">
        <v>90</v>
      </c>
      <c r="B370" s="76">
        <v>1</v>
      </c>
      <c r="C370" s="76" t="s">
        <v>213</v>
      </c>
      <c r="D370" s="76">
        <v>2</v>
      </c>
      <c r="E370" s="76" t="s">
        <v>213</v>
      </c>
      <c r="F370" s="76" t="s">
        <v>213</v>
      </c>
      <c r="G370" s="42" t="s">
        <v>213</v>
      </c>
      <c r="H370" s="76" t="s">
        <v>213</v>
      </c>
      <c r="I370" s="42" t="s">
        <v>213</v>
      </c>
      <c r="J370" s="42" t="s">
        <v>213</v>
      </c>
      <c r="K370" s="42" t="s">
        <v>213</v>
      </c>
      <c r="L370" s="42" t="s">
        <v>213</v>
      </c>
    </row>
    <row r="371" spans="1:13" x14ac:dyDescent="0.2">
      <c r="A371" s="38" t="s">
        <v>91</v>
      </c>
      <c r="B371" s="76" t="s">
        <v>213</v>
      </c>
      <c r="C371" s="76">
        <v>1</v>
      </c>
      <c r="D371" s="76" t="s">
        <v>213</v>
      </c>
      <c r="E371" s="76" t="s">
        <v>213</v>
      </c>
      <c r="F371" s="76">
        <v>8</v>
      </c>
      <c r="G371" s="42">
        <v>9</v>
      </c>
      <c r="H371" s="76">
        <v>6</v>
      </c>
      <c r="I371" s="76">
        <v>30</v>
      </c>
      <c r="J371" s="76">
        <v>52</v>
      </c>
      <c r="K371" s="42">
        <v>211</v>
      </c>
      <c r="L371" s="42">
        <v>376</v>
      </c>
    </row>
    <row r="372" spans="1:13" x14ac:dyDescent="0.2">
      <c r="A372" s="38" t="s">
        <v>92</v>
      </c>
      <c r="B372" s="76">
        <v>694</v>
      </c>
      <c r="C372" s="76">
        <v>818</v>
      </c>
      <c r="D372" s="76">
        <v>487</v>
      </c>
      <c r="E372" s="76">
        <v>567</v>
      </c>
      <c r="F372" s="76">
        <v>1046</v>
      </c>
      <c r="G372" s="42">
        <v>766</v>
      </c>
      <c r="H372" s="76">
        <v>1053</v>
      </c>
      <c r="I372" s="76">
        <v>952</v>
      </c>
      <c r="J372" s="76">
        <v>1277</v>
      </c>
      <c r="K372" s="42">
        <v>974</v>
      </c>
      <c r="L372" s="42">
        <v>1342</v>
      </c>
    </row>
    <row r="373" spans="1:13" x14ac:dyDescent="0.2">
      <c r="A373" s="38" t="s">
        <v>93</v>
      </c>
      <c r="B373" s="76" t="s">
        <v>213</v>
      </c>
      <c r="C373" s="76">
        <v>9</v>
      </c>
      <c r="D373" s="76">
        <v>8</v>
      </c>
      <c r="E373" s="76">
        <v>1</v>
      </c>
      <c r="F373" s="76">
        <v>4</v>
      </c>
      <c r="G373" s="42">
        <v>6</v>
      </c>
      <c r="H373" s="76">
        <v>11</v>
      </c>
      <c r="I373" s="76">
        <v>7</v>
      </c>
      <c r="J373" s="76">
        <v>10</v>
      </c>
      <c r="K373" s="42">
        <v>16</v>
      </c>
      <c r="L373" s="42">
        <v>3</v>
      </c>
    </row>
    <row r="374" spans="1:13" x14ac:dyDescent="0.2">
      <c r="A374" s="55" t="s">
        <v>94</v>
      </c>
      <c r="B374" s="76" t="s">
        <v>213</v>
      </c>
      <c r="C374" s="76">
        <v>6</v>
      </c>
      <c r="D374" s="76" t="s">
        <v>213</v>
      </c>
      <c r="E374" s="76" t="s">
        <v>213</v>
      </c>
      <c r="F374" s="76" t="s">
        <v>213</v>
      </c>
      <c r="G374" s="42" t="s">
        <v>213</v>
      </c>
      <c r="H374" s="76" t="s">
        <v>213</v>
      </c>
      <c r="I374" s="42" t="s">
        <v>213</v>
      </c>
      <c r="J374" s="42" t="s">
        <v>213</v>
      </c>
      <c r="K374" s="42" t="s">
        <v>213</v>
      </c>
      <c r="L374" s="42">
        <v>4</v>
      </c>
    </row>
    <row r="375" spans="1:13" x14ac:dyDescent="0.2">
      <c r="A375" s="38" t="s">
        <v>95</v>
      </c>
      <c r="B375" s="76" t="s">
        <v>213</v>
      </c>
      <c r="C375" s="76" t="s">
        <v>213</v>
      </c>
      <c r="D375" s="76" t="s">
        <v>213</v>
      </c>
      <c r="E375" s="76" t="s">
        <v>213</v>
      </c>
      <c r="F375" s="76" t="s">
        <v>213</v>
      </c>
      <c r="G375" s="42" t="s">
        <v>213</v>
      </c>
      <c r="H375" s="76">
        <v>3</v>
      </c>
      <c r="I375" s="42" t="s">
        <v>213</v>
      </c>
      <c r="J375" s="42" t="s">
        <v>213</v>
      </c>
      <c r="K375" s="42" t="s">
        <v>213</v>
      </c>
      <c r="L375" s="42" t="s">
        <v>213</v>
      </c>
    </row>
    <row r="376" spans="1:13" x14ac:dyDescent="0.2">
      <c r="A376" s="38" t="s">
        <v>96</v>
      </c>
      <c r="B376" s="76">
        <v>1</v>
      </c>
      <c r="C376" s="76">
        <v>40</v>
      </c>
      <c r="D376" s="76">
        <v>32</v>
      </c>
      <c r="E376" s="76">
        <v>11</v>
      </c>
      <c r="F376" s="76">
        <v>13</v>
      </c>
      <c r="G376" s="42">
        <v>18</v>
      </c>
      <c r="H376" s="76">
        <v>14</v>
      </c>
      <c r="I376" s="76">
        <v>17</v>
      </c>
      <c r="J376" s="76">
        <v>33</v>
      </c>
      <c r="K376" s="42">
        <v>20</v>
      </c>
      <c r="L376" s="42">
        <v>11</v>
      </c>
    </row>
    <row r="377" spans="1:13" x14ac:dyDescent="0.2">
      <c r="A377" s="38" t="s">
        <v>97</v>
      </c>
      <c r="B377" s="76">
        <v>4</v>
      </c>
      <c r="C377" s="76" t="s">
        <v>213</v>
      </c>
      <c r="D377" s="76" t="s">
        <v>213</v>
      </c>
      <c r="E377" s="76" t="s">
        <v>213</v>
      </c>
      <c r="F377" s="76">
        <v>5</v>
      </c>
      <c r="G377" s="42" t="s">
        <v>213</v>
      </c>
      <c r="H377" s="76">
        <v>5</v>
      </c>
      <c r="I377" s="76">
        <v>7</v>
      </c>
      <c r="J377" s="76" t="s">
        <v>213</v>
      </c>
      <c r="K377" s="42">
        <v>7</v>
      </c>
      <c r="L377" s="42">
        <v>4</v>
      </c>
    </row>
    <row r="378" spans="1:13" x14ac:dyDescent="0.2">
      <c r="A378" s="38" t="s">
        <v>98</v>
      </c>
      <c r="B378" s="76" t="s">
        <v>213</v>
      </c>
      <c r="C378" s="76" t="s">
        <v>213</v>
      </c>
      <c r="D378" s="76" t="s">
        <v>213</v>
      </c>
      <c r="E378" s="76">
        <v>10</v>
      </c>
      <c r="F378" s="76" t="s">
        <v>213</v>
      </c>
      <c r="G378" s="42">
        <v>1</v>
      </c>
      <c r="H378" s="76">
        <v>3</v>
      </c>
      <c r="I378" s="76">
        <v>4</v>
      </c>
      <c r="J378" s="76">
        <v>1</v>
      </c>
      <c r="K378" s="42" t="s">
        <v>213</v>
      </c>
      <c r="L378" s="42">
        <v>2</v>
      </c>
    </row>
    <row r="379" spans="1:13" x14ac:dyDescent="0.2">
      <c r="A379" s="38" t="s">
        <v>99</v>
      </c>
      <c r="B379" s="76" t="s">
        <v>213</v>
      </c>
      <c r="C379" s="76" t="s">
        <v>213</v>
      </c>
      <c r="D379" s="76" t="s">
        <v>213</v>
      </c>
      <c r="E379" s="76" t="s">
        <v>213</v>
      </c>
      <c r="F379" s="76" t="s">
        <v>213</v>
      </c>
      <c r="G379" s="42" t="s">
        <v>213</v>
      </c>
      <c r="H379" s="76" t="s">
        <v>213</v>
      </c>
      <c r="I379" s="42" t="s">
        <v>213</v>
      </c>
      <c r="J379" s="42" t="s">
        <v>213</v>
      </c>
      <c r="K379" s="42" t="s">
        <v>213</v>
      </c>
      <c r="L379" s="42" t="s">
        <v>213</v>
      </c>
    </row>
    <row r="380" spans="1:13" x14ac:dyDescent="0.2">
      <c r="A380" s="55" t="s">
        <v>100</v>
      </c>
      <c r="B380" s="76" t="s">
        <v>213</v>
      </c>
      <c r="C380" s="76" t="s">
        <v>213</v>
      </c>
      <c r="D380" s="76" t="s">
        <v>213</v>
      </c>
      <c r="E380" s="76">
        <v>1</v>
      </c>
      <c r="F380" s="76">
        <v>1</v>
      </c>
      <c r="G380" s="42">
        <v>1</v>
      </c>
      <c r="H380" s="76" t="s">
        <v>213</v>
      </c>
      <c r="I380" s="42" t="s">
        <v>213</v>
      </c>
      <c r="J380" s="42" t="s">
        <v>213</v>
      </c>
      <c r="K380" s="42" t="s">
        <v>213</v>
      </c>
      <c r="L380" s="42" t="s">
        <v>213</v>
      </c>
    </row>
    <row r="381" spans="1:13" x14ac:dyDescent="0.2">
      <c r="A381" s="38" t="s">
        <v>101</v>
      </c>
      <c r="B381" s="76" t="s">
        <v>213</v>
      </c>
      <c r="C381" s="76" t="s">
        <v>213</v>
      </c>
      <c r="D381" s="76" t="s">
        <v>213</v>
      </c>
      <c r="E381" s="76" t="s">
        <v>213</v>
      </c>
      <c r="F381" s="76" t="s">
        <v>213</v>
      </c>
      <c r="G381" s="42" t="s">
        <v>213</v>
      </c>
      <c r="H381" s="76" t="s">
        <v>213</v>
      </c>
      <c r="I381" s="42" t="s">
        <v>213</v>
      </c>
      <c r="J381" s="42" t="s">
        <v>213</v>
      </c>
      <c r="K381" s="42" t="s">
        <v>213</v>
      </c>
      <c r="L381" s="42" t="s">
        <v>213</v>
      </c>
    </row>
    <row r="382" spans="1:13" x14ac:dyDescent="0.2">
      <c r="A382" s="38" t="s">
        <v>102</v>
      </c>
      <c r="B382" s="76">
        <v>458</v>
      </c>
      <c r="C382" s="76">
        <v>722</v>
      </c>
      <c r="D382" s="76">
        <v>669</v>
      </c>
      <c r="E382" s="76">
        <v>625</v>
      </c>
      <c r="F382" s="76">
        <v>602</v>
      </c>
      <c r="G382" s="42">
        <v>479</v>
      </c>
      <c r="H382" s="76">
        <v>375</v>
      </c>
      <c r="I382" s="76">
        <v>357</v>
      </c>
      <c r="J382" s="76">
        <v>587</v>
      </c>
      <c r="K382" s="42">
        <v>510</v>
      </c>
      <c r="L382" s="42">
        <v>530</v>
      </c>
      <c r="M382" s="43"/>
    </row>
    <row r="383" spans="1:13" x14ac:dyDescent="0.2">
      <c r="A383" s="38" t="s">
        <v>103</v>
      </c>
      <c r="B383" s="76">
        <v>57</v>
      </c>
      <c r="C383" s="76">
        <v>124</v>
      </c>
      <c r="D383" s="76">
        <v>356</v>
      </c>
      <c r="E383" s="76">
        <v>282</v>
      </c>
      <c r="F383" s="76">
        <v>486</v>
      </c>
      <c r="G383" s="42">
        <v>727</v>
      </c>
      <c r="H383" s="76">
        <v>953</v>
      </c>
      <c r="I383" s="76">
        <v>1048</v>
      </c>
      <c r="J383" s="76">
        <v>832</v>
      </c>
      <c r="K383" s="42">
        <v>711</v>
      </c>
      <c r="L383" s="42">
        <v>756</v>
      </c>
    </row>
    <row r="384" spans="1:13" x14ac:dyDescent="0.2">
      <c r="A384" s="38" t="s">
        <v>105</v>
      </c>
      <c r="B384" s="76" t="s">
        <v>213</v>
      </c>
      <c r="C384" s="76" t="s">
        <v>213</v>
      </c>
      <c r="D384" s="76" t="s">
        <v>213</v>
      </c>
      <c r="E384" s="76" t="s">
        <v>213</v>
      </c>
      <c r="F384" s="76">
        <v>1</v>
      </c>
      <c r="G384" s="42" t="s">
        <v>213</v>
      </c>
      <c r="H384" s="76" t="s">
        <v>213</v>
      </c>
      <c r="I384" s="76">
        <v>1</v>
      </c>
      <c r="J384" s="76">
        <v>4</v>
      </c>
      <c r="K384" s="42">
        <v>4</v>
      </c>
      <c r="L384" s="42">
        <v>1</v>
      </c>
    </row>
    <row r="385" spans="1:12" x14ac:dyDescent="0.2">
      <c r="A385" s="55" t="s">
        <v>177</v>
      </c>
      <c r="B385" s="76" t="s">
        <v>213</v>
      </c>
      <c r="C385" s="76" t="s">
        <v>213</v>
      </c>
      <c r="D385" s="76" t="s">
        <v>213</v>
      </c>
      <c r="E385" s="76" t="s">
        <v>213</v>
      </c>
      <c r="F385" s="76" t="s">
        <v>213</v>
      </c>
      <c r="G385" s="42" t="s">
        <v>213</v>
      </c>
      <c r="H385" s="76" t="s">
        <v>213</v>
      </c>
      <c r="I385" s="42" t="s">
        <v>213</v>
      </c>
      <c r="J385" s="42" t="s">
        <v>213</v>
      </c>
      <c r="K385" s="42" t="s">
        <v>213</v>
      </c>
      <c r="L385" s="42" t="s">
        <v>213</v>
      </c>
    </row>
    <row r="386" spans="1:12" x14ac:dyDescent="0.2">
      <c r="A386" s="38" t="s">
        <v>106</v>
      </c>
      <c r="B386" s="76" t="s">
        <v>213</v>
      </c>
      <c r="C386" s="76">
        <v>4</v>
      </c>
      <c r="D386" s="76">
        <v>12</v>
      </c>
      <c r="E386" s="76" t="s">
        <v>213</v>
      </c>
      <c r="F386" s="76" t="s">
        <v>213</v>
      </c>
      <c r="G386" s="42" t="s">
        <v>213</v>
      </c>
      <c r="H386" s="76" t="s">
        <v>213</v>
      </c>
      <c r="I386" s="42" t="s">
        <v>213</v>
      </c>
      <c r="J386" s="42" t="s">
        <v>213</v>
      </c>
      <c r="K386" s="42" t="s">
        <v>213</v>
      </c>
      <c r="L386" s="42" t="s">
        <v>213</v>
      </c>
    </row>
    <row r="387" spans="1:12" x14ac:dyDescent="0.2">
      <c r="A387" s="46" t="s">
        <v>146</v>
      </c>
      <c r="B387" s="53">
        <v>1378</v>
      </c>
      <c r="C387" s="53">
        <f>SUM(C388:C390)</f>
        <v>1455</v>
      </c>
      <c r="D387" s="53">
        <f>SUM(D388:D390)</f>
        <v>1433</v>
      </c>
      <c r="E387" s="52">
        <v>1112</v>
      </c>
      <c r="F387" s="52">
        <v>1490</v>
      </c>
      <c r="G387" s="52">
        <f>(1214+0)</f>
        <v>1214</v>
      </c>
      <c r="H387" s="53">
        <v>1300</v>
      </c>
      <c r="I387" s="53">
        <v>1234</v>
      </c>
      <c r="J387" s="53">
        <v>1255</v>
      </c>
      <c r="K387" s="53">
        <v>1162</v>
      </c>
      <c r="L387" s="53">
        <f>SUM(L388:L390)</f>
        <v>1355</v>
      </c>
    </row>
    <row r="388" spans="1:12" x14ac:dyDescent="0.2">
      <c r="A388" s="38" t="s">
        <v>147</v>
      </c>
      <c r="B388" s="43">
        <v>1374</v>
      </c>
      <c r="C388" s="43">
        <v>1415</v>
      </c>
      <c r="D388" s="43">
        <v>1211</v>
      </c>
      <c r="E388" s="42">
        <v>1017</v>
      </c>
      <c r="F388" s="42">
        <v>1382</v>
      </c>
      <c r="G388" s="42">
        <v>1107</v>
      </c>
      <c r="H388" s="43">
        <v>1202</v>
      </c>
      <c r="I388" s="43">
        <v>1216</v>
      </c>
      <c r="J388" s="43">
        <v>1211</v>
      </c>
      <c r="K388" s="43">
        <v>1134</v>
      </c>
      <c r="L388" s="43">
        <v>1244</v>
      </c>
    </row>
    <row r="389" spans="1:12" x14ac:dyDescent="0.2">
      <c r="A389" s="38" t="s">
        <v>148</v>
      </c>
      <c r="B389" s="43">
        <v>2</v>
      </c>
      <c r="C389" s="43">
        <v>39</v>
      </c>
      <c r="D389" s="43">
        <v>183</v>
      </c>
      <c r="E389" s="42">
        <v>53</v>
      </c>
      <c r="F389" s="42">
        <v>26</v>
      </c>
      <c r="G389" s="42">
        <v>5</v>
      </c>
      <c r="H389" s="43">
        <v>3</v>
      </c>
      <c r="I389" s="42" t="s">
        <v>213</v>
      </c>
      <c r="J389" s="42">
        <v>14</v>
      </c>
      <c r="K389" s="43">
        <v>3</v>
      </c>
      <c r="L389" s="43">
        <v>78</v>
      </c>
    </row>
    <row r="390" spans="1:12" x14ac:dyDescent="0.2">
      <c r="A390" s="38" t="s">
        <v>149</v>
      </c>
      <c r="B390" s="43">
        <v>2</v>
      </c>
      <c r="C390" s="43">
        <v>1</v>
      </c>
      <c r="D390" s="43">
        <v>39</v>
      </c>
      <c r="E390" s="42">
        <v>42</v>
      </c>
      <c r="F390" s="42">
        <v>82</v>
      </c>
      <c r="G390" s="42">
        <v>102</v>
      </c>
      <c r="H390" s="43">
        <v>95</v>
      </c>
      <c r="I390" s="43">
        <v>18</v>
      </c>
      <c r="J390" s="43">
        <v>30</v>
      </c>
      <c r="K390" s="43">
        <v>25</v>
      </c>
      <c r="L390" s="43">
        <v>33</v>
      </c>
    </row>
    <row r="391" spans="1:12" s="45" customFormat="1" x14ac:dyDescent="0.2">
      <c r="A391" s="38"/>
      <c r="B391" s="38"/>
      <c r="C391" s="38"/>
      <c r="D391" s="38"/>
      <c r="E391" s="38"/>
      <c r="F391" s="38"/>
      <c r="G391" s="38"/>
      <c r="H391" s="38"/>
      <c r="I391" s="41"/>
      <c r="J391" s="42"/>
      <c r="K391" s="43"/>
    </row>
    <row r="392" spans="1:12" s="45" customFormat="1" x14ac:dyDescent="0.2">
      <c r="A392" s="38"/>
      <c r="B392" s="38"/>
      <c r="C392" s="38"/>
      <c r="D392" s="38"/>
      <c r="E392" s="38"/>
      <c r="F392" s="38"/>
      <c r="G392" s="38"/>
      <c r="H392" s="38"/>
      <c r="I392" s="41"/>
      <c r="J392" s="42"/>
      <c r="K392" s="43"/>
    </row>
    <row r="393" spans="1:12" s="45" customFormat="1" x14ac:dyDescent="0.2">
      <c r="A393" s="38"/>
      <c r="B393" s="38"/>
      <c r="C393" s="38"/>
      <c r="D393" s="38"/>
      <c r="E393" s="38"/>
      <c r="F393" s="38"/>
      <c r="G393" s="38"/>
      <c r="H393" s="38"/>
      <c r="I393" s="41"/>
      <c r="J393" s="42"/>
      <c r="K393" s="43"/>
    </row>
    <row r="394" spans="1:12" s="45" customFormat="1" x14ac:dyDescent="0.2">
      <c r="A394" s="38"/>
      <c r="B394" s="38"/>
      <c r="C394" s="38"/>
      <c r="D394" s="38"/>
      <c r="E394" s="38"/>
      <c r="F394" s="38"/>
      <c r="G394" s="38"/>
      <c r="H394" s="38"/>
      <c r="I394" s="41"/>
      <c r="J394" s="42"/>
      <c r="K394" s="43"/>
    </row>
    <row r="395" spans="1:12" s="45" customFormat="1" x14ac:dyDescent="0.2">
      <c r="A395" s="38"/>
      <c r="B395" s="38"/>
      <c r="C395" s="38"/>
      <c r="D395" s="38"/>
      <c r="E395" s="38"/>
      <c r="F395" s="38"/>
      <c r="G395" s="38"/>
      <c r="H395" s="38"/>
      <c r="I395" s="41"/>
      <c r="J395" s="42"/>
      <c r="K395" s="43"/>
    </row>
    <row r="396" spans="1:12" s="45" customFormat="1" x14ac:dyDescent="0.2">
      <c r="A396" s="38"/>
      <c r="B396" s="38"/>
      <c r="C396" s="38"/>
      <c r="D396" s="38"/>
      <c r="E396" s="38"/>
      <c r="F396" s="38"/>
      <c r="G396" s="38"/>
      <c r="H396" s="38"/>
      <c r="I396" s="41"/>
      <c r="J396" s="42"/>
      <c r="K396" s="43"/>
    </row>
    <row r="397" spans="1:12" s="45" customFormat="1" x14ac:dyDescent="0.2">
      <c r="A397" s="38"/>
      <c r="B397" s="38"/>
      <c r="C397" s="38"/>
      <c r="D397" s="38"/>
      <c r="E397" s="38"/>
      <c r="F397" s="38"/>
      <c r="G397" s="38"/>
      <c r="H397" s="38"/>
      <c r="I397" s="41"/>
      <c r="J397" s="42"/>
      <c r="K397" s="43"/>
    </row>
    <row r="398" spans="1:12" s="45" customFormat="1" x14ac:dyDescent="0.2">
      <c r="A398" s="38"/>
      <c r="B398" s="38"/>
      <c r="C398" s="38"/>
      <c r="D398" s="38"/>
      <c r="E398" s="38"/>
      <c r="F398" s="38"/>
      <c r="G398" s="38"/>
      <c r="H398" s="38"/>
      <c r="I398" s="41"/>
      <c r="J398" s="42"/>
      <c r="K398" s="43"/>
    </row>
    <row r="399" spans="1:12" s="45" customFormat="1" x14ac:dyDescent="0.2">
      <c r="A399" s="38"/>
      <c r="B399" s="38"/>
      <c r="C399" s="38"/>
      <c r="D399" s="38"/>
      <c r="E399" s="38"/>
      <c r="F399" s="38"/>
      <c r="G399" s="38"/>
      <c r="H399" s="38"/>
      <c r="I399" s="41"/>
      <c r="J399" s="42"/>
      <c r="K399" s="43"/>
    </row>
    <row r="400" spans="1:12" s="45" customFormat="1" x14ac:dyDescent="0.2">
      <c r="A400" s="38"/>
      <c r="B400" s="38"/>
      <c r="C400" s="38"/>
      <c r="D400" s="38"/>
      <c r="E400" s="38"/>
      <c r="F400" s="38"/>
      <c r="G400" s="38"/>
      <c r="H400" s="38"/>
      <c r="I400" s="41"/>
      <c r="J400" s="42"/>
      <c r="K400" s="43"/>
    </row>
    <row r="401" spans="1:12" s="45" customFormat="1" x14ac:dyDescent="0.2">
      <c r="A401" s="38"/>
      <c r="B401" s="38"/>
      <c r="C401" s="38"/>
      <c r="D401" s="38"/>
      <c r="E401" s="38"/>
      <c r="F401" s="38"/>
      <c r="G401" s="38"/>
      <c r="H401" s="38"/>
      <c r="I401" s="41"/>
      <c r="J401" s="42"/>
      <c r="K401" s="43"/>
    </row>
    <row r="402" spans="1:12" s="45" customFormat="1" x14ac:dyDescent="0.2">
      <c r="A402" s="38"/>
      <c r="B402" s="38"/>
      <c r="C402" s="38"/>
      <c r="D402" s="38"/>
      <c r="E402" s="38"/>
      <c r="F402" s="38"/>
      <c r="G402" s="38"/>
      <c r="H402" s="38"/>
      <c r="I402" s="41"/>
      <c r="J402" s="42"/>
      <c r="K402" s="43"/>
    </row>
    <row r="403" spans="1:12" s="45" customFormat="1" x14ac:dyDescent="0.2">
      <c r="A403" s="38"/>
      <c r="B403" s="38"/>
      <c r="C403" s="38"/>
      <c r="D403" s="38"/>
      <c r="E403" s="38"/>
      <c r="F403" s="38"/>
      <c r="G403" s="38"/>
      <c r="H403" s="38"/>
      <c r="I403" s="41"/>
      <c r="J403" s="42"/>
      <c r="K403" s="43"/>
    </row>
    <row r="404" spans="1:12" s="45" customFormat="1" x14ac:dyDescent="0.2">
      <c r="A404" s="38"/>
      <c r="B404" s="38"/>
      <c r="C404" s="38"/>
      <c r="D404" s="38"/>
      <c r="E404" s="38"/>
      <c r="F404" s="38"/>
      <c r="G404" s="38"/>
      <c r="H404" s="38"/>
      <c r="I404" s="41"/>
      <c r="J404" s="42"/>
      <c r="K404" s="43"/>
    </row>
    <row r="405" spans="1:12" s="45" customFormat="1" x14ac:dyDescent="0.2">
      <c r="A405" s="38"/>
      <c r="B405" s="38"/>
      <c r="C405" s="38"/>
      <c r="D405" s="38"/>
      <c r="E405" s="38"/>
      <c r="F405" s="38"/>
      <c r="G405" s="38"/>
      <c r="H405" s="38"/>
      <c r="I405" s="41"/>
      <c r="J405" s="42"/>
      <c r="K405" s="43"/>
    </row>
    <row r="406" spans="1:12" s="45" customFormat="1" ht="12" x14ac:dyDescent="0.25">
      <c r="A406" s="117" t="s">
        <v>220</v>
      </c>
      <c r="B406" s="117"/>
      <c r="C406" s="117"/>
      <c r="D406" s="117"/>
      <c r="E406" s="117"/>
      <c r="F406" s="117"/>
      <c r="G406" s="117"/>
      <c r="H406" s="117"/>
      <c r="I406" s="117"/>
      <c r="J406" s="117"/>
      <c r="K406" s="39"/>
    </row>
    <row r="407" spans="1:12" s="45" customFormat="1" ht="10.199999999999999" x14ac:dyDescent="0.2">
      <c r="A407" s="116" t="s">
        <v>0</v>
      </c>
      <c r="B407" s="116"/>
      <c r="C407" s="116"/>
      <c r="D407" s="116"/>
      <c r="E407" s="116"/>
      <c r="F407" s="116"/>
      <c r="G407" s="116"/>
      <c r="H407" s="116"/>
      <c r="I407" s="116"/>
      <c r="J407" s="116"/>
      <c r="K407" s="116"/>
    </row>
    <row r="408" spans="1:12" s="45" customFormat="1" x14ac:dyDescent="0.2">
      <c r="A408" s="38"/>
      <c r="B408" s="38"/>
      <c r="C408" s="38"/>
      <c r="D408" s="38"/>
      <c r="E408" s="38"/>
      <c r="F408" s="38"/>
      <c r="G408" s="38"/>
      <c r="H408" s="38"/>
      <c r="I408" s="41"/>
      <c r="J408" s="42"/>
      <c r="K408" s="43"/>
    </row>
    <row r="409" spans="1:12" s="45" customFormat="1" x14ac:dyDescent="0.2">
      <c r="A409" s="46" t="s">
        <v>1</v>
      </c>
      <c r="B409" s="46">
        <v>2007</v>
      </c>
      <c r="C409" s="46">
        <v>2008</v>
      </c>
      <c r="D409" s="46">
        <v>2009</v>
      </c>
      <c r="E409" s="48">
        <v>2010</v>
      </c>
      <c r="F409" s="48">
        <v>2011</v>
      </c>
      <c r="G409" s="47">
        <v>2012</v>
      </c>
      <c r="H409" s="46">
        <v>2013</v>
      </c>
      <c r="I409" s="46">
        <v>2014</v>
      </c>
      <c r="J409" s="46">
        <v>2015</v>
      </c>
      <c r="K409" s="46">
        <v>2016</v>
      </c>
      <c r="L409" s="46">
        <v>2017</v>
      </c>
    </row>
    <row r="410" spans="1:12" s="45" customFormat="1" x14ac:dyDescent="0.2">
      <c r="A410" s="38"/>
      <c r="B410" s="38"/>
      <c r="C410" s="43"/>
      <c r="D410" s="38"/>
      <c r="E410" s="42"/>
      <c r="F410" s="42"/>
      <c r="G410" s="43"/>
      <c r="H410" s="38"/>
      <c r="I410" s="38"/>
      <c r="J410" s="38"/>
      <c r="K410" s="43"/>
      <c r="L410" s="43"/>
    </row>
    <row r="411" spans="1:12" s="45" customFormat="1" x14ac:dyDescent="0.2">
      <c r="A411" s="46" t="s">
        <v>169</v>
      </c>
      <c r="B411" s="53">
        <f>SUM(B415+B461+B490+B503)</f>
        <v>211143</v>
      </c>
      <c r="C411" s="53">
        <v>251975</v>
      </c>
      <c r="D411" s="53">
        <v>119706</v>
      </c>
      <c r="E411" s="52">
        <v>152273</v>
      </c>
      <c r="F411" s="52">
        <v>340255</v>
      </c>
      <c r="G411" s="53">
        <v>466183</v>
      </c>
      <c r="H411" s="53">
        <v>478034</v>
      </c>
      <c r="I411" s="53">
        <v>617063</v>
      </c>
      <c r="J411" s="53">
        <v>650887</v>
      </c>
      <c r="K411" s="53">
        <v>628867</v>
      </c>
      <c r="L411" s="53">
        <f>SUM(L415+L461+L490+L503)</f>
        <v>738285</v>
      </c>
    </row>
    <row r="412" spans="1:12" s="45" customFormat="1" x14ac:dyDescent="0.2">
      <c r="A412" s="46" t="s">
        <v>150</v>
      </c>
      <c r="B412" s="52" t="s">
        <v>213</v>
      </c>
      <c r="C412" s="52" t="s">
        <v>213</v>
      </c>
      <c r="D412" s="52" t="s">
        <v>213</v>
      </c>
      <c r="E412" s="52" t="s">
        <v>213</v>
      </c>
      <c r="F412" s="52" t="s">
        <v>213</v>
      </c>
      <c r="G412" s="52" t="s">
        <v>213</v>
      </c>
      <c r="H412" s="52" t="s">
        <v>213</v>
      </c>
      <c r="I412" s="52">
        <v>17</v>
      </c>
      <c r="J412" s="52">
        <v>13</v>
      </c>
      <c r="K412" s="83" t="s">
        <v>213</v>
      </c>
      <c r="L412" s="83" t="s">
        <v>213</v>
      </c>
    </row>
    <row r="413" spans="1:12" s="45" customFormat="1" x14ac:dyDescent="0.2">
      <c r="A413" s="81" t="s">
        <v>154</v>
      </c>
      <c r="B413" s="78" t="s">
        <v>213</v>
      </c>
      <c r="C413" s="78" t="s">
        <v>213</v>
      </c>
      <c r="D413" s="78" t="s">
        <v>213</v>
      </c>
      <c r="E413" s="78" t="s">
        <v>213</v>
      </c>
      <c r="F413" s="78" t="s">
        <v>213</v>
      </c>
      <c r="G413" s="78" t="s">
        <v>213</v>
      </c>
      <c r="H413" s="78" t="s">
        <v>213</v>
      </c>
      <c r="I413" s="78">
        <v>17</v>
      </c>
      <c r="J413" s="78" t="s">
        <v>213</v>
      </c>
      <c r="K413" s="78" t="s">
        <v>213</v>
      </c>
      <c r="L413" s="78" t="s">
        <v>213</v>
      </c>
    </row>
    <row r="414" spans="1:12" s="45" customFormat="1" x14ac:dyDescent="0.2">
      <c r="A414" s="84" t="s">
        <v>155</v>
      </c>
      <c r="B414" s="80" t="s">
        <v>213</v>
      </c>
      <c r="C414" s="80" t="s">
        <v>213</v>
      </c>
      <c r="D414" s="80" t="s">
        <v>213</v>
      </c>
      <c r="E414" s="80" t="s">
        <v>213</v>
      </c>
      <c r="F414" s="80" t="s">
        <v>213</v>
      </c>
      <c r="G414" s="80" t="s">
        <v>213</v>
      </c>
      <c r="H414" s="80" t="s">
        <v>213</v>
      </c>
      <c r="I414" s="80" t="s">
        <v>213</v>
      </c>
      <c r="J414" s="80">
        <v>13</v>
      </c>
      <c r="K414" s="78" t="s">
        <v>213</v>
      </c>
      <c r="L414" s="78" t="s">
        <v>213</v>
      </c>
    </row>
    <row r="415" spans="1:12" s="45" customFormat="1" x14ac:dyDescent="0.2">
      <c r="A415" s="85" t="s">
        <v>2</v>
      </c>
      <c r="B415" s="86">
        <f>SUM(B416:B460)</f>
        <v>206050</v>
      </c>
      <c r="C415" s="86">
        <f>SUM(C416:C460)</f>
        <v>246293</v>
      </c>
      <c r="D415" s="86">
        <f>SUM(D416:D460)</f>
        <v>115825</v>
      </c>
      <c r="E415" s="87">
        <v>147380</v>
      </c>
      <c r="F415" s="87">
        <v>327822</v>
      </c>
      <c r="G415" s="86">
        <v>451294</v>
      </c>
      <c r="H415" s="86">
        <v>463432</v>
      </c>
      <c r="I415" s="86">
        <v>578523</v>
      </c>
      <c r="J415" s="86">
        <v>614656</v>
      </c>
      <c r="K415" s="53">
        <v>575805</v>
      </c>
      <c r="L415" s="53">
        <f>SUM(L416:L460)</f>
        <v>678962</v>
      </c>
    </row>
    <row r="416" spans="1:12" s="45" customFormat="1" x14ac:dyDescent="0.2">
      <c r="A416" s="38" t="s">
        <v>5</v>
      </c>
      <c r="B416" s="76">
        <v>1103</v>
      </c>
      <c r="C416" s="76">
        <v>689</v>
      </c>
      <c r="D416" s="88">
        <v>1198</v>
      </c>
      <c r="E416" s="76">
        <v>1409</v>
      </c>
      <c r="F416" s="76">
        <v>1300</v>
      </c>
      <c r="G416" s="42">
        <v>1426</v>
      </c>
      <c r="H416" s="76">
        <v>1085</v>
      </c>
      <c r="I416" s="76">
        <v>942</v>
      </c>
      <c r="J416" s="76">
        <v>1168</v>
      </c>
      <c r="K416" s="78">
        <v>1784</v>
      </c>
      <c r="L416" s="78">
        <v>1304</v>
      </c>
    </row>
    <row r="417" spans="1:12" x14ac:dyDescent="0.2">
      <c r="A417" s="38" t="s">
        <v>6</v>
      </c>
      <c r="B417" s="76">
        <v>44</v>
      </c>
      <c r="C417" s="76">
        <v>139</v>
      </c>
      <c r="D417" s="88">
        <v>26</v>
      </c>
      <c r="E417" s="76" t="s">
        <v>213</v>
      </c>
      <c r="F417" s="76" t="s">
        <v>213</v>
      </c>
      <c r="G417" s="42" t="s">
        <v>213</v>
      </c>
      <c r="H417" s="76" t="s">
        <v>213</v>
      </c>
      <c r="I417" s="42" t="s">
        <v>213</v>
      </c>
      <c r="J417" s="42" t="s">
        <v>213</v>
      </c>
      <c r="K417" s="42" t="s">
        <v>213</v>
      </c>
      <c r="L417" s="42" t="s">
        <v>213</v>
      </c>
    </row>
    <row r="418" spans="1:12" x14ac:dyDescent="0.2">
      <c r="A418" s="38" t="s">
        <v>7</v>
      </c>
      <c r="B418" s="76" t="s">
        <v>213</v>
      </c>
      <c r="C418" s="76" t="s">
        <v>213</v>
      </c>
      <c r="D418" s="88" t="s">
        <v>213</v>
      </c>
      <c r="E418" s="76">
        <v>34</v>
      </c>
      <c r="F418" s="76" t="s">
        <v>213</v>
      </c>
      <c r="G418" s="42" t="s">
        <v>213</v>
      </c>
      <c r="H418" s="76" t="s">
        <v>213</v>
      </c>
      <c r="I418" s="42" t="s">
        <v>213</v>
      </c>
      <c r="J418" s="42">
        <v>50</v>
      </c>
      <c r="K418" s="42">
        <v>18</v>
      </c>
      <c r="L418" s="42">
        <v>551</v>
      </c>
    </row>
    <row r="419" spans="1:12" x14ac:dyDescent="0.2">
      <c r="A419" s="38" t="s">
        <v>9</v>
      </c>
      <c r="B419" s="76" t="s">
        <v>213</v>
      </c>
      <c r="C419" s="76" t="s">
        <v>213</v>
      </c>
      <c r="D419" s="88" t="s">
        <v>213</v>
      </c>
      <c r="E419" s="76" t="s">
        <v>213</v>
      </c>
      <c r="F419" s="76" t="s">
        <v>213</v>
      </c>
      <c r="G419" s="42" t="s">
        <v>213</v>
      </c>
      <c r="H419" s="76" t="s">
        <v>213</v>
      </c>
      <c r="I419" s="42" t="s">
        <v>213</v>
      </c>
      <c r="J419" s="42" t="s">
        <v>213</v>
      </c>
      <c r="K419" s="42" t="s">
        <v>213</v>
      </c>
      <c r="L419" s="42" t="s">
        <v>213</v>
      </c>
    </row>
    <row r="420" spans="1:12" x14ac:dyDescent="0.2">
      <c r="A420" s="38" t="s">
        <v>11</v>
      </c>
      <c r="B420" s="76">
        <v>1</v>
      </c>
      <c r="C420" s="76" t="s">
        <v>213</v>
      </c>
      <c r="D420" s="88" t="s">
        <v>213</v>
      </c>
      <c r="E420" s="76" t="s">
        <v>213</v>
      </c>
      <c r="F420" s="76" t="s">
        <v>213</v>
      </c>
      <c r="G420" s="42" t="s">
        <v>213</v>
      </c>
      <c r="H420" s="76" t="s">
        <v>213</v>
      </c>
      <c r="I420" s="42" t="s">
        <v>213</v>
      </c>
      <c r="J420" s="42" t="s">
        <v>213</v>
      </c>
      <c r="K420" s="42" t="s">
        <v>213</v>
      </c>
      <c r="L420" s="42" t="s">
        <v>213</v>
      </c>
    </row>
    <row r="421" spans="1:12" x14ac:dyDescent="0.2">
      <c r="A421" s="38" t="s">
        <v>13</v>
      </c>
      <c r="B421" s="76">
        <v>3</v>
      </c>
      <c r="C421" s="76">
        <v>3</v>
      </c>
      <c r="D421" s="88" t="s">
        <v>213</v>
      </c>
      <c r="E421" s="76" t="s">
        <v>213</v>
      </c>
      <c r="F421" s="76" t="s">
        <v>213</v>
      </c>
      <c r="G421" s="42" t="s">
        <v>213</v>
      </c>
      <c r="H421" s="76" t="s">
        <v>213</v>
      </c>
      <c r="I421" s="42" t="s">
        <v>213</v>
      </c>
      <c r="J421" s="42" t="s">
        <v>213</v>
      </c>
      <c r="K421" s="42" t="s">
        <v>213</v>
      </c>
      <c r="L421" s="42" t="s">
        <v>213</v>
      </c>
    </row>
    <row r="422" spans="1:12" x14ac:dyDescent="0.2">
      <c r="A422" s="38" t="s">
        <v>18</v>
      </c>
      <c r="B422" s="76">
        <v>313</v>
      </c>
      <c r="C422" s="76">
        <v>215</v>
      </c>
      <c r="D422" s="88">
        <v>181</v>
      </c>
      <c r="E422" s="76">
        <v>142</v>
      </c>
      <c r="F422" s="76">
        <v>126</v>
      </c>
      <c r="G422" s="42">
        <v>104</v>
      </c>
      <c r="H422" s="76">
        <v>83</v>
      </c>
      <c r="I422" s="76">
        <v>37</v>
      </c>
      <c r="J422" s="76">
        <v>36</v>
      </c>
      <c r="K422" s="42">
        <v>82</v>
      </c>
      <c r="L422" s="42">
        <v>60</v>
      </c>
    </row>
    <row r="423" spans="1:12" x14ac:dyDescent="0.2">
      <c r="A423" s="38" t="s">
        <v>19</v>
      </c>
      <c r="B423" s="76" t="s">
        <v>213</v>
      </c>
      <c r="C423" s="76" t="s">
        <v>213</v>
      </c>
      <c r="D423" s="88" t="s">
        <v>213</v>
      </c>
      <c r="E423" s="76" t="s">
        <v>213</v>
      </c>
      <c r="F423" s="76" t="s">
        <v>213</v>
      </c>
      <c r="G423" s="42">
        <v>3</v>
      </c>
      <c r="H423" s="76">
        <v>10</v>
      </c>
      <c r="I423" s="42" t="s">
        <v>213</v>
      </c>
      <c r="J423" s="42" t="s">
        <v>213</v>
      </c>
      <c r="K423" s="42" t="s">
        <v>213</v>
      </c>
      <c r="L423" s="42" t="s">
        <v>213</v>
      </c>
    </row>
    <row r="424" spans="1:12" x14ac:dyDescent="0.2">
      <c r="A424" s="38" t="s">
        <v>20</v>
      </c>
      <c r="B424" s="76">
        <v>1</v>
      </c>
      <c r="C424" s="76">
        <v>2</v>
      </c>
      <c r="D424" s="88">
        <v>5</v>
      </c>
      <c r="E424" s="76">
        <v>9</v>
      </c>
      <c r="F424" s="76">
        <v>2</v>
      </c>
      <c r="G424" s="42" t="s">
        <v>213</v>
      </c>
      <c r="H424" s="76" t="s">
        <v>213</v>
      </c>
      <c r="I424" s="76">
        <v>3</v>
      </c>
      <c r="J424" s="76" t="s">
        <v>213</v>
      </c>
      <c r="K424" s="42">
        <v>1</v>
      </c>
      <c r="L424" s="42">
        <v>1</v>
      </c>
    </row>
    <row r="425" spans="1:12" x14ac:dyDescent="0.2">
      <c r="A425" s="38" t="s">
        <v>24</v>
      </c>
      <c r="B425" s="76">
        <v>7</v>
      </c>
      <c r="C425" s="76" t="s">
        <v>213</v>
      </c>
      <c r="D425" s="88" t="s">
        <v>213</v>
      </c>
      <c r="E425" s="76">
        <v>11</v>
      </c>
      <c r="F425" s="76" t="s">
        <v>213</v>
      </c>
      <c r="G425" s="42">
        <v>350</v>
      </c>
      <c r="H425" s="76">
        <v>31</v>
      </c>
      <c r="I425" s="76">
        <v>1040</v>
      </c>
      <c r="J425" s="76">
        <v>636</v>
      </c>
      <c r="K425" s="42">
        <v>5409</v>
      </c>
      <c r="L425" s="42">
        <v>1598</v>
      </c>
    </row>
    <row r="426" spans="1:12" x14ac:dyDescent="0.2">
      <c r="A426" s="38" t="s">
        <v>26</v>
      </c>
      <c r="B426" s="76" t="s">
        <v>213</v>
      </c>
      <c r="C426" s="76" t="s">
        <v>213</v>
      </c>
      <c r="D426" s="88" t="s">
        <v>213</v>
      </c>
      <c r="E426" s="76" t="s">
        <v>213</v>
      </c>
      <c r="F426" s="76" t="s">
        <v>213</v>
      </c>
      <c r="G426" s="42" t="s">
        <v>213</v>
      </c>
      <c r="H426" s="76" t="s">
        <v>213</v>
      </c>
      <c r="I426" s="42" t="s">
        <v>213</v>
      </c>
      <c r="J426" s="42" t="s">
        <v>213</v>
      </c>
      <c r="K426" s="42" t="s">
        <v>213</v>
      </c>
      <c r="L426" s="42" t="s">
        <v>213</v>
      </c>
    </row>
    <row r="427" spans="1:12" x14ac:dyDescent="0.2">
      <c r="A427" s="38" t="s">
        <v>29</v>
      </c>
      <c r="B427" s="76" t="s">
        <v>213</v>
      </c>
      <c r="C427" s="76" t="s">
        <v>213</v>
      </c>
      <c r="D427" s="88" t="s">
        <v>213</v>
      </c>
      <c r="E427" s="76" t="s">
        <v>213</v>
      </c>
      <c r="F427" s="76" t="s">
        <v>213</v>
      </c>
      <c r="G427" s="42" t="s">
        <v>213</v>
      </c>
      <c r="H427" s="76" t="s">
        <v>213</v>
      </c>
      <c r="I427" s="42" t="s">
        <v>213</v>
      </c>
      <c r="J427" s="42" t="s">
        <v>213</v>
      </c>
      <c r="K427" s="42">
        <v>6</v>
      </c>
      <c r="L427" s="42">
        <v>7</v>
      </c>
    </row>
    <row r="428" spans="1:12" x14ac:dyDescent="0.2">
      <c r="A428" s="38" t="s">
        <v>31</v>
      </c>
      <c r="B428" s="76">
        <v>13</v>
      </c>
      <c r="C428" s="76">
        <v>1</v>
      </c>
      <c r="D428" s="88">
        <v>2</v>
      </c>
      <c r="E428" s="76" t="s">
        <v>213</v>
      </c>
      <c r="F428" s="76">
        <v>74</v>
      </c>
      <c r="G428" s="42" t="s">
        <v>213</v>
      </c>
      <c r="H428" s="76" t="s">
        <v>213</v>
      </c>
      <c r="I428" s="76">
        <f>(4+0)</f>
        <v>4</v>
      </c>
      <c r="J428" s="76">
        <f>(4+0)</f>
        <v>4</v>
      </c>
      <c r="K428" s="42">
        <f>(2+354+0)</f>
        <v>356</v>
      </c>
      <c r="L428" s="42">
        <v>248</v>
      </c>
    </row>
    <row r="429" spans="1:12" x14ac:dyDescent="0.2">
      <c r="A429" s="38" t="s">
        <v>32</v>
      </c>
      <c r="B429" s="76" t="s">
        <v>213</v>
      </c>
      <c r="C429" s="76">
        <v>13</v>
      </c>
      <c r="D429" s="88">
        <v>15</v>
      </c>
      <c r="E429" s="76">
        <v>8</v>
      </c>
      <c r="F429" s="76">
        <v>8</v>
      </c>
      <c r="G429" s="42">
        <v>6</v>
      </c>
      <c r="H429" s="76">
        <v>13</v>
      </c>
      <c r="I429" s="76">
        <v>3</v>
      </c>
      <c r="J429" s="76">
        <v>1</v>
      </c>
      <c r="K429" s="42" t="s">
        <v>213</v>
      </c>
      <c r="L429" s="42">
        <v>1</v>
      </c>
    </row>
    <row r="430" spans="1:12" x14ac:dyDescent="0.2">
      <c r="A430" s="38" t="s">
        <v>33</v>
      </c>
      <c r="B430" s="76">
        <v>184</v>
      </c>
      <c r="C430" s="76">
        <v>139</v>
      </c>
      <c r="D430" s="88">
        <v>60</v>
      </c>
      <c r="E430" s="76">
        <v>90</v>
      </c>
      <c r="F430" s="76">
        <v>189</v>
      </c>
      <c r="G430" s="42">
        <v>180</v>
      </c>
      <c r="H430" s="76">
        <v>122</v>
      </c>
      <c r="I430" s="76">
        <v>100</v>
      </c>
      <c r="J430" s="76">
        <v>69</v>
      </c>
      <c r="K430" s="42">
        <v>62</v>
      </c>
      <c r="L430" s="42">
        <v>34</v>
      </c>
    </row>
    <row r="431" spans="1:12" x14ac:dyDescent="0.2">
      <c r="A431" s="38" t="s">
        <v>34</v>
      </c>
      <c r="B431" s="76" t="s">
        <v>213</v>
      </c>
      <c r="C431" s="76">
        <v>24</v>
      </c>
      <c r="D431" s="88">
        <v>9</v>
      </c>
      <c r="E431" s="76">
        <v>4</v>
      </c>
      <c r="F431" s="76">
        <v>8</v>
      </c>
      <c r="G431" s="42">
        <v>8</v>
      </c>
      <c r="H431" s="76">
        <v>12</v>
      </c>
      <c r="I431" s="76">
        <v>11</v>
      </c>
      <c r="J431" s="76">
        <v>2</v>
      </c>
      <c r="K431" s="42" t="s">
        <v>213</v>
      </c>
      <c r="L431" s="42">
        <v>1</v>
      </c>
    </row>
    <row r="432" spans="1:12" x14ac:dyDescent="0.2">
      <c r="A432" s="38" t="s">
        <v>35</v>
      </c>
      <c r="B432" s="76">
        <v>1</v>
      </c>
      <c r="C432" s="76">
        <v>16</v>
      </c>
      <c r="D432" s="88">
        <v>15</v>
      </c>
      <c r="E432" s="77">
        <v>20</v>
      </c>
      <c r="F432" s="77">
        <v>22</v>
      </c>
      <c r="G432" s="42">
        <v>48</v>
      </c>
      <c r="H432" s="76">
        <v>74</v>
      </c>
      <c r="I432" s="76">
        <v>38</v>
      </c>
      <c r="J432" s="76">
        <v>20</v>
      </c>
      <c r="K432" s="42">
        <v>35</v>
      </c>
      <c r="L432" s="42">
        <v>9</v>
      </c>
    </row>
    <row r="433" spans="1:12" x14ac:dyDescent="0.2">
      <c r="A433" s="38" t="s">
        <v>36</v>
      </c>
      <c r="B433" s="76" t="s">
        <v>213</v>
      </c>
      <c r="C433" s="76">
        <v>1</v>
      </c>
      <c r="D433" s="88" t="s">
        <v>213</v>
      </c>
      <c r="E433" s="77" t="s">
        <v>213</v>
      </c>
      <c r="F433" s="77" t="s">
        <v>213</v>
      </c>
      <c r="G433" s="42" t="s">
        <v>213</v>
      </c>
      <c r="H433" s="76" t="s">
        <v>213</v>
      </c>
      <c r="I433" s="42" t="s">
        <v>213</v>
      </c>
      <c r="J433" s="42" t="s">
        <v>213</v>
      </c>
      <c r="K433" s="42">
        <v>21</v>
      </c>
      <c r="L433" s="42">
        <v>18</v>
      </c>
    </row>
    <row r="434" spans="1:12" x14ac:dyDescent="0.2">
      <c r="A434" s="38" t="s">
        <v>40</v>
      </c>
      <c r="B434" s="76">
        <v>261</v>
      </c>
      <c r="C434" s="76">
        <v>842</v>
      </c>
      <c r="D434" s="88">
        <v>176</v>
      </c>
      <c r="E434" s="76">
        <v>633</v>
      </c>
      <c r="F434" s="76">
        <v>3078</v>
      </c>
      <c r="G434" s="42">
        <v>6233</v>
      </c>
      <c r="H434" s="76">
        <v>1409</v>
      </c>
      <c r="I434" s="76">
        <v>9756</v>
      </c>
      <c r="J434" s="76">
        <v>39908</v>
      </c>
      <c r="K434" s="42">
        <v>51950</v>
      </c>
      <c r="L434" s="42">
        <v>48888</v>
      </c>
    </row>
    <row r="435" spans="1:12" x14ac:dyDescent="0.2">
      <c r="A435" s="38" t="s">
        <v>41</v>
      </c>
      <c r="B435" s="76" t="s">
        <v>213</v>
      </c>
      <c r="C435" s="76" t="s">
        <v>213</v>
      </c>
      <c r="D435" s="88" t="s">
        <v>213</v>
      </c>
      <c r="E435" s="89" t="s">
        <v>213</v>
      </c>
      <c r="F435" s="76" t="s">
        <v>213</v>
      </c>
      <c r="G435" s="42">
        <v>2</v>
      </c>
      <c r="H435" s="76" t="s">
        <v>213</v>
      </c>
      <c r="I435" s="42" t="s">
        <v>213</v>
      </c>
      <c r="J435" s="42">
        <v>2</v>
      </c>
      <c r="K435" s="42">
        <v>1</v>
      </c>
      <c r="L435" s="42">
        <v>11</v>
      </c>
    </row>
    <row r="436" spans="1:12" s="45" customFormat="1" x14ac:dyDescent="0.2">
      <c r="A436" s="38" t="s">
        <v>42</v>
      </c>
      <c r="B436" s="76" t="s">
        <v>213</v>
      </c>
      <c r="C436" s="76" t="s">
        <v>213</v>
      </c>
      <c r="D436" s="88">
        <v>2</v>
      </c>
      <c r="E436" s="76">
        <v>1</v>
      </c>
      <c r="F436" s="76">
        <v>2</v>
      </c>
      <c r="G436" s="42">
        <v>2</v>
      </c>
      <c r="H436" s="76" t="s">
        <v>213</v>
      </c>
      <c r="I436" s="42" t="s">
        <v>213</v>
      </c>
      <c r="J436" s="42" t="s">
        <v>213</v>
      </c>
      <c r="K436" s="42" t="s">
        <v>213</v>
      </c>
      <c r="L436" s="42" t="s">
        <v>213</v>
      </c>
    </row>
    <row r="437" spans="1:12" x14ac:dyDescent="0.2">
      <c r="A437" s="38" t="s">
        <v>45</v>
      </c>
      <c r="B437" s="76">
        <v>5</v>
      </c>
      <c r="C437" s="76" t="s">
        <v>213</v>
      </c>
      <c r="D437" s="76" t="s">
        <v>213</v>
      </c>
      <c r="E437" s="76" t="s">
        <v>213</v>
      </c>
      <c r="F437" s="76">
        <v>11</v>
      </c>
      <c r="G437" s="42">
        <v>61</v>
      </c>
      <c r="H437" s="76">
        <v>45</v>
      </c>
      <c r="I437" s="76">
        <v>38</v>
      </c>
      <c r="J437" s="76">
        <v>20</v>
      </c>
      <c r="K437" s="42">
        <v>41</v>
      </c>
      <c r="L437" s="42">
        <v>58</v>
      </c>
    </row>
    <row r="438" spans="1:12" x14ac:dyDescent="0.2">
      <c r="A438" s="38" t="s">
        <v>46</v>
      </c>
      <c r="B438" s="76">
        <v>3323</v>
      </c>
      <c r="C438" s="76">
        <v>1924</v>
      </c>
      <c r="D438" s="88">
        <v>314</v>
      </c>
      <c r="E438" s="76">
        <v>2395</v>
      </c>
      <c r="F438" s="76">
        <v>2393</v>
      </c>
      <c r="G438" s="42">
        <v>4619</v>
      </c>
      <c r="H438" s="76">
        <v>4981</v>
      </c>
      <c r="I438" s="76">
        <v>4192</v>
      </c>
      <c r="J438" s="76">
        <v>3905</v>
      </c>
      <c r="K438" s="42">
        <v>5986</v>
      </c>
      <c r="L438" s="42">
        <v>4570</v>
      </c>
    </row>
    <row r="439" spans="1:12" ht="9.9" customHeight="1" x14ac:dyDescent="0.2">
      <c r="A439" s="38" t="s">
        <v>47</v>
      </c>
      <c r="B439" s="76">
        <v>16</v>
      </c>
      <c r="C439" s="76" t="s">
        <v>213</v>
      </c>
      <c r="D439" s="88" t="s">
        <v>213</v>
      </c>
      <c r="E439" s="76">
        <v>3</v>
      </c>
      <c r="F439" s="76">
        <v>306</v>
      </c>
      <c r="G439" s="42">
        <v>2797</v>
      </c>
      <c r="H439" s="76">
        <v>2315</v>
      </c>
      <c r="I439" s="76">
        <v>2971</v>
      </c>
      <c r="J439" s="76">
        <v>4127</v>
      </c>
      <c r="K439" s="42">
        <v>7530</v>
      </c>
      <c r="L439" s="42">
        <v>5888</v>
      </c>
    </row>
    <row r="440" spans="1:12" ht="9.9" customHeight="1" x14ac:dyDescent="0.2">
      <c r="A440" s="38" t="s">
        <v>48</v>
      </c>
      <c r="B440" s="76" t="s">
        <v>213</v>
      </c>
      <c r="C440" s="76" t="s">
        <v>213</v>
      </c>
      <c r="D440" s="88" t="s">
        <v>213</v>
      </c>
      <c r="E440" s="76" t="s">
        <v>213</v>
      </c>
      <c r="F440" s="76" t="s">
        <v>213</v>
      </c>
      <c r="G440" s="42" t="s">
        <v>213</v>
      </c>
      <c r="H440" s="76" t="s">
        <v>213</v>
      </c>
      <c r="I440" s="42" t="s">
        <v>213</v>
      </c>
      <c r="J440" s="42" t="s">
        <v>213</v>
      </c>
      <c r="K440" s="42" t="s">
        <v>213</v>
      </c>
      <c r="L440" s="42" t="s">
        <v>213</v>
      </c>
    </row>
    <row r="441" spans="1:12" x14ac:dyDescent="0.2">
      <c r="A441" s="38" t="s">
        <v>49</v>
      </c>
      <c r="B441" s="76">
        <v>10165</v>
      </c>
      <c r="C441" s="76">
        <v>9633</v>
      </c>
      <c r="D441" s="88">
        <v>9623</v>
      </c>
      <c r="E441" s="76">
        <v>8393</v>
      </c>
      <c r="F441" s="76">
        <v>8110</v>
      </c>
      <c r="G441" s="42">
        <v>6061</v>
      </c>
      <c r="H441" s="76">
        <v>5586</v>
      </c>
      <c r="I441" s="76">
        <v>4389</v>
      </c>
      <c r="J441" s="76">
        <v>4796</v>
      </c>
      <c r="K441" s="42">
        <v>5215</v>
      </c>
      <c r="L441" s="42">
        <v>5305</v>
      </c>
    </row>
    <row r="442" spans="1:12" x14ac:dyDescent="0.2">
      <c r="A442" s="38" t="s">
        <v>52</v>
      </c>
      <c r="B442" s="76" t="s">
        <v>213</v>
      </c>
      <c r="C442" s="76" t="s">
        <v>213</v>
      </c>
      <c r="D442" s="88" t="s">
        <v>213</v>
      </c>
      <c r="E442" s="76" t="s">
        <v>213</v>
      </c>
      <c r="F442" s="76" t="s">
        <v>213</v>
      </c>
      <c r="G442" s="42" t="s">
        <v>213</v>
      </c>
      <c r="H442" s="76" t="s">
        <v>213</v>
      </c>
      <c r="I442" s="42" t="s">
        <v>213</v>
      </c>
      <c r="J442" s="42" t="s">
        <v>213</v>
      </c>
      <c r="K442" s="42" t="s">
        <v>213</v>
      </c>
      <c r="L442" s="42" t="s">
        <v>213</v>
      </c>
    </row>
    <row r="443" spans="1:12" x14ac:dyDescent="0.2">
      <c r="A443" s="38" t="s">
        <v>53</v>
      </c>
      <c r="B443" s="76">
        <v>31</v>
      </c>
      <c r="C443" s="76">
        <v>23</v>
      </c>
      <c r="D443" s="88">
        <v>20</v>
      </c>
      <c r="E443" s="76">
        <v>20</v>
      </c>
      <c r="F443" s="76">
        <v>40</v>
      </c>
      <c r="G443" s="42">
        <v>7</v>
      </c>
      <c r="H443" s="76">
        <v>11</v>
      </c>
      <c r="I443" s="76">
        <v>19</v>
      </c>
      <c r="J443" s="76">
        <v>14</v>
      </c>
      <c r="K443" s="42">
        <v>22</v>
      </c>
      <c r="L443" s="42">
        <v>20</v>
      </c>
    </row>
    <row r="444" spans="1:12" x14ac:dyDescent="0.2">
      <c r="A444" s="38" t="s">
        <v>55</v>
      </c>
      <c r="B444" s="76" t="s">
        <v>213</v>
      </c>
      <c r="C444" s="76" t="s">
        <v>213</v>
      </c>
      <c r="D444" s="88" t="s">
        <v>213</v>
      </c>
      <c r="E444" s="76" t="s">
        <v>213</v>
      </c>
      <c r="F444" s="76" t="s">
        <v>213</v>
      </c>
      <c r="G444" s="42" t="s">
        <v>213</v>
      </c>
      <c r="H444" s="76" t="s">
        <v>213</v>
      </c>
      <c r="I444" s="42" t="s">
        <v>213</v>
      </c>
      <c r="J444" s="42" t="s">
        <v>213</v>
      </c>
      <c r="K444" s="42" t="s">
        <v>213</v>
      </c>
      <c r="L444" s="42" t="s">
        <v>213</v>
      </c>
    </row>
    <row r="445" spans="1:12" x14ac:dyDescent="0.2">
      <c r="A445" s="38" t="s">
        <v>56</v>
      </c>
      <c r="B445" s="76">
        <v>1</v>
      </c>
      <c r="C445" s="76">
        <v>4</v>
      </c>
      <c r="D445" s="88">
        <v>12</v>
      </c>
      <c r="E445" s="76" t="s">
        <v>213</v>
      </c>
      <c r="F445" s="76">
        <v>2</v>
      </c>
      <c r="G445" s="42">
        <v>5</v>
      </c>
      <c r="H445" s="76">
        <v>8</v>
      </c>
      <c r="I445" s="76">
        <v>14</v>
      </c>
      <c r="J445" s="76">
        <v>36</v>
      </c>
      <c r="K445" s="42">
        <v>11</v>
      </c>
      <c r="L445" s="42">
        <v>15</v>
      </c>
    </row>
    <row r="446" spans="1:12" x14ac:dyDescent="0.2">
      <c r="A446" s="38" t="s">
        <v>59</v>
      </c>
      <c r="B446" s="76">
        <v>2</v>
      </c>
      <c r="C446" s="76">
        <v>2</v>
      </c>
      <c r="D446" s="88" t="s">
        <v>213</v>
      </c>
      <c r="E446" s="76" t="s">
        <v>213</v>
      </c>
      <c r="F446" s="76">
        <v>4</v>
      </c>
      <c r="G446" s="42">
        <v>2</v>
      </c>
      <c r="H446" s="76">
        <v>3</v>
      </c>
      <c r="I446" s="42" t="s">
        <v>213</v>
      </c>
      <c r="J446" s="42" t="s">
        <v>213</v>
      </c>
      <c r="K446" s="42">
        <v>3</v>
      </c>
      <c r="L446" s="42" t="s">
        <v>213</v>
      </c>
    </row>
    <row r="447" spans="1:12" x14ac:dyDescent="0.2">
      <c r="A447" s="38" t="s">
        <v>60</v>
      </c>
      <c r="B447" s="76">
        <v>316</v>
      </c>
      <c r="C447" s="76">
        <v>272</v>
      </c>
      <c r="D447" s="88">
        <v>205</v>
      </c>
      <c r="E447" s="76">
        <v>483</v>
      </c>
      <c r="F447" s="76">
        <v>1524</v>
      </c>
      <c r="G447" s="42">
        <v>1008</v>
      </c>
      <c r="H447" s="76">
        <v>614</v>
      </c>
      <c r="I447" s="76">
        <v>1262</v>
      </c>
      <c r="J447" s="76">
        <v>2286</v>
      </c>
      <c r="K447" s="42">
        <v>2399</v>
      </c>
      <c r="L447" s="42">
        <v>2390</v>
      </c>
    </row>
    <row r="448" spans="1:12" x14ac:dyDescent="0.2">
      <c r="A448" s="38" t="s">
        <v>62</v>
      </c>
      <c r="B448" s="76" t="s">
        <v>213</v>
      </c>
      <c r="C448" s="76">
        <v>2</v>
      </c>
      <c r="D448" s="88">
        <v>1</v>
      </c>
      <c r="E448" s="76">
        <v>3</v>
      </c>
      <c r="F448" s="76">
        <v>8</v>
      </c>
      <c r="G448" s="42">
        <v>5</v>
      </c>
      <c r="H448" s="76">
        <v>2</v>
      </c>
      <c r="I448" s="76">
        <v>7</v>
      </c>
      <c r="J448" s="76">
        <v>4</v>
      </c>
      <c r="K448" s="42">
        <v>10</v>
      </c>
      <c r="L448" s="42">
        <v>1</v>
      </c>
    </row>
    <row r="449" spans="1:12" s="45" customFormat="1" x14ac:dyDescent="0.2">
      <c r="A449" s="38" t="s">
        <v>66</v>
      </c>
      <c r="B449" s="76">
        <v>7</v>
      </c>
      <c r="C449" s="76" t="s">
        <v>213</v>
      </c>
      <c r="D449" s="88" t="s">
        <v>213</v>
      </c>
      <c r="E449" s="76" t="s">
        <v>213</v>
      </c>
      <c r="F449" s="76" t="s">
        <v>213</v>
      </c>
      <c r="G449" s="42" t="s">
        <v>213</v>
      </c>
      <c r="H449" s="76" t="s">
        <v>213</v>
      </c>
      <c r="I449" s="42" t="s">
        <v>213</v>
      </c>
      <c r="J449" s="42" t="s">
        <v>213</v>
      </c>
      <c r="K449" s="42" t="s">
        <v>213</v>
      </c>
      <c r="L449" s="42" t="s">
        <v>213</v>
      </c>
    </row>
    <row r="450" spans="1:12" x14ac:dyDescent="0.2">
      <c r="A450" s="38" t="s">
        <v>67</v>
      </c>
      <c r="B450" s="76">
        <v>163831</v>
      </c>
      <c r="C450" s="76">
        <v>188525</v>
      </c>
      <c r="D450" s="88">
        <v>75686</v>
      </c>
      <c r="E450" s="76">
        <v>64980</v>
      </c>
      <c r="F450" s="76">
        <v>155832</v>
      </c>
      <c r="G450" s="42">
        <v>271494</v>
      </c>
      <c r="H450" s="76">
        <v>327855</v>
      </c>
      <c r="I450" s="76">
        <v>425389</v>
      </c>
      <c r="J450" s="76">
        <v>459904</v>
      </c>
      <c r="K450" s="42">
        <v>419032</v>
      </c>
      <c r="L450" s="42">
        <v>493237</v>
      </c>
    </row>
    <row r="451" spans="1:12" x14ac:dyDescent="0.2">
      <c r="A451" s="38" t="s">
        <v>68</v>
      </c>
      <c r="B451" s="76">
        <v>9779</v>
      </c>
      <c r="C451" s="76">
        <v>15765</v>
      </c>
      <c r="D451" s="88">
        <v>6507</v>
      </c>
      <c r="E451" s="76">
        <v>15445</v>
      </c>
      <c r="F451" s="76">
        <v>62615</v>
      </c>
      <c r="G451" s="42">
        <v>51107</v>
      </c>
      <c r="H451" s="76">
        <v>49008</v>
      </c>
      <c r="I451" s="76">
        <v>62864</v>
      </c>
      <c r="J451" s="76">
        <v>54771</v>
      </c>
      <c r="K451" s="42">
        <v>41337</v>
      </c>
      <c r="L451" s="42">
        <v>75602</v>
      </c>
    </row>
    <row r="452" spans="1:12" x14ac:dyDescent="0.2">
      <c r="A452" s="38" t="s">
        <v>69</v>
      </c>
      <c r="B452" s="76">
        <v>4</v>
      </c>
      <c r="C452" s="76">
        <v>10</v>
      </c>
      <c r="D452" s="88">
        <v>1</v>
      </c>
      <c r="E452" s="76">
        <v>11</v>
      </c>
      <c r="F452" s="76">
        <v>241</v>
      </c>
      <c r="G452" s="42">
        <v>408</v>
      </c>
      <c r="H452" s="76">
        <v>268</v>
      </c>
      <c r="I452" s="42" t="s">
        <v>213</v>
      </c>
      <c r="J452" s="42" t="s">
        <v>213</v>
      </c>
      <c r="K452" s="42" t="s">
        <v>213</v>
      </c>
      <c r="L452" s="42" t="s">
        <v>213</v>
      </c>
    </row>
    <row r="453" spans="1:12" x14ac:dyDescent="0.2">
      <c r="A453" s="38" t="s">
        <v>70</v>
      </c>
      <c r="B453" s="76" t="s">
        <v>213</v>
      </c>
      <c r="C453" s="76" t="s">
        <v>213</v>
      </c>
      <c r="D453" s="88" t="s">
        <v>213</v>
      </c>
      <c r="E453" s="76" t="s">
        <v>213</v>
      </c>
      <c r="F453" s="76" t="s">
        <v>213</v>
      </c>
      <c r="G453" s="42" t="s">
        <v>213</v>
      </c>
      <c r="H453" s="76" t="s">
        <v>213</v>
      </c>
      <c r="I453" s="42" t="s">
        <v>213</v>
      </c>
      <c r="J453" s="42" t="s">
        <v>213</v>
      </c>
      <c r="K453" s="42" t="s">
        <v>213</v>
      </c>
      <c r="L453" s="42" t="s">
        <v>213</v>
      </c>
    </row>
    <row r="454" spans="1:12" x14ac:dyDescent="0.2">
      <c r="A454" s="38" t="s">
        <v>72</v>
      </c>
      <c r="B454" s="76" t="s">
        <v>213</v>
      </c>
      <c r="C454" s="76">
        <v>23</v>
      </c>
      <c r="D454" s="88" t="s">
        <v>213</v>
      </c>
      <c r="E454" s="76" t="s">
        <v>213</v>
      </c>
      <c r="F454" s="76" t="s">
        <v>213</v>
      </c>
      <c r="G454" s="42" t="s">
        <v>213</v>
      </c>
      <c r="H454" s="76">
        <v>4</v>
      </c>
      <c r="I454" s="76">
        <v>379</v>
      </c>
      <c r="J454" s="76" t="s">
        <v>213</v>
      </c>
      <c r="K454" s="42">
        <v>175</v>
      </c>
      <c r="L454" s="42">
        <v>2565</v>
      </c>
    </row>
    <row r="455" spans="1:12" x14ac:dyDescent="0.2">
      <c r="A455" s="38" t="s">
        <v>74</v>
      </c>
      <c r="B455" s="76" t="s">
        <v>213</v>
      </c>
      <c r="C455" s="76">
        <v>1</v>
      </c>
      <c r="D455" s="88" t="s">
        <v>213</v>
      </c>
      <c r="E455" s="76">
        <v>3</v>
      </c>
      <c r="F455" s="76">
        <v>4</v>
      </c>
      <c r="G455" s="42">
        <v>17</v>
      </c>
      <c r="H455" s="76">
        <v>21</v>
      </c>
      <c r="I455" s="76">
        <v>10</v>
      </c>
      <c r="J455" s="76">
        <v>14</v>
      </c>
      <c r="K455" s="42">
        <v>21</v>
      </c>
      <c r="L455" s="42">
        <v>33</v>
      </c>
    </row>
    <row r="456" spans="1:12" s="40" customFormat="1" ht="11.4" x14ac:dyDescent="0.2">
      <c r="A456" s="38" t="s">
        <v>75</v>
      </c>
      <c r="B456" s="76">
        <v>5</v>
      </c>
      <c r="C456" s="76" t="s">
        <v>213</v>
      </c>
      <c r="D456" s="88" t="s">
        <v>213</v>
      </c>
      <c r="E456" s="76" t="s">
        <v>213</v>
      </c>
      <c r="F456" s="76" t="s">
        <v>213</v>
      </c>
      <c r="G456" s="42" t="s">
        <v>213</v>
      </c>
      <c r="H456" s="76" t="s">
        <v>213</v>
      </c>
      <c r="I456" s="76">
        <v>6</v>
      </c>
      <c r="J456" s="76">
        <v>3</v>
      </c>
      <c r="K456" s="90">
        <v>2</v>
      </c>
      <c r="L456" s="42" t="s">
        <v>213</v>
      </c>
    </row>
    <row r="457" spans="1:12" s="45" customFormat="1" x14ac:dyDescent="0.2">
      <c r="A457" s="38" t="s">
        <v>77</v>
      </c>
      <c r="B457" s="76">
        <v>16401</v>
      </c>
      <c r="C457" s="76">
        <v>27788</v>
      </c>
      <c r="D457" s="88">
        <v>21525</v>
      </c>
      <c r="E457" s="76">
        <v>53047</v>
      </c>
      <c r="F457" s="76">
        <v>91586</v>
      </c>
      <c r="G457" s="42">
        <v>105080</v>
      </c>
      <c r="H457" s="76">
        <v>69752</v>
      </c>
      <c r="I457" s="76">
        <v>64979</v>
      </c>
      <c r="J457" s="76">
        <v>42842</v>
      </c>
      <c r="K457" s="42">
        <v>34232</v>
      </c>
      <c r="L457" s="42">
        <v>36493</v>
      </c>
    </row>
    <row r="458" spans="1:12" x14ac:dyDescent="0.2">
      <c r="A458" s="38" t="s">
        <v>78</v>
      </c>
      <c r="B458" s="76">
        <v>222</v>
      </c>
      <c r="C458" s="76">
        <v>226</v>
      </c>
      <c r="D458" s="88">
        <v>242</v>
      </c>
      <c r="E458" s="76">
        <v>236</v>
      </c>
      <c r="F458" s="76">
        <v>224</v>
      </c>
      <c r="G458" s="42">
        <v>190</v>
      </c>
      <c r="H458" s="76">
        <v>82</v>
      </c>
      <c r="I458" s="42" t="s">
        <v>213</v>
      </c>
      <c r="J458" s="42" t="s">
        <v>213</v>
      </c>
      <c r="K458" s="42" t="s">
        <v>213</v>
      </c>
      <c r="L458" s="42" t="s">
        <v>213</v>
      </c>
    </row>
    <row r="459" spans="1:12" s="45" customFormat="1" x14ac:dyDescent="0.2">
      <c r="A459" s="38" t="s">
        <v>81</v>
      </c>
      <c r="B459" s="76">
        <v>11</v>
      </c>
      <c r="C459" s="76">
        <v>11</v>
      </c>
      <c r="D459" s="88" t="s">
        <v>213</v>
      </c>
      <c r="E459" s="76" t="s">
        <v>213</v>
      </c>
      <c r="F459" s="76">
        <f>(21+91+1)</f>
        <v>113</v>
      </c>
      <c r="G459" s="42">
        <f>(67+4)</f>
        <v>71</v>
      </c>
      <c r="H459" s="76">
        <v>38</v>
      </c>
      <c r="I459" s="76">
        <f>(69+1)</f>
        <v>70</v>
      </c>
      <c r="J459" s="76">
        <v>38</v>
      </c>
      <c r="K459" s="42">
        <f>(42+1+3+18)</f>
        <v>64</v>
      </c>
      <c r="L459" s="42">
        <v>54</v>
      </c>
    </row>
    <row r="460" spans="1:12" s="45" customFormat="1" x14ac:dyDescent="0.2">
      <c r="A460" s="38" t="s">
        <v>172</v>
      </c>
      <c r="B460" s="76" t="s">
        <v>213</v>
      </c>
      <c r="C460" s="76" t="s">
        <v>213</v>
      </c>
      <c r="D460" s="88" t="s">
        <v>213</v>
      </c>
      <c r="E460" s="76" t="s">
        <v>213</v>
      </c>
      <c r="F460" s="76" t="s">
        <v>213</v>
      </c>
      <c r="G460" s="42" t="s">
        <v>213</v>
      </c>
      <c r="H460" s="76" t="s">
        <v>213</v>
      </c>
      <c r="I460" s="42" t="s">
        <v>213</v>
      </c>
      <c r="J460" s="42" t="s">
        <v>213</v>
      </c>
      <c r="K460" s="42" t="s">
        <v>213</v>
      </c>
      <c r="L460" s="42" t="s">
        <v>213</v>
      </c>
    </row>
    <row r="461" spans="1:12" s="45" customFormat="1" x14ac:dyDescent="0.2">
      <c r="A461" s="46" t="s">
        <v>107</v>
      </c>
      <c r="B461" s="53">
        <f>SUM(B462:B489)</f>
        <v>3655</v>
      </c>
      <c r="C461" s="53">
        <f>SUM(C462:C489)</f>
        <v>4346</v>
      </c>
      <c r="D461" s="46">
        <v>2393</v>
      </c>
      <c r="E461" s="52">
        <v>3895</v>
      </c>
      <c r="F461" s="52">
        <v>11163</v>
      </c>
      <c r="G461" s="52">
        <v>13868</v>
      </c>
      <c r="H461" s="53">
        <v>13548</v>
      </c>
      <c r="I461" s="53">
        <v>37382</v>
      </c>
      <c r="J461" s="53">
        <v>34753</v>
      </c>
      <c r="K461" s="53">
        <v>47383</v>
      </c>
      <c r="L461" s="53">
        <f>SUM(L462:L489)</f>
        <v>52318</v>
      </c>
    </row>
    <row r="462" spans="1:12" s="45" customFormat="1" x14ac:dyDescent="0.2">
      <c r="A462" s="81" t="s">
        <v>109</v>
      </c>
      <c r="B462" s="77">
        <v>19</v>
      </c>
      <c r="C462" s="76">
        <v>9</v>
      </c>
      <c r="D462" s="88">
        <v>4</v>
      </c>
      <c r="E462" s="76">
        <v>6</v>
      </c>
      <c r="F462" s="76">
        <v>4</v>
      </c>
      <c r="G462" s="42">
        <v>2</v>
      </c>
      <c r="H462" s="76">
        <v>9</v>
      </c>
      <c r="I462" s="76">
        <v>27</v>
      </c>
      <c r="J462" s="76">
        <v>69</v>
      </c>
      <c r="K462" s="42" t="s">
        <v>213</v>
      </c>
      <c r="L462" s="42">
        <v>10</v>
      </c>
    </row>
    <row r="463" spans="1:12" x14ac:dyDescent="0.2">
      <c r="A463" s="38" t="s">
        <v>110</v>
      </c>
      <c r="B463" s="76">
        <v>14</v>
      </c>
      <c r="C463" s="76">
        <v>43</v>
      </c>
      <c r="D463" s="88">
        <v>11</v>
      </c>
      <c r="E463" s="76">
        <v>23</v>
      </c>
      <c r="F463" s="76">
        <v>4</v>
      </c>
      <c r="G463" s="42">
        <v>153</v>
      </c>
      <c r="H463" s="76">
        <v>48</v>
      </c>
      <c r="I463" s="76">
        <v>116</v>
      </c>
      <c r="J463" s="76">
        <v>123</v>
      </c>
      <c r="K463" s="42">
        <v>33</v>
      </c>
      <c r="L463" s="42">
        <v>165</v>
      </c>
    </row>
    <row r="464" spans="1:12" x14ac:dyDescent="0.2">
      <c r="A464" s="38" t="s">
        <v>111</v>
      </c>
      <c r="B464" s="76" t="s">
        <v>213</v>
      </c>
      <c r="C464" s="76" t="s">
        <v>213</v>
      </c>
      <c r="D464" s="88" t="s">
        <v>213</v>
      </c>
      <c r="E464" s="76" t="s">
        <v>213</v>
      </c>
      <c r="F464" s="76" t="s">
        <v>213</v>
      </c>
      <c r="G464" s="42" t="s">
        <v>213</v>
      </c>
      <c r="H464" s="76" t="s">
        <v>213</v>
      </c>
      <c r="I464" s="42" t="s">
        <v>213</v>
      </c>
      <c r="J464" s="42" t="s">
        <v>213</v>
      </c>
      <c r="K464" s="42">
        <v>122</v>
      </c>
      <c r="L464" s="42" t="s">
        <v>213</v>
      </c>
    </row>
    <row r="465" spans="1:12" x14ac:dyDescent="0.2">
      <c r="A465" s="38" t="s">
        <v>113</v>
      </c>
      <c r="B465" s="76">
        <v>23</v>
      </c>
      <c r="C465" s="76">
        <v>2</v>
      </c>
      <c r="D465" s="88" t="s">
        <v>213</v>
      </c>
      <c r="E465" s="76" t="s">
        <v>213</v>
      </c>
      <c r="F465" s="76">
        <v>19</v>
      </c>
      <c r="G465" s="42">
        <v>19</v>
      </c>
      <c r="H465" s="76">
        <v>19</v>
      </c>
      <c r="I465" s="76">
        <v>36</v>
      </c>
      <c r="J465" s="76">
        <v>26</v>
      </c>
      <c r="K465" s="42">
        <v>4</v>
      </c>
      <c r="L465" s="42">
        <v>40</v>
      </c>
    </row>
    <row r="466" spans="1:12" x14ac:dyDescent="0.2">
      <c r="A466" s="38" t="s">
        <v>114</v>
      </c>
      <c r="B466" s="76" t="s">
        <v>213</v>
      </c>
      <c r="C466" s="76">
        <v>1</v>
      </c>
      <c r="D466" s="88" t="s">
        <v>213</v>
      </c>
      <c r="E466" s="76" t="s">
        <v>213</v>
      </c>
      <c r="F466" s="76">
        <v>7</v>
      </c>
      <c r="G466" s="42">
        <v>2</v>
      </c>
      <c r="H466" s="76">
        <v>1</v>
      </c>
      <c r="I466" s="42" t="s">
        <v>213</v>
      </c>
      <c r="J466" s="42" t="s">
        <v>213</v>
      </c>
      <c r="K466" s="42" t="s">
        <v>213</v>
      </c>
      <c r="L466" s="42" t="s">
        <v>213</v>
      </c>
    </row>
    <row r="467" spans="1:12" x14ac:dyDescent="0.2">
      <c r="A467" s="38" t="s">
        <v>116</v>
      </c>
      <c r="B467" s="76" t="s">
        <v>213</v>
      </c>
      <c r="C467" s="76">
        <v>3</v>
      </c>
      <c r="D467" s="88" t="s">
        <v>213</v>
      </c>
      <c r="E467" s="76">
        <v>2</v>
      </c>
      <c r="F467" s="76">
        <v>9</v>
      </c>
      <c r="G467" s="42">
        <v>2</v>
      </c>
      <c r="H467" s="76" t="s">
        <v>213</v>
      </c>
      <c r="I467" s="42" t="s">
        <v>213</v>
      </c>
      <c r="J467" s="42" t="s">
        <v>213</v>
      </c>
      <c r="K467" s="42" t="s">
        <v>213</v>
      </c>
      <c r="L467" s="42" t="s">
        <v>213</v>
      </c>
    </row>
    <row r="468" spans="1:12" x14ac:dyDescent="0.2">
      <c r="A468" s="38" t="s">
        <v>174</v>
      </c>
      <c r="B468" s="76" t="s">
        <v>213</v>
      </c>
      <c r="C468" s="76" t="s">
        <v>213</v>
      </c>
      <c r="D468" s="88" t="s">
        <v>213</v>
      </c>
      <c r="E468" s="76" t="s">
        <v>213</v>
      </c>
      <c r="F468" s="76" t="s">
        <v>213</v>
      </c>
      <c r="G468" s="42" t="s">
        <v>213</v>
      </c>
      <c r="H468" s="76" t="s">
        <v>213</v>
      </c>
      <c r="I468" s="42" t="s">
        <v>213</v>
      </c>
      <c r="J468" s="42" t="s">
        <v>213</v>
      </c>
      <c r="K468" s="42" t="s">
        <v>213</v>
      </c>
      <c r="L468" s="42" t="s">
        <v>213</v>
      </c>
    </row>
    <row r="469" spans="1:12" x14ac:dyDescent="0.2">
      <c r="A469" s="38" t="s">
        <v>119</v>
      </c>
      <c r="B469" s="76">
        <v>10</v>
      </c>
      <c r="C469" s="76">
        <v>13</v>
      </c>
      <c r="D469" s="88" t="s">
        <v>213</v>
      </c>
      <c r="E469" s="76">
        <v>7</v>
      </c>
      <c r="F469" s="76">
        <v>2</v>
      </c>
      <c r="G469" s="42" t="s">
        <v>213</v>
      </c>
      <c r="H469" s="76" t="s">
        <v>213</v>
      </c>
      <c r="I469" s="42" t="s">
        <v>213</v>
      </c>
      <c r="J469" s="42" t="s">
        <v>213</v>
      </c>
      <c r="K469" s="42" t="s">
        <v>213</v>
      </c>
      <c r="L469" s="42" t="s">
        <v>213</v>
      </c>
    </row>
    <row r="470" spans="1:12" x14ac:dyDescent="0.2">
      <c r="A470" s="38" t="s">
        <v>120</v>
      </c>
      <c r="B470" s="76" t="s">
        <v>213</v>
      </c>
      <c r="C470" s="76" t="s">
        <v>213</v>
      </c>
      <c r="D470" s="88" t="s">
        <v>213</v>
      </c>
      <c r="E470" s="76" t="s">
        <v>213</v>
      </c>
      <c r="F470" s="76">
        <v>11</v>
      </c>
      <c r="G470" s="42" t="s">
        <v>213</v>
      </c>
      <c r="H470" s="76" t="s">
        <v>213</v>
      </c>
      <c r="I470" s="42" t="s">
        <v>213</v>
      </c>
      <c r="J470" s="42" t="s">
        <v>213</v>
      </c>
      <c r="K470" s="42" t="s">
        <v>213</v>
      </c>
      <c r="L470" s="42" t="s">
        <v>213</v>
      </c>
    </row>
    <row r="471" spans="1:12" x14ac:dyDescent="0.2">
      <c r="A471" s="38" t="s">
        <v>126</v>
      </c>
      <c r="B471" s="76">
        <v>153</v>
      </c>
      <c r="C471" s="76">
        <v>94</v>
      </c>
      <c r="D471" s="88" t="s">
        <v>213</v>
      </c>
      <c r="E471" s="76">
        <v>76</v>
      </c>
      <c r="F471" s="76">
        <v>85</v>
      </c>
      <c r="G471" s="42">
        <v>74</v>
      </c>
      <c r="H471" s="76">
        <v>96</v>
      </c>
      <c r="I471" s="76">
        <v>105</v>
      </c>
      <c r="J471" s="76">
        <v>116</v>
      </c>
      <c r="K471" s="42">
        <v>159</v>
      </c>
      <c r="L471" s="42">
        <v>100</v>
      </c>
    </row>
    <row r="472" spans="1:12" x14ac:dyDescent="0.2">
      <c r="A472" s="38" t="s">
        <v>123</v>
      </c>
      <c r="B472" s="76">
        <v>268</v>
      </c>
      <c r="C472" s="76">
        <v>384</v>
      </c>
      <c r="D472" s="88">
        <v>335</v>
      </c>
      <c r="E472" s="76">
        <v>268</v>
      </c>
      <c r="F472" s="76">
        <v>220</v>
      </c>
      <c r="G472" s="42">
        <v>253</v>
      </c>
      <c r="H472" s="76">
        <v>483</v>
      </c>
      <c r="I472" s="76">
        <v>363</v>
      </c>
      <c r="J472" s="76">
        <v>441</v>
      </c>
      <c r="K472" s="42">
        <v>452</v>
      </c>
      <c r="L472" s="42">
        <v>389</v>
      </c>
    </row>
    <row r="473" spans="1:12" x14ac:dyDescent="0.2">
      <c r="A473" s="38" t="s">
        <v>124</v>
      </c>
      <c r="B473" s="76">
        <v>1929</v>
      </c>
      <c r="C473" s="76">
        <v>866</v>
      </c>
      <c r="D473" s="88">
        <v>531</v>
      </c>
      <c r="E473" s="76">
        <v>1283</v>
      </c>
      <c r="F473" s="76">
        <v>1712</v>
      </c>
      <c r="G473" s="42">
        <v>918</v>
      </c>
      <c r="H473" s="76">
        <v>1005</v>
      </c>
      <c r="I473" s="76">
        <v>883</v>
      </c>
      <c r="J473" s="76">
        <v>1639</v>
      </c>
      <c r="K473" s="42">
        <v>1585</v>
      </c>
      <c r="L473" s="42">
        <v>1663</v>
      </c>
    </row>
    <row r="474" spans="1:12" x14ac:dyDescent="0.2">
      <c r="A474" s="38" t="s">
        <v>121</v>
      </c>
      <c r="B474" s="76" t="s">
        <v>213</v>
      </c>
      <c r="C474" s="76" t="s">
        <v>213</v>
      </c>
      <c r="D474" s="88" t="s">
        <v>213</v>
      </c>
      <c r="E474" s="76" t="s">
        <v>213</v>
      </c>
      <c r="F474" s="76" t="s">
        <v>213</v>
      </c>
      <c r="G474" s="42" t="s">
        <v>213</v>
      </c>
      <c r="H474" s="76" t="s">
        <v>213</v>
      </c>
      <c r="I474" s="42" t="s">
        <v>213</v>
      </c>
      <c r="J474" s="42" t="s">
        <v>213</v>
      </c>
      <c r="K474" s="42" t="s">
        <v>213</v>
      </c>
      <c r="L474" s="42" t="s">
        <v>213</v>
      </c>
    </row>
    <row r="475" spans="1:12" x14ac:dyDescent="0.2">
      <c r="A475" s="38" t="s">
        <v>127</v>
      </c>
      <c r="B475" s="76">
        <v>160</v>
      </c>
      <c r="C475" s="76">
        <v>53</v>
      </c>
      <c r="D475" s="88">
        <v>19</v>
      </c>
      <c r="E475" s="76">
        <v>108</v>
      </c>
      <c r="F475" s="76">
        <v>104</v>
      </c>
      <c r="G475" s="42">
        <v>209</v>
      </c>
      <c r="H475" s="76">
        <v>118</v>
      </c>
      <c r="I475" s="76">
        <v>297</v>
      </c>
      <c r="J475" s="76">
        <v>126</v>
      </c>
      <c r="K475" s="42">
        <v>175</v>
      </c>
      <c r="L475" s="42">
        <v>73</v>
      </c>
    </row>
    <row r="476" spans="1:12" x14ac:dyDescent="0.2">
      <c r="A476" s="38" t="s">
        <v>128</v>
      </c>
      <c r="B476" s="76">
        <v>25</v>
      </c>
      <c r="C476" s="76">
        <v>1939</v>
      </c>
      <c r="D476" s="88">
        <v>149</v>
      </c>
      <c r="E476" s="76">
        <v>1209</v>
      </c>
      <c r="F476" s="76">
        <v>7708</v>
      </c>
      <c r="G476" s="42">
        <v>11058</v>
      </c>
      <c r="H476" s="76">
        <v>10655</v>
      </c>
      <c r="I476" s="76">
        <v>34837</v>
      </c>
      <c r="J476" s="76">
        <v>31576</v>
      </c>
      <c r="K476" s="42">
        <v>43888</v>
      </c>
      <c r="L476" s="42">
        <v>48900</v>
      </c>
    </row>
    <row r="477" spans="1:12" x14ac:dyDescent="0.2">
      <c r="A477" s="38" t="s">
        <v>129</v>
      </c>
      <c r="B477" s="76" t="s">
        <v>213</v>
      </c>
      <c r="C477" s="76">
        <v>61</v>
      </c>
      <c r="D477" s="88" t="s">
        <v>213</v>
      </c>
      <c r="E477" s="76">
        <v>34</v>
      </c>
      <c r="F477" s="76">
        <v>17</v>
      </c>
      <c r="G477" s="42" t="s">
        <v>213</v>
      </c>
      <c r="H477" s="76" t="s">
        <v>213</v>
      </c>
      <c r="I477" s="42" t="s">
        <v>213</v>
      </c>
      <c r="J477" s="42" t="s">
        <v>213</v>
      </c>
      <c r="K477" s="42" t="s">
        <v>213</v>
      </c>
      <c r="L477" s="42" t="s">
        <v>213</v>
      </c>
    </row>
    <row r="478" spans="1:12" x14ac:dyDescent="0.2">
      <c r="A478" s="38" t="s">
        <v>130</v>
      </c>
      <c r="B478" s="76">
        <v>400</v>
      </c>
      <c r="C478" s="76">
        <v>242</v>
      </c>
      <c r="D478" s="88">
        <v>326</v>
      </c>
      <c r="E478" s="76">
        <v>404</v>
      </c>
      <c r="F478" s="76">
        <v>339</v>
      </c>
      <c r="G478" s="42">
        <v>348</v>
      </c>
      <c r="H478" s="76">
        <v>165</v>
      </c>
      <c r="I478" s="76">
        <v>97</v>
      </c>
      <c r="J478" s="76">
        <f>(75+2)</f>
        <v>77</v>
      </c>
      <c r="K478" s="42">
        <f>(44+5)</f>
        <v>49</v>
      </c>
      <c r="L478" s="42">
        <v>58</v>
      </c>
    </row>
    <row r="479" spans="1:12" x14ac:dyDescent="0.2">
      <c r="A479" s="38" t="s">
        <v>134</v>
      </c>
      <c r="B479" s="76">
        <v>239</v>
      </c>
      <c r="C479" s="76">
        <v>247</v>
      </c>
      <c r="D479" s="88">
        <v>181</v>
      </c>
      <c r="E479" s="76">
        <v>195</v>
      </c>
      <c r="F479" s="76">
        <v>257</v>
      </c>
      <c r="G479" s="42">
        <v>265</v>
      </c>
      <c r="H479" s="76">
        <v>261</v>
      </c>
      <c r="I479" s="76">
        <v>309</v>
      </c>
      <c r="J479" s="76">
        <v>287</v>
      </c>
      <c r="K479" s="42">
        <v>192</v>
      </c>
      <c r="L479" s="42">
        <v>208</v>
      </c>
    </row>
    <row r="480" spans="1:12" x14ac:dyDescent="0.2">
      <c r="A480" s="38" t="s">
        <v>135</v>
      </c>
      <c r="B480" s="76">
        <v>72</v>
      </c>
      <c r="C480" s="76">
        <v>88</v>
      </c>
      <c r="D480" s="88">
        <v>79</v>
      </c>
      <c r="E480" s="76">
        <v>17</v>
      </c>
      <c r="F480" s="76">
        <v>20</v>
      </c>
      <c r="G480" s="42">
        <v>52</v>
      </c>
      <c r="H480" s="76">
        <v>91</v>
      </c>
      <c r="I480" s="76">
        <v>34</v>
      </c>
      <c r="J480" s="76">
        <v>8</v>
      </c>
      <c r="K480" s="42">
        <v>31</v>
      </c>
      <c r="L480" s="42">
        <v>70</v>
      </c>
    </row>
    <row r="481" spans="1:12" x14ac:dyDescent="0.2">
      <c r="A481" s="38" t="s">
        <v>136</v>
      </c>
      <c r="B481" s="76">
        <v>178</v>
      </c>
      <c r="C481" s="76">
        <v>105</v>
      </c>
      <c r="D481" s="88">
        <v>184</v>
      </c>
      <c r="E481" s="76">
        <v>84</v>
      </c>
      <c r="F481" s="76">
        <v>201</v>
      </c>
      <c r="G481" s="42">
        <v>270</v>
      </c>
      <c r="H481" s="76">
        <v>397</v>
      </c>
      <c r="I481" s="76">
        <v>75</v>
      </c>
      <c r="J481" s="76">
        <v>140</v>
      </c>
      <c r="K481" s="42">
        <v>368</v>
      </c>
      <c r="L481" s="42">
        <v>329</v>
      </c>
    </row>
    <row r="482" spans="1:12" x14ac:dyDescent="0.2">
      <c r="A482" s="38" t="s">
        <v>137</v>
      </c>
      <c r="B482" s="76">
        <v>63</v>
      </c>
      <c r="C482" s="76">
        <v>167</v>
      </c>
      <c r="D482" s="88">
        <v>480</v>
      </c>
      <c r="E482" s="76">
        <v>160</v>
      </c>
      <c r="F482" s="76">
        <v>290</v>
      </c>
      <c r="G482" s="42">
        <v>182</v>
      </c>
      <c r="H482" s="76">
        <v>107</v>
      </c>
      <c r="I482" s="76">
        <v>117</v>
      </c>
      <c r="J482" s="76">
        <v>68</v>
      </c>
      <c r="K482" s="42">
        <v>61</v>
      </c>
      <c r="L482" s="42">
        <v>78</v>
      </c>
    </row>
    <row r="483" spans="1:12" x14ac:dyDescent="0.2">
      <c r="A483" s="38" t="s">
        <v>138</v>
      </c>
      <c r="B483" s="76" t="s">
        <v>213</v>
      </c>
      <c r="C483" s="76" t="s">
        <v>213</v>
      </c>
      <c r="D483" s="88" t="s">
        <v>213</v>
      </c>
      <c r="E483" s="76">
        <v>4</v>
      </c>
      <c r="F483" s="76">
        <v>11</v>
      </c>
      <c r="G483" s="42">
        <v>16</v>
      </c>
      <c r="H483" s="76">
        <v>16</v>
      </c>
      <c r="I483" s="76">
        <v>18</v>
      </c>
      <c r="J483" s="76">
        <v>4</v>
      </c>
      <c r="K483" s="42">
        <v>76</v>
      </c>
      <c r="L483" s="42">
        <v>76</v>
      </c>
    </row>
    <row r="484" spans="1:12" x14ac:dyDescent="0.2">
      <c r="A484" s="38" t="s">
        <v>139</v>
      </c>
      <c r="B484" s="76" t="s">
        <v>213</v>
      </c>
      <c r="C484" s="76" t="s">
        <v>213</v>
      </c>
      <c r="D484" s="88" t="s">
        <v>213</v>
      </c>
      <c r="E484" s="76" t="s">
        <v>213</v>
      </c>
      <c r="F484" s="76">
        <v>1</v>
      </c>
      <c r="G484" s="42">
        <v>1</v>
      </c>
      <c r="H484" s="76" t="s">
        <v>213</v>
      </c>
      <c r="I484" s="76">
        <v>1</v>
      </c>
      <c r="J484" s="76" t="s">
        <v>213</v>
      </c>
      <c r="K484" s="42" t="s">
        <v>213</v>
      </c>
      <c r="L484" s="42" t="s">
        <v>213</v>
      </c>
    </row>
    <row r="485" spans="1:12" x14ac:dyDescent="0.2">
      <c r="A485" s="38" t="s">
        <v>140</v>
      </c>
      <c r="B485" s="76" t="s">
        <v>213</v>
      </c>
      <c r="C485" s="76" t="s">
        <v>213</v>
      </c>
      <c r="D485" s="88" t="s">
        <v>213</v>
      </c>
      <c r="E485" s="76" t="s">
        <v>213</v>
      </c>
      <c r="F485" s="76" t="s">
        <v>213</v>
      </c>
      <c r="G485" s="42" t="s">
        <v>213</v>
      </c>
      <c r="H485" s="76" t="s">
        <v>213</v>
      </c>
      <c r="I485" s="76">
        <v>1</v>
      </c>
      <c r="J485" s="76">
        <v>5</v>
      </c>
      <c r="K485" s="42">
        <v>26</v>
      </c>
      <c r="L485" s="42">
        <v>25</v>
      </c>
    </row>
    <row r="486" spans="1:12" s="45" customFormat="1" x14ac:dyDescent="0.2">
      <c r="A486" s="38" t="s">
        <v>141</v>
      </c>
      <c r="B486" s="76">
        <v>1</v>
      </c>
      <c r="C486" s="76" t="s">
        <v>213</v>
      </c>
      <c r="D486" s="88" t="s">
        <v>213</v>
      </c>
      <c r="E486" s="76" t="s">
        <v>213</v>
      </c>
      <c r="F486" s="76">
        <v>1</v>
      </c>
      <c r="G486" s="42">
        <v>2</v>
      </c>
      <c r="H486" s="76" t="s">
        <v>213</v>
      </c>
      <c r="I486" s="42" t="s">
        <v>213</v>
      </c>
      <c r="J486" s="42" t="s">
        <v>213</v>
      </c>
      <c r="K486" s="42">
        <v>6</v>
      </c>
      <c r="L486" s="42">
        <v>16</v>
      </c>
    </row>
    <row r="487" spans="1:12" x14ac:dyDescent="0.2">
      <c r="A487" s="38" t="s">
        <v>142</v>
      </c>
      <c r="B487" s="76">
        <v>54</v>
      </c>
      <c r="C487" s="76">
        <v>11</v>
      </c>
      <c r="D487" s="88"/>
      <c r="E487" s="76">
        <v>4</v>
      </c>
      <c r="F487" s="76">
        <f>(28+75)</f>
        <v>103</v>
      </c>
      <c r="G487" s="42">
        <f>(2+25)</f>
        <v>27</v>
      </c>
      <c r="H487" s="76">
        <f>(20+15)</f>
        <v>35</v>
      </c>
      <c r="I487" s="76">
        <f>(14+44)</f>
        <v>58</v>
      </c>
      <c r="J487" s="76">
        <f>(1+43)</f>
        <v>44</v>
      </c>
      <c r="K487" s="42">
        <f>(66+57)</f>
        <v>123</v>
      </c>
      <c r="L487" s="42">
        <v>70</v>
      </c>
    </row>
    <row r="488" spans="1:12" x14ac:dyDescent="0.2">
      <c r="A488" s="38" t="s">
        <v>144</v>
      </c>
      <c r="B488" s="76">
        <v>20</v>
      </c>
      <c r="C488" s="76">
        <v>13</v>
      </c>
      <c r="D488" s="88">
        <v>6</v>
      </c>
      <c r="E488" s="76">
        <v>11</v>
      </c>
      <c r="F488" s="76">
        <v>37</v>
      </c>
      <c r="G488" s="42">
        <v>14</v>
      </c>
      <c r="H488" s="76">
        <v>1</v>
      </c>
      <c r="I488" s="76">
        <v>3</v>
      </c>
      <c r="J488" s="76" t="s">
        <v>213</v>
      </c>
      <c r="K488" s="42" t="s">
        <v>213</v>
      </c>
      <c r="L488" s="42" t="s">
        <v>213</v>
      </c>
    </row>
    <row r="489" spans="1:12" x14ac:dyDescent="0.2">
      <c r="A489" s="38" t="s">
        <v>145</v>
      </c>
      <c r="B489" s="76">
        <v>27</v>
      </c>
      <c r="C489" s="76">
        <v>5</v>
      </c>
      <c r="D489" s="88">
        <f>80+8</f>
        <v>88</v>
      </c>
      <c r="E489" s="76" t="s">
        <v>213</v>
      </c>
      <c r="F489" s="76">
        <v>1</v>
      </c>
      <c r="G489" s="42">
        <v>1</v>
      </c>
      <c r="H489" s="76">
        <v>41</v>
      </c>
      <c r="I489" s="76">
        <v>5</v>
      </c>
      <c r="J489" s="76">
        <f>(3+1)</f>
        <v>4</v>
      </c>
      <c r="K489" s="42">
        <f>(30+2+1)</f>
        <v>33</v>
      </c>
      <c r="L489" s="42">
        <v>48</v>
      </c>
    </row>
    <row r="490" spans="1:12" x14ac:dyDescent="0.2">
      <c r="A490" s="46" t="s">
        <v>82</v>
      </c>
      <c r="B490" s="91">
        <v>11</v>
      </c>
      <c r="C490" s="91">
        <v>24</v>
      </c>
      <c r="D490" s="92">
        <v>150</v>
      </c>
      <c r="E490" s="91">
        <v>84</v>
      </c>
      <c r="F490" s="91">
        <v>154</v>
      </c>
      <c r="G490" s="52">
        <v>40</v>
      </c>
      <c r="H490" s="91">
        <v>48</v>
      </c>
      <c r="I490" s="91">
        <v>75</v>
      </c>
      <c r="J490" s="91">
        <v>135</v>
      </c>
      <c r="K490" s="53">
        <v>4584</v>
      </c>
      <c r="L490" s="53">
        <f>SUM(L491:L502)</f>
        <v>5770</v>
      </c>
    </row>
    <row r="491" spans="1:12" x14ac:dyDescent="0.2">
      <c r="A491" s="38" t="s">
        <v>84</v>
      </c>
      <c r="B491" s="76" t="s">
        <v>213</v>
      </c>
      <c r="C491" s="76">
        <v>1</v>
      </c>
      <c r="D491" s="88">
        <v>6</v>
      </c>
      <c r="E491" s="76">
        <v>2</v>
      </c>
      <c r="F491" s="76">
        <v>2</v>
      </c>
      <c r="G491" s="42">
        <v>1</v>
      </c>
      <c r="H491" s="76">
        <v>8</v>
      </c>
      <c r="I491" s="76">
        <v>12</v>
      </c>
      <c r="J491" s="76">
        <v>35</v>
      </c>
      <c r="K491" s="42">
        <v>140</v>
      </c>
      <c r="L491" s="42">
        <v>322</v>
      </c>
    </row>
    <row r="492" spans="1:12" x14ac:dyDescent="0.2">
      <c r="A492" s="38" t="s">
        <v>86</v>
      </c>
      <c r="B492" s="76">
        <v>4</v>
      </c>
      <c r="C492" s="76" t="s">
        <v>213</v>
      </c>
      <c r="D492" s="88">
        <v>60</v>
      </c>
      <c r="E492" s="76">
        <v>66</v>
      </c>
      <c r="F492" s="76">
        <v>98</v>
      </c>
      <c r="G492" s="42">
        <v>25</v>
      </c>
      <c r="H492" s="76">
        <v>36</v>
      </c>
      <c r="I492" s="76">
        <v>55</v>
      </c>
      <c r="J492" s="76">
        <v>55</v>
      </c>
      <c r="K492" s="42">
        <v>15</v>
      </c>
      <c r="L492" s="42">
        <v>13</v>
      </c>
    </row>
    <row r="493" spans="1:12" x14ac:dyDescent="0.2">
      <c r="A493" s="38" t="s">
        <v>88</v>
      </c>
      <c r="B493" s="76" t="s">
        <v>213</v>
      </c>
      <c r="C493" s="76" t="s">
        <v>213</v>
      </c>
      <c r="D493" s="88">
        <v>61</v>
      </c>
      <c r="E493" s="76" t="s">
        <v>213</v>
      </c>
      <c r="F493" s="76">
        <v>1</v>
      </c>
      <c r="G493" s="42">
        <v>7</v>
      </c>
      <c r="H493" s="76" t="s">
        <v>213</v>
      </c>
      <c r="I493" s="42" t="s">
        <v>213</v>
      </c>
      <c r="J493" s="42">
        <v>37</v>
      </c>
      <c r="K493" s="42" t="s">
        <v>213</v>
      </c>
      <c r="L493" s="42" t="s">
        <v>213</v>
      </c>
    </row>
    <row r="494" spans="1:12" x14ac:dyDescent="0.2">
      <c r="A494" s="38" t="s">
        <v>89</v>
      </c>
      <c r="B494" s="76" t="s">
        <v>213</v>
      </c>
      <c r="C494" s="76" t="s">
        <v>213</v>
      </c>
      <c r="D494" s="88" t="s">
        <v>213</v>
      </c>
      <c r="E494" s="76" t="s">
        <v>213</v>
      </c>
      <c r="F494" s="76" t="s">
        <v>213</v>
      </c>
      <c r="G494" s="42" t="s">
        <v>213</v>
      </c>
      <c r="H494" s="76" t="s">
        <v>213</v>
      </c>
      <c r="I494" s="42" t="s">
        <v>213</v>
      </c>
      <c r="J494" s="42" t="s">
        <v>213</v>
      </c>
      <c r="K494" s="42" t="s">
        <v>213</v>
      </c>
      <c r="L494" s="42" t="s">
        <v>213</v>
      </c>
    </row>
    <row r="495" spans="1:12" x14ac:dyDescent="0.2">
      <c r="A495" s="38" t="s">
        <v>90</v>
      </c>
      <c r="B495" s="76" t="s">
        <v>213</v>
      </c>
      <c r="C495" s="76" t="s">
        <v>213</v>
      </c>
      <c r="D495" s="88" t="s">
        <v>213</v>
      </c>
      <c r="E495" s="76" t="s">
        <v>213</v>
      </c>
      <c r="F495" s="76" t="s">
        <v>213</v>
      </c>
      <c r="G495" s="42" t="s">
        <v>213</v>
      </c>
      <c r="H495" s="76" t="s">
        <v>213</v>
      </c>
      <c r="I495" s="42" t="s">
        <v>213</v>
      </c>
      <c r="J495" s="42" t="s">
        <v>213</v>
      </c>
      <c r="K495" s="42" t="s">
        <v>213</v>
      </c>
      <c r="L495" s="42" t="s">
        <v>213</v>
      </c>
    </row>
    <row r="496" spans="1:12" x14ac:dyDescent="0.2">
      <c r="A496" s="38" t="s">
        <v>92</v>
      </c>
      <c r="B496" s="76" t="s">
        <v>213</v>
      </c>
      <c r="C496" s="76">
        <v>8</v>
      </c>
      <c r="D496" s="88" t="s">
        <v>213</v>
      </c>
      <c r="E496" s="76" t="s">
        <v>213</v>
      </c>
      <c r="F496" s="76">
        <v>45</v>
      </c>
      <c r="G496" s="42">
        <v>1</v>
      </c>
      <c r="H496" s="76">
        <v>3</v>
      </c>
      <c r="I496" s="76">
        <v>7</v>
      </c>
      <c r="J496" s="76">
        <v>1</v>
      </c>
      <c r="K496" s="42">
        <v>281</v>
      </c>
      <c r="L496" s="42">
        <v>342</v>
      </c>
    </row>
    <row r="497" spans="1:12" x14ac:dyDescent="0.2">
      <c r="A497" s="38" t="s">
        <v>93</v>
      </c>
      <c r="B497" s="76" t="s">
        <v>213</v>
      </c>
      <c r="C497" s="76" t="s">
        <v>213</v>
      </c>
      <c r="D497" s="88" t="s">
        <v>213</v>
      </c>
      <c r="E497" s="76" t="s">
        <v>213</v>
      </c>
      <c r="F497" s="76" t="s">
        <v>213</v>
      </c>
      <c r="G497" s="42" t="s">
        <v>213</v>
      </c>
      <c r="H497" s="76" t="s">
        <v>213</v>
      </c>
      <c r="I497" s="42" t="s">
        <v>213</v>
      </c>
      <c r="J497" s="42" t="s">
        <v>213</v>
      </c>
      <c r="K497" s="42" t="s">
        <v>213</v>
      </c>
      <c r="L497" s="42" t="s">
        <v>213</v>
      </c>
    </row>
    <row r="498" spans="1:12" x14ac:dyDescent="0.2">
      <c r="A498" s="38" t="s">
        <v>96</v>
      </c>
      <c r="B498" s="76" t="s">
        <v>213</v>
      </c>
      <c r="C498" s="76" t="s">
        <v>213</v>
      </c>
      <c r="D498" s="88">
        <v>22</v>
      </c>
      <c r="E498" s="76">
        <v>11</v>
      </c>
      <c r="F498" s="76">
        <v>8</v>
      </c>
      <c r="G498" s="42">
        <v>5</v>
      </c>
      <c r="H498" s="76">
        <v>1</v>
      </c>
      <c r="I498" s="76">
        <v>1</v>
      </c>
      <c r="J498" s="76">
        <v>4</v>
      </c>
      <c r="K498" s="42">
        <v>5</v>
      </c>
      <c r="L498" s="42" t="s">
        <v>213</v>
      </c>
    </row>
    <row r="499" spans="1:12" x14ac:dyDescent="0.2">
      <c r="A499" s="38" t="s">
        <v>200</v>
      </c>
      <c r="B499" s="76" t="s">
        <v>213</v>
      </c>
      <c r="C499" s="76" t="s">
        <v>213</v>
      </c>
      <c r="D499" s="88">
        <v>1</v>
      </c>
      <c r="E499" s="76" t="s">
        <v>213</v>
      </c>
      <c r="F499" s="76" t="s">
        <v>213</v>
      </c>
      <c r="G499" s="42" t="s">
        <v>213</v>
      </c>
      <c r="H499" s="76" t="s">
        <v>213</v>
      </c>
      <c r="I499" s="42" t="s">
        <v>213</v>
      </c>
      <c r="J499" s="42" t="s">
        <v>213</v>
      </c>
      <c r="K499" s="42" t="s">
        <v>213</v>
      </c>
      <c r="L499" s="42" t="s">
        <v>213</v>
      </c>
    </row>
    <row r="500" spans="1:12" x14ac:dyDescent="0.2">
      <c r="A500" s="38" t="s">
        <v>102</v>
      </c>
      <c r="B500" s="76" t="s">
        <v>213</v>
      </c>
      <c r="C500" s="76">
        <v>13</v>
      </c>
      <c r="D500" s="88" t="s">
        <v>213</v>
      </c>
      <c r="E500" s="76">
        <v>5</v>
      </c>
      <c r="F500" s="76" t="s">
        <v>213</v>
      </c>
      <c r="G500" s="42">
        <v>1</v>
      </c>
      <c r="H500" s="76" t="s">
        <v>213</v>
      </c>
      <c r="I500" s="42" t="s">
        <v>213</v>
      </c>
      <c r="J500" s="42">
        <v>3</v>
      </c>
      <c r="K500" s="42">
        <v>771</v>
      </c>
      <c r="L500" s="42">
        <v>1391</v>
      </c>
    </row>
    <row r="501" spans="1:12" x14ac:dyDescent="0.2">
      <c r="A501" s="38" t="s">
        <v>103</v>
      </c>
      <c r="B501" s="76" t="s">
        <v>213</v>
      </c>
      <c r="C501" s="76" t="s">
        <v>213</v>
      </c>
      <c r="D501" s="88" t="s">
        <v>213</v>
      </c>
      <c r="E501" s="76" t="s">
        <v>213</v>
      </c>
      <c r="F501" s="76" t="s">
        <v>213</v>
      </c>
      <c r="G501" s="42" t="s">
        <v>213</v>
      </c>
      <c r="H501" s="76" t="s">
        <v>213</v>
      </c>
      <c r="I501" s="42" t="s">
        <v>213</v>
      </c>
      <c r="J501" s="42" t="s">
        <v>213</v>
      </c>
      <c r="K501" s="42">
        <v>3226</v>
      </c>
      <c r="L501" s="42">
        <v>3587</v>
      </c>
    </row>
    <row r="502" spans="1:12" x14ac:dyDescent="0.2">
      <c r="A502" s="38" t="s">
        <v>106</v>
      </c>
      <c r="B502" s="76">
        <v>7</v>
      </c>
      <c r="C502" s="76">
        <v>2</v>
      </c>
      <c r="D502" s="88" t="s">
        <v>213</v>
      </c>
      <c r="E502" s="76" t="s">
        <v>213</v>
      </c>
      <c r="F502" s="76" t="s">
        <v>213</v>
      </c>
      <c r="G502" s="42" t="s">
        <v>213</v>
      </c>
      <c r="H502" s="76" t="s">
        <v>213</v>
      </c>
      <c r="I502" s="42" t="s">
        <v>213</v>
      </c>
      <c r="J502" s="42" t="s">
        <v>213</v>
      </c>
      <c r="K502" s="42">
        <f>(145+1)</f>
        <v>146</v>
      </c>
      <c r="L502" s="42">
        <v>115</v>
      </c>
    </row>
    <row r="503" spans="1:12" x14ac:dyDescent="0.2">
      <c r="A503" s="46" t="s">
        <v>146</v>
      </c>
      <c r="B503" s="91">
        <f>SUM(B504:B505)</f>
        <v>1427</v>
      </c>
      <c r="C503" s="91">
        <f>SUM(C504:C505)</f>
        <v>1312</v>
      </c>
      <c r="D503" s="91">
        <v>1338</v>
      </c>
      <c r="E503" s="91">
        <v>909</v>
      </c>
      <c r="F503" s="91">
        <v>1116</v>
      </c>
      <c r="G503" s="52">
        <v>981</v>
      </c>
      <c r="H503" s="91">
        <v>984</v>
      </c>
      <c r="I503" s="91">
        <v>1066</v>
      </c>
      <c r="J503" s="91">
        <v>1330</v>
      </c>
      <c r="K503" s="53">
        <v>1095</v>
      </c>
      <c r="L503" s="53">
        <f>SUM(L504:L506)</f>
        <v>1235</v>
      </c>
    </row>
    <row r="504" spans="1:12" x14ac:dyDescent="0.2">
      <c r="A504" s="38" t="s">
        <v>147</v>
      </c>
      <c r="B504" s="76">
        <v>1330</v>
      </c>
      <c r="C504" s="76">
        <v>1242</v>
      </c>
      <c r="D504" s="76">
        <v>1314</v>
      </c>
      <c r="E504" s="76">
        <v>908</v>
      </c>
      <c r="F504" s="76">
        <v>1103</v>
      </c>
      <c r="G504" s="42">
        <v>981</v>
      </c>
      <c r="H504" s="76">
        <v>979</v>
      </c>
      <c r="I504" s="76">
        <v>966</v>
      </c>
      <c r="J504" s="76">
        <v>1200</v>
      </c>
      <c r="K504" s="43">
        <v>963</v>
      </c>
      <c r="L504" s="43">
        <v>1077</v>
      </c>
    </row>
    <row r="505" spans="1:12" x14ac:dyDescent="0.2">
      <c r="A505" s="38" t="s">
        <v>149</v>
      </c>
      <c r="B505" s="76">
        <v>97</v>
      </c>
      <c r="C505" s="76">
        <v>70</v>
      </c>
      <c r="D505" s="76">
        <v>24</v>
      </c>
      <c r="E505" s="76">
        <v>1</v>
      </c>
      <c r="F505" s="76">
        <v>13</v>
      </c>
      <c r="G505" s="42" t="s">
        <v>213</v>
      </c>
      <c r="H505" s="76">
        <v>5</v>
      </c>
      <c r="I505" s="76">
        <v>100</v>
      </c>
      <c r="J505" s="76">
        <v>130</v>
      </c>
      <c r="K505" s="43">
        <v>130</v>
      </c>
      <c r="L505" s="43">
        <v>158</v>
      </c>
    </row>
    <row r="506" spans="1:12" x14ac:dyDescent="0.2">
      <c r="A506" s="38" t="s">
        <v>214</v>
      </c>
      <c r="B506" s="76" t="s">
        <v>213</v>
      </c>
      <c r="C506" s="76" t="s">
        <v>213</v>
      </c>
      <c r="D506" s="76" t="s">
        <v>213</v>
      </c>
      <c r="E506" s="76" t="s">
        <v>213</v>
      </c>
      <c r="F506" s="76" t="s">
        <v>213</v>
      </c>
      <c r="G506" s="76" t="s">
        <v>213</v>
      </c>
      <c r="H506" s="76" t="s">
        <v>213</v>
      </c>
      <c r="I506" s="76" t="s">
        <v>213</v>
      </c>
      <c r="J506" s="76" t="s">
        <v>213</v>
      </c>
      <c r="K506" s="42">
        <v>2</v>
      </c>
      <c r="L506" s="42" t="s">
        <v>213</v>
      </c>
    </row>
    <row r="507" spans="1:12" x14ac:dyDescent="0.2">
      <c r="K507" s="42"/>
      <c r="L507" s="38"/>
    </row>
    <row r="508" spans="1:12" x14ac:dyDescent="0.2">
      <c r="K508" s="42"/>
      <c r="L508" s="38"/>
    </row>
    <row r="509" spans="1:12" ht="12" x14ac:dyDescent="0.25">
      <c r="A509" s="117" t="s">
        <v>221</v>
      </c>
      <c r="B509" s="117"/>
      <c r="C509" s="117"/>
      <c r="D509" s="117"/>
      <c r="E509" s="117"/>
      <c r="F509" s="117"/>
      <c r="G509" s="117"/>
      <c r="H509" s="117"/>
      <c r="I509" s="117"/>
      <c r="J509" s="117"/>
      <c r="K509" s="117"/>
      <c r="L509" s="38"/>
    </row>
    <row r="510" spans="1:12" ht="10.199999999999999" x14ac:dyDescent="0.2">
      <c r="A510" s="116" t="s">
        <v>0</v>
      </c>
      <c r="B510" s="116"/>
      <c r="C510" s="116"/>
      <c r="D510" s="116"/>
      <c r="E510" s="116"/>
      <c r="F510" s="116"/>
      <c r="G510" s="116"/>
      <c r="H510" s="116"/>
      <c r="I510" s="116"/>
      <c r="J510" s="116"/>
      <c r="K510" s="116"/>
      <c r="L510" s="38"/>
    </row>
    <row r="511" spans="1:12" x14ac:dyDescent="0.2">
      <c r="K511" s="42"/>
      <c r="L511" s="38"/>
    </row>
    <row r="512" spans="1:12" x14ac:dyDescent="0.2">
      <c r="A512" s="46" t="s">
        <v>1</v>
      </c>
      <c r="B512" s="46">
        <v>2007</v>
      </c>
      <c r="C512" s="46">
        <v>2008</v>
      </c>
      <c r="D512" s="46">
        <v>2009</v>
      </c>
      <c r="E512" s="48">
        <v>2010</v>
      </c>
      <c r="F512" s="46">
        <v>2011</v>
      </c>
      <c r="G512" s="48">
        <v>2012</v>
      </c>
      <c r="H512" s="46">
        <v>2013</v>
      </c>
      <c r="I512" s="46">
        <v>2014</v>
      </c>
      <c r="J512" s="46">
        <v>2015</v>
      </c>
      <c r="K512" s="46">
        <v>2016</v>
      </c>
      <c r="L512" s="46">
        <v>2017</v>
      </c>
    </row>
    <row r="513" spans="1:12" x14ac:dyDescent="0.2">
      <c r="A513" s="93"/>
      <c r="B513" s="93"/>
      <c r="C513" s="45"/>
      <c r="D513" s="45"/>
      <c r="E513" s="90"/>
      <c r="F513" s="93"/>
      <c r="G513" s="90"/>
      <c r="H513" s="45"/>
      <c r="I513" s="45"/>
      <c r="J513" s="45"/>
      <c r="K513" s="45"/>
      <c r="L513" s="38"/>
    </row>
    <row r="514" spans="1:12" x14ac:dyDescent="0.2">
      <c r="A514" s="45" t="s">
        <v>169</v>
      </c>
      <c r="B514" s="44">
        <f>SUM(B515+B534+B566+B576)</f>
        <v>111366</v>
      </c>
      <c r="C514" s="44">
        <f>SUM(C515+C534+C566+C576)</f>
        <v>77124</v>
      </c>
      <c r="D514" s="86">
        <f>SUM(D515+D534+D566+D576)</f>
        <v>94886</v>
      </c>
      <c r="E514" s="90">
        <v>36793</v>
      </c>
      <c r="F514" s="44">
        <v>39742</v>
      </c>
      <c r="G514" s="90">
        <v>37416</v>
      </c>
      <c r="H514" s="44">
        <v>30720</v>
      </c>
      <c r="I514" s="44">
        <v>27909</v>
      </c>
      <c r="J514" s="44">
        <v>32372</v>
      </c>
      <c r="K514" s="44">
        <v>41008</v>
      </c>
      <c r="L514" s="44">
        <v>37188</v>
      </c>
    </row>
    <row r="515" spans="1:12" s="45" customFormat="1" x14ac:dyDescent="0.2">
      <c r="A515" s="46" t="s">
        <v>2</v>
      </c>
      <c r="B515" s="53">
        <f>SUM(B516:B533)</f>
        <v>102057</v>
      </c>
      <c r="C515" s="53">
        <v>67980</v>
      </c>
      <c r="D515" s="53">
        <v>86480</v>
      </c>
      <c r="E515" s="52">
        <v>27608</v>
      </c>
      <c r="F515" s="53">
        <v>31212</v>
      </c>
      <c r="G515" s="52">
        <v>30053</v>
      </c>
      <c r="H515" s="53">
        <v>23261</v>
      </c>
      <c r="I515" s="53">
        <v>22813</v>
      </c>
      <c r="J515" s="53">
        <v>27676</v>
      </c>
      <c r="K515" s="53">
        <v>35578</v>
      </c>
      <c r="L515" s="53">
        <f>SUM(L516:L533)</f>
        <v>30426</v>
      </c>
    </row>
    <row r="516" spans="1:12" x14ac:dyDescent="0.2">
      <c r="A516" s="38" t="s">
        <v>7</v>
      </c>
      <c r="B516" s="76" t="s">
        <v>213</v>
      </c>
      <c r="C516" s="76" t="s">
        <v>213</v>
      </c>
      <c r="D516" s="76" t="s">
        <v>213</v>
      </c>
      <c r="E516" s="76" t="s">
        <v>213</v>
      </c>
      <c r="F516" s="76" t="s">
        <v>213</v>
      </c>
      <c r="G516" s="42" t="s">
        <v>213</v>
      </c>
      <c r="H516" s="76" t="s">
        <v>213</v>
      </c>
      <c r="I516" s="42" t="s">
        <v>213</v>
      </c>
      <c r="J516" s="42">
        <v>14</v>
      </c>
      <c r="K516" s="42">
        <v>4</v>
      </c>
      <c r="L516" s="42">
        <v>1</v>
      </c>
    </row>
    <row r="517" spans="1:12" x14ac:dyDescent="0.2">
      <c r="A517" s="38" t="s">
        <v>11</v>
      </c>
      <c r="B517" s="76" t="s">
        <v>213</v>
      </c>
      <c r="C517" s="76" t="s">
        <v>213</v>
      </c>
      <c r="D517" s="76" t="s">
        <v>213</v>
      </c>
      <c r="E517" s="76" t="s">
        <v>213</v>
      </c>
      <c r="F517" s="76" t="s">
        <v>213</v>
      </c>
      <c r="G517" s="42" t="s">
        <v>213</v>
      </c>
      <c r="H517" s="76" t="s">
        <v>213</v>
      </c>
      <c r="I517" s="42" t="s">
        <v>213</v>
      </c>
      <c r="J517" s="42" t="s">
        <v>213</v>
      </c>
      <c r="K517" s="42" t="s">
        <v>213</v>
      </c>
      <c r="L517" s="42" t="s">
        <v>213</v>
      </c>
    </row>
    <row r="518" spans="1:12" x14ac:dyDescent="0.2">
      <c r="A518" s="38" t="s">
        <v>21</v>
      </c>
      <c r="B518" s="76" t="s">
        <v>213</v>
      </c>
      <c r="C518" s="76" t="s">
        <v>213</v>
      </c>
      <c r="D518" s="76" t="s">
        <v>213</v>
      </c>
      <c r="E518" s="76" t="s">
        <v>213</v>
      </c>
      <c r="F518" s="76" t="s">
        <v>213</v>
      </c>
      <c r="G518" s="42" t="s">
        <v>213</v>
      </c>
      <c r="H518" s="76" t="s">
        <v>213</v>
      </c>
      <c r="I518" s="42" t="s">
        <v>213</v>
      </c>
      <c r="J518" s="42" t="s">
        <v>213</v>
      </c>
      <c r="K518" s="42" t="s">
        <v>213</v>
      </c>
      <c r="L518" s="42" t="s">
        <v>213</v>
      </c>
    </row>
    <row r="519" spans="1:12" x14ac:dyDescent="0.2">
      <c r="A519" s="38" t="s">
        <v>24</v>
      </c>
      <c r="B519" s="76">
        <v>2857</v>
      </c>
      <c r="C519" s="76">
        <v>2618</v>
      </c>
      <c r="D519" s="76">
        <v>2319</v>
      </c>
      <c r="E519" s="76">
        <v>508</v>
      </c>
      <c r="F519" s="76">
        <v>169</v>
      </c>
      <c r="G519" s="42">
        <v>62</v>
      </c>
      <c r="H519" s="76">
        <v>161</v>
      </c>
      <c r="I519" s="76">
        <v>64</v>
      </c>
      <c r="J519" s="76">
        <v>218</v>
      </c>
      <c r="K519" s="42">
        <v>1573</v>
      </c>
      <c r="L519" s="42">
        <v>612</v>
      </c>
    </row>
    <row r="520" spans="1:12" x14ac:dyDescent="0.2">
      <c r="A520" s="38" t="s">
        <v>40</v>
      </c>
      <c r="B520" s="76">
        <v>98826</v>
      </c>
      <c r="C520" s="76">
        <v>64663</v>
      </c>
      <c r="D520" s="76">
        <v>83958</v>
      </c>
      <c r="E520" s="76">
        <v>27071</v>
      </c>
      <c r="F520" s="76">
        <v>30944</v>
      </c>
      <c r="G520" s="42">
        <v>29991</v>
      </c>
      <c r="H520" s="76">
        <v>23065</v>
      </c>
      <c r="I520" s="76">
        <v>22749</v>
      </c>
      <c r="J520" s="76">
        <v>27444</v>
      </c>
      <c r="K520" s="42">
        <v>34001</v>
      </c>
      <c r="L520" s="42">
        <v>29813</v>
      </c>
    </row>
    <row r="521" spans="1:12" x14ac:dyDescent="0.2">
      <c r="A521" s="38" t="s">
        <v>43</v>
      </c>
      <c r="B521" s="76">
        <v>45</v>
      </c>
      <c r="C521" s="76">
        <v>441</v>
      </c>
      <c r="D521" s="76">
        <v>201</v>
      </c>
      <c r="E521" s="76" t="s">
        <v>213</v>
      </c>
      <c r="F521" s="76">
        <v>96</v>
      </c>
      <c r="G521" s="42" t="s">
        <v>213</v>
      </c>
      <c r="H521" s="76" t="s">
        <v>213</v>
      </c>
      <c r="I521" s="42" t="s">
        <v>213</v>
      </c>
      <c r="J521" s="42" t="s">
        <v>213</v>
      </c>
      <c r="K521" s="42" t="s">
        <v>213</v>
      </c>
      <c r="L521" s="42" t="s">
        <v>213</v>
      </c>
    </row>
    <row r="522" spans="1:12" s="45" customFormat="1" x14ac:dyDescent="0.2">
      <c r="A522" s="38" t="s">
        <v>46</v>
      </c>
      <c r="B522" s="76" t="s">
        <v>213</v>
      </c>
      <c r="C522" s="76" t="s">
        <v>213</v>
      </c>
      <c r="D522" s="76" t="s">
        <v>213</v>
      </c>
      <c r="E522" s="76" t="s">
        <v>213</v>
      </c>
      <c r="F522" s="76" t="s">
        <v>213</v>
      </c>
      <c r="G522" s="42" t="s">
        <v>213</v>
      </c>
      <c r="H522" s="76" t="s">
        <v>213</v>
      </c>
      <c r="I522" s="42" t="s">
        <v>213</v>
      </c>
      <c r="J522" s="42" t="s">
        <v>213</v>
      </c>
      <c r="K522" s="42" t="s">
        <v>213</v>
      </c>
      <c r="L522" s="42" t="s">
        <v>213</v>
      </c>
    </row>
    <row r="523" spans="1:12" x14ac:dyDescent="0.2">
      <c r="A523" s="38" t="s">
        <v>56</v>
      </c>
      <c r="B523" s="76" t="s">
        <v>213</v>
      </c>
      <c r="C523" s="76" t="s">
        <v>213</v>
      </c>
      <c r="D523" s="76" t="s">
        <v>213</v>
      </c>
      <c r="E523" s="76" t="s">
        <v>213</v>
      </c>
      <c r="F523" s="76" t="s">
        <v>213</v>
      </c>
      <c r="G523" s="42" t="s">
        <v>213</v>
      </c>
      <c r="H523" s="76" t="s">
        <v>213</v>
      </c>
      <c r="I523" s="42" t="s">
        <v>213</v>
      </c>
      <c r="J523" s="42" t="s">
        <v>213</v>
      </c>
      <c r="K523" s="42" t="s">
        <v>213</v>
      </c>
      <c r="L523" s="42" t="s">
        <v>213</v>
      </c>
    </row>
    <row r="524" spans="1:12" x14ac:dyDescent="0.2">
      <c r="A524" s="38" t="s">
        <v>67</v>
      </c>
      <c r="B524" s="76">
        <v>1</v>
      </c>
      <c r="C524" s="76" t="s">
        <v>213</v>
      </c>
      <c r="D524" s="76">
        <v>2</v>
      </c>
      <c r="E524" s="76" t="s">
        <v>213</v>
      </c>
      <c r="F524" s="76" t="s">
        <v>213</v>
      </c>
      <c r="G524" s="42" t="s">
        <v>213</v>
      </c>
      <c r="H524" s="76" t="s">
        <v>213</v>
      </c>
      <c r="I524" s="42" t="s">
        <v>213</v>
      </c>
      <c r="J524" s="42" t="s">
        <v>213</v>
      </c>
      <c r="K524" s="42" t="s">
        <v>213</v>
      </c>
      <c r="L524" s="42" t="s">
        <v>213</v>
      </c>
    </row>
    <row r="525" spans="1:12" x14ac:dyDescent="0.2">
      <c r="A525" s="38" t="s">
        <v>68</v>
      </c>
      <c r="B525" s="76" t="s">
        <v>213</v>
      </c>
      <c r="C525" s="76" t="s">
        <v>213</v>
      </c>
      <c r="D525" s="76" t="s">
        <v>213</v>
      </c>
      <c r="E525" s="76" t="s">
        <v>213</v>
      </c>
      <c r="F525" s="76" t="s">
        <v>213</v>
      </c>
      <c r="G525" s="42" t="s">
        <v>213</v>
      </c>
      <c r="H525" s="76" t="s">
        <v>213</v>
      </c>
      <c r="I525" s="42" t="s">
        <v>213</v>
      </c>
      <c r="J525" s="42" t="s">
        <v>213</v>
      </c>
      <c r="K525" s="42" t="s">
        <v>213</v>
      </c>
      <c r="L525" s="42" t="s">
        <v>213</v>
      </c>
    </row>
    <row r="526" spans="1:12" x14ac:dyDescent="0.2">
      <c r="A526" s="38" t="s">
        <v>171</v>
      </c>
      <c r="B526" s="76" t="s">
        <v>213</v>
      </c>
      <c r="C526" s="76" t="s">
        <v>213</v>
      </c>
      <c r="D526" s="76" t="s">
        <v>213</v>
      </c>
      <c r="E526" s="76" t="s">
        <v>213</v>
      </c>
      <c r="F526" s="76" t="s">
        <v>213</v>
      </c>
      <c r="G526" s="42" t="s">
        <v>213</v>
      </c>
      <c r="H526" s="76" t="s">
        <v>213</v>
      </c>
      <c r="I526" s="42" t="s">
        <v>213</v>
      </c>
      <c r="J526" s="42" t="s">
        <v>213</v>
      </c>
      <c r="K526" s="42" t="s">
        <v>213</v>
      </c>
      <c r="L526" s="42" t="s">
        <v>213</v>
      </c>
    </row>
    <row r="527" spans="1:12" x14ac:dyDescent="0.2">
      <c r="A527" s="38" t="s">
        <v>70</v>
      </c>
      <c r="B527" s="76">
        <v>77</v>
      </c>
      <c r="C527" s="76" t="s">
        <v>213</v>
      </c>
      <c r="D527" s="76" t="s">
        <v>213</v>
      </c>
      <c r="E527" s="76" t="s">
        <v>213</v>
      </c>
      <c r="F527" s="76" t="s">
        <v>213</v>
      </c>
      <c r="G527" s="42" t="s">
        <v>213</v>
      </c>
      <c r="H527" s="76" t="s">
        <v>213</v>
      </c>
      <c r="I527" s="42" t="s">
        <v>213</v>
      </c>
      <c r="J527" s="42" t="s">
        <v>213</v>
      </c>
      <c r="K527" s="42" t="s">
        <v>213</v>
      </c>
      <c r="L527" s="42" t="s">
        <v>213</v>
      </c>
    </row>
    <row r="528" spans="1:12" x14ac:dyDescent="0.2">
      <c r="A528" s="38" t="s">
        <v>71</v>
      </c>
      <c r="B528" s="76">
        <v>251</v>
      </c>
      <c r="C528" s="76">
        <v>68</v>
      </c>
      <c r="D528" s="76" t="s">
        <v>213</v>
      </c>
      <c r="E528" s="76" t="s">
        <v>213</v>
      </c>
      <c r="F528" s="76" t="s">
        <v>213</v>
      </c>
      <c r="G528" s="42" t="s">
        <v>213</v>
      </c>
      <c r="H528" s="76" t="s">
        <v>213</v>
      </c>
      <c r="I528" s="42" t="s">
        <v>213</v>
      </c>
      <c r="J528" s="42" t="s">
        <v>213</v>
      </c>
      <c r="K528" s="42" t="s">
        <v>213</v>
      </c>
      <c r="L528" s="42" t="s">
        <v>213</v>
      </c>
    </row>
    <row r="529" spans="1:12" x14ac:dyDescent="0.2">
      <c r="A529" s="38" t="s">
        <v>72</v>
      </c>
      <c r="B529" s="76" t="s">
        <v>213</v>
      </c>
      <c r="C529" s="76">
        <v>48</v>
      </c>
      <c r="D529" s="76" t="s">
        <v>213</v>
      </c>
      <c r="E529" s="76" t="s">
        <v>213</v>
      </c>
      <c r="F529" s="76" t="s">
        <v>213</v>
      </c>
      <c r="G529" s="42" t="s">
        <v>213</v>
      </c>
      <c r="H529" s="76" t="s">
        <v>213</v>
      </c>
      <c r="I529" s="42" t="s">
        <v>213</v>
      </c>
      <c r="J529" s="42" t="s">
        <v>213</v>
      </c>
      <c r="K529" s="42" t="s">
        <v>213</v>
      </c>
      <c r="L529" s="42" t="s">
        <v>213</v>
      </c>
    </row>
    <row r="530" spans="1:12" x14ac:dyDescent="0.2">
      <c r="A530" s="38" t="s">
        <v>74</v>
      </c>
      <c r="B530" s="76" t="s">
        <v>213</v>
      </c>
      <c r="C530" s="76" t="s">
        <v>213</v>
      </c>
      <c r="D530" s="76" t="s">
        <v>213</v>
      </c>
      <c r="E530" s="76" t="s">
        <v>213</v>
      </c>
      <c r="F530" s="76">
        <v>3</v>
      </c>
      <c r="G530" s="42" t="s">
        <v>213</v>
      </c>
      <c r="H530" s="76">
        <v>2</v>
      </c>
      <c r="I530" s="42" t="s">
        <v>213</v>
      </c>
      <c r="J530" s="42" t="s">
        <v>213</v>
      </c>
      <c r="K530" s="42" t="s">
        <v>213</v>
      </c>
      <c r="L530" s="42" t="s">
        <v>213</v>
      </c>
    </row>
    <row r="531" spans="1:12" x14ac:dyDescent="0.2">
      <c r="A531" s="38" t="s">
        <v>77</v>
      </c>
      <c r="B531" s="76" t="s">
        <v>213</v>
      </c>
      <c r="C531" s="76">
        <v>1</v>
      </c>
      <c r="D531" s="76" t="s">
        <v>213</v>
      </c>
      <c r="E531" s="76">
        <v>29</v>
      </c>
      <c r="F531" s="76" t="s">
        <v>213</v>
      </c>
      <c r="G531" s="42" t="s">
        <v>213</v>
      </c>
      <c r="H531" s="76" t="s">
        <v>213</v>
      </c>
      <c r="I531" s="42" t="s">
        <v>213</v>
      </c>
      <c r="J531" s="42" t="s">
        <v>213</v>
      </c>
      <c r="K531" s="42" t="s">
        <v>213</v>
      </c>
      <c r="L531" s="42" t="s">
        <v>213</v>
      </c>
    </row>
    <row r="532" spans="1:12" x14ac:dyDescent="0.2">
      <c r="A532" s="38" t="s">
        <v>81</v>
      </c>
      <c r="B532" s="76" t="s">
        <v>213</v>
      </c>
      <c r="C532" s="76">
        <v>141</v>
      </c>
      <c r="D532" s="76" t="s">
        <v>213</v>
      </c>
      <c r="E532" s="76" t="s">
        <v>213</v>
      </c>
      <c r="F532" s="76" t="s">
        <v>213</v>
      </c>
      <c r="G532" s="42" t="s">
        <v>213</v>
      </c>
      <c r="H532" s="76">
        <v>33</v>
      </c>
      <c r="I532" s="42" t="s">
        <v>213</v>
      </c>
      <c r="J532" s="42" t="s">
        <v>213</v>
      </c>
      <c r="K532" s="42" t="s">
        <v>213</v>
      </c>
      <c r="L532" s="42" t="s">
        <v>213</v>
      </c>
    </row>
    <row r="533" spans="1:12" x14ac:dyDescent="0.2">
      <c r="A533" s="38" t="s">
        <v>172</v>
      </c>
      <c r="B533" s="76" t="s">
        <v>213</v>
      </c>
      <c r="C533" s="76" t="s">
        <v>213</v>
      </c>
      <c r="D533" s="76" t="s">
        <v>213</v>
      </c>
      <c r="E533" s="76" t="s">
        <v>213</v>
      </c>
      <c r="F533" s="76" t="s">
        <v>213</v>
      </c>
      <c r="G533" s="42" t="s">
        <v>213</v>
      </c>
      <c r="H533" s="76" t="s">
        <v>213</v>
      </c>
      <c r="I533" s="42" t="s">
        <v>213</v>
      </c>
      <c r="J533" s="42" t="s">
        <v>213</v>
      </c>
      <c r="K533" s="42" t="s">
        <v>213</v>
      </c>
      <c r="L533" s="42" t="s">
        <v>213</v>
      </c>
    </row>
    <row r="534" spans="1:12" x14ac:dyDescent="0.2">
      <c r="A534" s="46" t="s">
        <v>107</v>
      </c>
      <c r="B534" s="91">
        <f>SUM(B535:B565)</f>
        <v>9012</v>
      </c>
      <c r="C534" s="91">
        <v>8937</v>
      </c>
      <c r="D534" s="91">
        <v>8197</v>
      </c>
      <c r="E534" s="91">
        <v>8858</v>
      </c>
      <c r="F534" s="91">
        <v>8298</v>
      </c>
      <c r="G534" s="52">
        <v>7091</v>
      </c>
      <c r="H534" s="91">
        <v>7305</v>
      </c>
      <c r="I534" s="91">
        <v>5043</v>
      </c>
      <c r="J534" s="91">
        <v>4580</v>
      </c>
      <c r="K534" s="53">
        <v>5322</v>
      </c>
      <c r="L534" s="53">
        <f>SUM(L535:L565)</f>
        <v>6659</v>
      </c>
    </row>
    <row r="535" spans="1:12" x14ac:dyDescent="0.2">
      <c r="A535" s="81" t="s">
        <v>109</v>
      </c>
      <c r="B535" s="77">
        <v>1</v>
      </c>
      <c r="C535" s="76">
        <v>11</v>
      </c>
      <c r="D535" s="76">
        <v>50</v>
      </c>
      <c r="E535" s="76">
        <v>61</v>
      </c>
      <c r="F535" s="77">
        <v>127</v>
      </c>
      <c r="G535" s="42">
        <v>90</v>
      </c>
      <c r="H535" s="77">
        <v>252</v>
      </c>
      <c r="I535" s="77">
        <v>249</v>
      </c>
      <c r="J535" s="77">
        <v>238</v>
      </c>
      <c r="K535" s="42">
        <v>273</v>
      </c>
      <c r="L535" s="42">
        <v>296</v>
      </c>
    </row>
    <row r="536" spans="1:12" x14ac:dyDescent="0.2">
      <c r="A536" s="38" t="s">
        <v>110</v>
      </c>
      <c r="B536" s="76">
        <v>1137</v>
      </c>
      <c r="C536" s="76">
        <v>1881</v>
      </c>
      <c r="D536" s="76">
        <v>1189</v>
      </c>
      <c r="E536" s="76">
        <v>1252</v>
      </c>
      <c r="F536" s="76">
        <v>969</v>
      </c>
      <c r="G536" s="42">
        <v>912</v>
      </c>
      <c r="H536" s="76">
        <v>679</v>
      </c>
      <c r="I536" s="76">
        <v>470</v>
      </c>
      <c r="J536" s="76">
        <v>435</v>
      </c>
      <c r="K536" s="42">
        <v>204</v>
      </c>
      <c r="L536" s="42">
        <v>143</v>
      </c>
    </row>
    <row r="537" spans="1:12" x14ac:dyDescent="0.2">
      <c r="A537" s="38" t="s">
        <v>111</v>
      </c>
      <c r="B537" s="76">
        <v>1</v>
      </c>
      <c r="C537" s="76" t="s">
        <v>213</v>
      </c>
      <c r="D537" s="76">
        <v>1</v>
      </c>
      <c r="E537" s="76" t="s">
        <v>213</v>
      </c>
      <c r="F537" s="76" t="s">
        <v>213</v>
      </c>
      <c r="G537" s="42" t="s">
        <v>213</v>
      </c>
      <c r="H537" s="76" t="s">
        <v>213</v>
      </c>
      <c r="I537" s="76">
        <v>1</v>
      </c>
      <c r="J537" s="76" t="s">
        <v>213</v>
      </c>
      <c r="K537" s="42" t="s">
        <v>213</v>
      </c>
      <c r="L537" s="42" t="s">
        <v>213</v>
      </c>
    </row>
    <row r="538" spans="1:12" x14ac:dyDescent="0.2">
      <c r="A538" s="38" t="s">
        <v>113</v>
      </c>
      <c r="B538" s="76" t="s">
        <v>213</v>
      </c>
      <c r="C538" s="76">
        <v>3</v>
      </c>
      <c r="D538" s="76" t="s">
        <v>213</v>
      </c>
      <c r="E538" s="76" t="s">
        <v>213</v>
      </c>
      <c r="F538" s="76" t="s">
        <v>213</v>
      </c>
      <c r="G538" s="42" t="s">
        <v>213</v>
      </c>
      <c r="H538" s="76" t="s">
        <v>213</v>
      </c>
      <c r="I538" s="42" t="s">
        <v>213</v>
      </c>
      <c r="J538" s="42" t="s">
        <v>213</v>
      </c>
      <c r="K538" s="42">
        <v>4</v>
      </c>
      <c r="L538" s="42">
        <v>3</v>
      </c>
    </row>
    <row r="539" spans="1:12" x14ac:dyDescent="0.2">
      <c r="A539" s="38" t="s">
        <v>115</v>
      </c>
      <c r="B539" s="76" t="s">
        <v>213</v>
      </c>
      <c r="C539" s="76" t="s">
        <v>213</v>
      </c>
      <c r="D539" s="76" t="s">
        <v>213</v>
      </c>
      <c r="E539" s="76" t="s">
        <v>213</v>
      </c>
      <c r="F539" s="76" t="s">
        <v>213</v>
      </c>
      <c r="G539" s="42" t="s">
        <v>213</v>
      </c>
      <c r="H539" s="76" t="s">
        <v>213</v>
      </c>
      <c r="I539" s="42" t="s">
        <v>213</v>
      </c>
      <c r="J539" s="42" t="s">
        <v>213</v>
      </c>
      <c r="K539" s="95" t="s">
        <v>213</v>
      </c>
      <c r="L539" s="95" t="s">
        <v>213</v>
      </c>
    </row>
    <row r="540" spans="1:12" x14ac:dyDescent="0.2">
      <c r="A540" s="38" t="s">
        <v>116</v>
      </c>
      <c r="B540" s="76" t="s">
        <v>213</v>
      </c>
      <c r="C540" s="76" t="s">
        <v>213</v>
      </c>
      <c r="D540" s="76" t="s">
        <v>213</v>
      </c>
      <c r="E540" s="76" t="s">
        <v>213</v>
      </c>
      <c r="F540" s="76">
        <v>3</v>
      </c>
      <c r="G540" s="42" t="s">
        <v>213</v>
      </c>
      <c r="H540" s="76" t="s">
        <v>213</v>
      </c>
      <c r="I540" s="42" t="s">
        <v>213</v>
      </c>
      <c r="J540" s="42" t="s">
        <v>213</v>
      </c>
      <c r="K540" s="42" t="s">
        <v>213</v>
      </c>
      <c r="L540" s="95" t="s">
        <v>213</v>
      </c>
    </row>
    <row r="541" spans="1:12" x14ac:dyDescent="0.2">
      <c r="A541" s="38" t="s">
        <v>114</v>
      </c>
      <c r="B541" s="76">
        <v>5</v>
      </c>
      <c r="C541" s="76">
        <v>9</v>
      </c>
      <c r="D541" s="76">
        <v>6</v>
      </c>
      <c r="E541" s="76">
        <v>7</v>
      </c>
      <c r="F541" s="76">
        <v>4</v>
      </c>
      <c r="G541" s="42">
        <v>19</v>
      </c>
      <c r="H541" s="76">
        <v>18</v>
      </c>
      <c r="I541" s="76">
        <v>17</v>
      </c>
      <c r="J541" s="76">
        <v>3</v>
      </c>
      <c r="K541" s="42">
        <v>6</v>
      </c>
      <c r="L541" s="42">
        <v>21</v>
      </c>
    </row>
    <row r="542" spans="1:12" x14ac:dyDescent="0.2">
      <c r="A542" s="38" t="s">
        <v>174</v>
      </c>
      <c r="B542" s="76" t="s">
        <v>213</v>
      </c>
      <c r="C542" s="76" t="s">
        <v>213</v>
      </c>
      <c r="D542" s="76" t="s">
        <v>213</v>
      </c>
      <c r="E542" s="76" t="s">
        <v>213</v>
      </c>
      <c r="F542" s="76" t="s">
        <v>213</v>
      </c>
      <c r="G542" s="42" t="s">
        <v>213</v>
      </c>
      <c r="H542" s="76" t="s">
        <v>213</v>
      </c>
      <c r="I542" s="42" t="s">
        <v>213</v>
      </c>
      <c r="J542" s="42" t="s">
        <v>213</v>
      </c>
      <c r="K542" s="42" t="s">
        <v>213</v>
      </c>
      <c r="L542" s="42" t="s">
        <v>213</v>
      </c>
    </row>
    <row r="543" spans="1:12" x14ac:dyDescent="0.2">
      <c r="A543" s="38" t="s">
        <v>117</v>
      </c>
      <c r="B543" s="76">
        <v>30</v>
      </c>
      <c r="C543" s="76" t="s">
        <v>213</v>
      </c>
      <c r="D543" s="76" t="s">
        <v>213</v>
      </c>
      <c r="E543" s="76" t="s">
        <v>213</v>
      </c>
      <c r="F543" s="76">
        <v>3</v>
      </c>
      <c r="G543" s="42">
        <v>3</v>
      </c>
      <c r="H543" s="76">
        <v>1</v>
      </c>
      <c r="I543" s="42" t="s">
        <v>213</v>
      </c>
      <c r="J543" s="42" t="s">
        <v>213</v>
      </c>
      <c r="K543" s="42" t="s">
        <v>213</v>
      </c>
      <c r="L543" s="42" t="s">
        <v>213</v>
      </c>
    </row>
    <row r="544" spans="1:12" x14ac:dyDescent="0.2">
      <c r="A544" s="38" t="s">
        <v>118</v>
      </c>
      <c r="B544" s="76" t="s">
        <v>213</v>
      </c>
      <c r="C544" s="76" t="s">
        <v>213</v>
      </c>
      <c r="D544" s="76" t="s">
        <v>213</v>
      </c>
      <c r="E544" s="76" t="s">
        <v>213</v>
      </c>
      <c r="F544" s="76" t="s">
        <v>213</v>
      </c>
      <c r="G544" s="42" t="s">
        <v>213</v>
      </c>
      <c r="H544" s="76" t="s">
        <v>213</v>
      </c>
      <c r="I544" s="42" t="s">
        <v>213</v>
      </c>
      <c r="J544" s="42" t="s">
        <v>213</v>
      </c>
      <c r="K544" s="42" t="s">
        <v>213</v>
      </c>
      <c r="L544" s="42" t="s">
        <v>213</v>
      </c>
    </row>
    <row r="545" spans="1:12" x14ac:dyDescent="0.2">
      <c r="A545" s="38" t="s">
        <v>119</v>
      </c>
      <c r="B545" s="76">
        <v>13</v>
      </c>
      <c r="C545" s="76">
        <v>31</v>
      </c>
      <c r="D545" s="76" t="s">
        <v>213</v>
      </c>
      <c r="E545" s="76" t="s">
        <v>213</v>
      </c>
      <c r="F545" s="76">
        <v>5</v>
      </c>
      <c r="G545" s="42" t="s">
        <v>213</v>
      </c>
      <c r="H545" s="76" t="s">
        <v>213</v>
      </c>
      <c r="I545" s="42" t="s">
        <v>213</v>
      </c>
      <c r="J545" s="42" t="s">
        <v>213</v>
      </c>
      <c r="K545" s="42" t="s">
        <v>213</v>
      </c>
      <c r="L545" s="42" t="s">
        <v>213</v>
      </c>
    </row>
    <row r="546" spans="1:12" x14ac:dyDescent="0.2">
      <c r="A546" s="38" t="s">
        <v>120</v>
      </c>
      <c r="B546" s="76" t="s">
        <v>213</v>
      </c>
      <c r="C546" s="76">
        <v>1</v>
      </c>
      <c r="D546" s="76">
        <v>5</v>
      </c>
      <c r="E546" s="76" t="s">
        <v>213</v>
      </c>
      <c r="F546" s="76">
        <v>8</v>
      </c>
      <c r="G546" s="42">
        <v>4</v>
      </c>
      <c r="H546" s="76">
        <v>10</v>
      </c>
      <c r="I546" s="76">
        <v>1</v>
      </c>
      <c r="J546" s="76">
        <v>6</v>
      </c>
      <c r="K546" s="42">
        <v>49</v>
      </c>
      <c r="L546" s="42">
        <v>27</v>
      </c>
    </row>
    <row r="547" spans="1:12" x14ac:dyDescent="0.2">
      <c r="A547" s="38" t="s">
        <v>121</v>
      </c>
      <c r="B547" s="76" t="s">
        <v>213</v>
      </c>
      <c r="C547" s="76" t="s">
        <v>213</v>
      </c>
      <c r="D547" s="76" t="s">
        <v>213</v>
      </c>
      <c r="E547" s="76" t="s">
        <v>213</v>
      </c>
      <c r="F547" s="76" t="s">
        <v>213</v>
      </c>
      <c r="G547" s="42" t="s">
        <v>213</v>
      </c>
      <c r="H547" s="76" t="s">
        <v>213</v>
      </c>
      <c r="I547" s="42" t="s">
        <v>213</v>
      </c>
      <c r="J547" s="42" t="s">
        <v>213</v>
      </c>
      <c r="K547" s="42" t="s">
        <v>213</v>
      </c>
      <c r="L547" s="42" t="s">
        <v>213</v>
      </c>
    </row>
    <row r="548" spans="1:12" x14ac:dyDescent="0.2">
      <c r="A548" s="38" t="s">
        <v>123</v>
      </c>
      <c r="B548" s="76">
        <v>251</v>
      </c>
      <c r="C548" s="76">
        <v>344</v>
      </c>
      <c r="D548" s="76">
        <v>204</v>
      </c>
      <c r="E548" s="76">
        <v>125</v>
      </c>
      <c r="F548" s="76">
        <v>72</v>
      </c>
      <c r="G548" s="42">
        <v>208</v>
      </c>
      <c r="H548" s="76">
        <v>216</v>
      </c>
      <c r="I548" s="76">
        <v>21</v>
      </c>
      <c r="J548" s="76" t="s">
        <v>213</v>
      </c>
      <c r="K548" s="42">
        <v>4</v>
      </c>
      <c r="L548" s="42">
        <v>5</v>
      </c>
    </row>
    <row r="549" spans="1:12" x14ac:dyDescent="0.2">
      <c r="A549" s="38" t="s">
        <v>124</v>
      </c>
      <c r="B549" s="76">
        <v>2192</v>
      </c>
      <c r="C549" s="76">
        <v>2829</v>
      </c>
      <c r="D549" s="76">
        <v>4037</v>
      </c>
      <c r="E549" s="76">
        <v>4523</v>
      </c>
      <c r="F549" s="76">
        <v>4554</v>
      </c>
      <c r="G549" s="42">
        <v>3903</v>
      </c>
      <c r="H549" s="76">
        <v>4491</v>
      </c>
      <c r="I549" s="76">
        <v>2791</v>
      </c>
      <c r="J549" s="76">
        <v>2337</v>
      </c>
      <c r="K549" s="42">
        <v>3085</v>
      </c>
      <c r="L549" s="42">
        <v>4358</v>
      </c>
    </row>
    <row r="550" spans="1:12" x14ac:dyDescent="0.2">
      <c r="A550" s="38" t="s">
        <v>125</v>
      </c>
      <c r="B550" s="76" t="s">
        <v>213</v>
      </c>
      <c r="C550" s="76" t="s">
        <v>213</v>
      </c>
      <c r="D550" s="76" t="s">
        <v>213</v>
      </c>
      <c r="E550" s="76" t="s">
        <v>213</v>
      </c>
      <c r="F550" s="76" t="s">
        <v>213</v>
      </c>
      <c r="G550" s="42" t="s">
        <v>213</v>
      </c>
      <c r="H550" s="76" t="s">
        <v>213</v>
      </c>
      <c r="I550" s="42" t="s">
        <v>213</v>
      </c>
      <c r="J550" s="42" t="s">
        <v>213</v>
      </c>
      <c r="K550" s="42" t="s">
        <v>213</v>
      </c>
      <c r="L550" s="42" t="s">
        <v>213</v>
      </c>
    </row>
    <row r="551" spans="1:12" x14ac:dyDescent="0.2">
      <c r="A551" s="38" t="s">
        <v>126</v>
      </c>
      <c r="B551" s="76">
        <v>428</v>
      </c>
      <c r="C551" s="76">
        <v>250</v>
      </c>
      <c r="D551" s="76">
        <v>63</v>
      </c>
      <c r="E551" s="76">
        <v>263</v>
      </c>
      <c r="F551" s="76">
        <v>74</v>
      </c>
      <c r="G551" s="42">
        <v>88</v>
      </c>
      <c r="H551" s="76">
        <v>87</v>
      </c>
      <c r="I551" s="76">
        <v>102</v>
      </c>
      <c r="J551" s="76">
        <v>94</v>
      </c>
      <c r="K551" s="42">
        <v>74</v>
      </c>
      <c r="L551" s="42">
        <v>113</v>
      </c>
    </row>
    <row r="552" spans="1:12" x14ac:dyDescent="0.2">
      <c r="A552" s="38" t="s">
        <v>127</v>
      </c>
      <c r="B552" s="76">
        <v>964</v>
      </c>
      <c r="C552" s="76">
        <v>809</v>
      </c>
      <c r="D552" s="76">
        <v>751</v>
      </c>
      <c r="E552" s="76">
        <v>763</v>
      </c>
      <c r="F552" s="76">
        <v>799</v>
      </c>
      <c r="G552" s="42">
        <v>676</v>
      </c>
      <c r="H552" s="76">
        <v>381</v>
      </c>
      <c r="I552" s="76">
        <v>488</v>
      </c>
      <c r="J552" s="76">
        <v>573</v>
      </c>
      <c r="K552" s="42">
        <v>377</v>
      </c>
      <c r="L552" s="42">
        <v>267</v>
      </c>
    </row>
    <row r="553" spans="1:12" x14ac:dyDescent="0.2">
      <c r="A553" s="38" t="s">
        <v>129</v>
      </c>
      <c r="B553" s="76">
        <v>535</v>
      </c>
      <c r="C553" s="76">
        <v>146</v>
      </c>
      <c r="D553" s="76">
        <v>151</v>
      </c>
      <c r="E553" s="76">
        <v>234</v>
      </c>
      <c r="F553" s="76">
        <v>66</v>
      </c>
      <c r="G553" s="42">
        <v>154</v>
      </c>
      <c r="H553" s="76" t="s">
        <v>213</v>
      </c>
      <c r="I553" s="76">
        <v>23</v>
      </c>
      <c r="J553" s="76" t="s">
        <v>213</v>
      </c>
      <c r="K553" s="42" t="s">
        <v>213</v>
      </c>
      <c r="L553" s="42" t="s">
        <v>213</v>
      </c>
    </row>
    <row r="554" spans="1:12" x14ac:dyDescent="0.2">
      <c r="A554" s="38" t="s">
        <v>128</v>
      </c>
      <c r="B554" s="76">
        <v>179</v>
      </c>
      <c r="C554" s="76">
        <v>267</v>
      </c>
      <c r="D554" s="76">
        <v>8</v>
      </c>
      <c r="E554" s="76">
        <v>61</v>
      </c>
      <c r="F554" s="76">
        <v>468</v>
      </c>
      <c r="G554" s="42">
        <v>32</v>
      </c>
      <c r="H554" s="76">
        <v>38</v>
      </c>
      <c r="I554" s="42" t="s">
        <v>213</v>
      </c>
      <c r="J554" s="42" t="s">
        <v>213</v>
      </c>
      <c r="K554" s="42">
        <v>356</v>
      </c>
      <c r="L554" s="42">
        <v>662</v>
      </c>
    </row>
    <row r="555" spans="1:12" x14ac:dyDescent="0.2">
      <c r="A555" s="38" t="s">
        <v>130</v>
      </c>
      <c r="B555" s="76">
        <v>72</v>
      </c>
      <c r="C555" s="76">
        <v>66</v>
      </c>
      <c r="D555" s="76">
        <v>69</v>
      </c>
      <c r="E555" s="76">
        <v>57</v>
      </c>
      <c r="F555" s="76">
        <f>(58+14)</f>
        <v>72</v>
      </c>
      <c r="G555" s="42">
        <v>17</v>
      </c>
      <c r="H555" s="76">
        <v>17</v>
      </c>
      <c r="I555" s="76">
        <v>5</v>
      </c>
      <c r="J555" s="76" t="s">
        <v>213</v>
      </c>
      <c r="K555" s="42">
        <v>1</v>
      </c>
      <c r="L555" s="42" t="s">
        <v>213</v>
      </c>
    </row>
    <row r="556" spans="1:12" x14ac:dyDescent="0.2">
      <c r="A556" s="38" t="s">
        <v>134</v>
      </c>
      <c r="B556" s="76">
        <v>236</v>
      </c>
      <c r="C556" s="76">
        <v>323</v>
      </c>
      <c r="D556" s="76">
        <v>262</v>
      </c>
      <c r="E556" s="76">
        <v>178</v>
      </c>
      <c r="F556" s="76">
        <v>128</v>
      </c>
      <c r="G556" s="42">
        <v>68</v>
      </c>
      <c r="H556" s="76">
        <v>108</v>
      </c>
      <c r="I556" s="76">
        <v>96</v>
      </c>
      <c r="J556" s="76">
        <v>153</v>
      </c>
      <c r="K556" s="42">
        <v>219</v>
      </c>
      <c r="L556" s="42">
        <v>216</v>
      </c>
    </row>
    <row r="557" spans="1:12" s="40" customFormat="1" ht="11.4" x14ac:dyDescent="0.2">
      <c r="A557" s="38" t="s">
        <v>135</v>
      </c>
      <c r="B557" s="76">
        <v>770</v>
      </c>
      <c r="C557" s="76">
        <v>454</v>
      </c>
      <c r="D557" s="76">
        <v>519</v>
      </c>
      <c r="E557" s="76">
        <v>584</v>
      </c>
      <c r="F557" s="76">
        <v>257</v>
      </c>
      <c r="G557" s="42">
        <v>267</v>
      </c>
      <c r="H557" s="76">
        <v>253</v>
      </c>
      <c r="I557" s="76">
        <v>123</v>
      </c>
      <c r="J557" s="76">
        <v>92</v>
      </c>
      <c r="K557" s="42">
        <v>50</v>
      </c>
      <c r="L557" s="42">
        <v>102</v>
      </c>
    </row>
    <row r="558" spans="1:12" s="45" customFormat="1" x14ac:dyDescent="0.2">
      <c r="A558" s="38" t="s">
        <v>136</v>
      </c>
      <c r="B558" s="76">
        <v>1252</v>
      </c>
      <c r="C558" s="76">
        <v>1004</v>
      </c>
      <c r="D558" s="76">
        <v>658</v>
      </c>
      <c r="E558" s="76">
        <v>527</v>
      </c>
      <c r="F558" s="76">
        <v>605</v>
      </c>
      <c r="G558" s="42">
        <v>576</v>
      </c>
      <c r="H558" s="76">
        <v>580</v>
      </c>
      <c r="I558" s="76">
        <v>522</v>
      </c>
      <c r="J558" s="76">
        <v>500</v>
      </c>
      <c r="K558" s="42">
        <v>466</v>
      </c>
      <c r="L558" s="42">
        <v>344</v>
      </c>
    </row>
    <row r="559" spans="1:12" x14ac:dyDescent="0.2">
      <c r="A559" s="38" t="s">
        <v>137</v>
      </c>
      <c r="B559" s="76" t="s">
        <v>213</v>
      </c>
      <c r="C559" s="76" t="s">
        <v>213</v>
      </c>
      <c r="D559" s="76" t="s">
        <v>213</v>
      </c>
      <c r="E559" s="76" t="s">
        <v>213</v>
      </c>
      <c r="F559" s="76" t="s">
        <v>213</v>
      </c>
      <c r="G559" s="42" t="s">
        <v>213</v>
      </c>
      <c r="H559" s="76" t="s">
        <v>213</v>
      </c>
      <c r="I559" s="42" t="s">
        <v>213</v>
      </c>
      <c r="J559" s="42" t="s">
        <v>213</v>
      </c>
      <c r="K559" s="42" t="s">
        <v>213</v>
      </c>
      <c r="L559" s="42" t="s">
        <v>213</v>
      </c>
    </row>
    <row r="560" spans="1:12" x14ac:dyDescent="0.2">
      <c r="A560" s="38" t="s">
        <v>141</v>
      </c>
      <c r="B560" s="76" t="s">
        <v>213</v>
      </c>
      <c r="C560" s="76" t="s">
        <v>213</v>
      </c>
      <c r="D560" s="76" t="s">
        <v>213</v>
      </c>
      <c r="E560" s="76" t="s">
        <v>213</v>
      </c>
      <c r="F560" s="76" t="s">
        <v>213</v>
      </c>
      <c r="G560" s="42" t="s">
        <v>213</v>
      </c>
      <c r="H560" s="76" t="s">
        <v>213</v>
      </c>
      <c r="I560" s="42" t="s">
        <v>213</v>
      </c>
      <c r="J560" s="42" t="s">
        <v>213</v>
      </c>
      <c r="K560" s="42" t="s">
        <v>213</v>
      </c>
      <c r="L560" s="42">
        <v>1</v>
      </c>
    </row>
    <row r="561" spans="1:12" s="45" customFormat="1" x14ac:dyDescent="0.2">
      <c r="A561" s="38" t="s">
        <v>142</v>
      </c>
      <c r="B561" s="76" t="s">
        <v>213</v>
      </c>
      <c r="C561" s="76">
        <v>2</v>
      </c>
      <c r="D561" s="76">
        <v>47</v>
      </c>
      <c r="E561" s="76" t="s">
        <v>213</v>
      </c>
      <c r="F561" s="76" t="s">
        <v>213</v>
      </c>
      <c r="G561" s="42">
        <v>2</v>
      </c>
      <c r="H561" s="76">
        <v>2</v>
      </c>
      <c r="I561" s="76">
        <f>(1+0)</f>
        <v>1</v>
      </c>
      <c r="J561" s="76">
        <v>2</v>
      </c>
      <c r="K561" s="42">
        <v>1</v>
      </c>
      <c r="L561" s="42" t="s">
        <v>213</v>
      </c>
    </row>
    <row r="562" spans="1:12" s="45" customFormat="1" x14ac:dyDescent="0.2">
      <c r="A562" s="38" t="s">
        <v>143</v>
      </c>
      <c r="B562" s="76">
        <v>893</v>
      </c>
      <c r="C562" s="76">
        <v>387</v>
      </c>
      <c r="D562" s="76">
        <v>140</v>
      </c>
      <c r="E562" s="76">
        <v>203</v>
      </c>
      <c r="F562" s="76">
        <v>77</v>
      </c>
      <c r="G562" s="42">
        <v>68</v>
      </c>
      <c r="H562" s="76">
        <v>108</v>
      </c>
      <c r="I562" s="76">
        <v>133</v>
      </c>
      <c r="J562" s="76">
        <v>147</v>
      </c>
      <c r="K562" s="42">
        <v>153</v>
      </c>
      <c r="L562" s="42">
        <v>101</v>
      </c>
    </row>
    <row r="563" spans="1:12" s="45" customFormat="1" x14ac:dyDescent="0.2">
      <c r="A563" s="38" t="s">
        <v>144</v>
      </c>
      <c r="B563" s="76">
        <v>53</v>
      </c>
      <c r="C563" s="76">
        <v>120</v>
      </c>
      <c r="D563" s="76">
        <v>37</v>
      </c>
      <c r="E563" s="76">
        <v>20</v>
      </c>
      <c r="F563" s="76" t="s">
        <v>213</v>
      </c>
      <c r="G563" s="42" t="s">
        <v>213</v>
      </c>
      <c r="H563" s="76">
        <v>1</v>
      </c>
      <c r="I563" s="42" t="s">
        <v>213</v>
      </c>
      <c r="J563" s="42" t="s">
        <v>213</v>
      </c>
      <c r="K563" s="42" t="s">
        <v>213</v>
      </c>
      <c r="L563" s="42" t="s">
        <v>213</v>
      </c>
    </row>
    <row r="564" spans="1:12" s="45" customFormat="1" x14ac:dyDescent="0.2">
      <c r="A564" s="38" t="s">
        <v>145</v>
      </c>
      <c r="B564" s="76" t="s">
        <v>213</v>
      </c>
      <c r="C564" s="76" t="s">
        <v>213</v>
      </c>
      <c r="D564" s="76" t="s">
        <v>213</v>
      </c>
      <c r="E564" s="76" t="s">
        <v>213</v>
      </c>
      <c r="F564" s="76">
        <v>7</v>
      </c>
      <c r="G564" s="42">
        <v>4</v>
      </c>
      <c r="H564" s="76">
        <f>(47+16)</f>
        <v>63</v>
      </c>
      <c r="I564" s="42" t="s">
        <v>213</v>
      </c>
      <c r="J564" s="42" t="s">
        <v>213</v>
      </c>
      <c r="K564" s="42" t="s">
        <v>213</v>
      </c>
      <c r="L564" s="42" t="s">
        <v>213</v>
      </c>
    </row>
    <row r="565" spans="1:12" x14ac:dyDescent="0.2">
      <c r="A565" s="38" t="s">
        <v>175</v>
      </c>
      <c r="B565" s="76" t="s">
        <v>213</v>
      </c>
      <c r="C565" s="76" t="s">
        <v>213</v>
      </c>
      <c r="D565" s="76" t="s">
        <v>213</v>
      </c>
      <c r="E565" s="76" t="s">
        <v>213</v>
      </c>
      <c r="F565" s="76" t="s">
        <v>213</v>
      </c>
      <c r="G565" s="42" t="s">
        <v>213</v>
      </c>
      <c r="H565" s="76" t="s">
        <v>213</v>
      </c>
      <c r="I565" s="42" t="s">
        <v>213</v>
      </c>
      <c r="J565" s="42" t="s">
        <v>213</v>
      </c>
      <c r="K565" s="42" t="s">
        <v>213</v>
      </c>
      <c r="L565" s="42" t="s">
        <v>213</v>
      </c>
    </row>
    <row r="566" spans="1:12" x14ac:dyDescent="0.2">
      <c r="A566" s="46" t="s">
        <v>82</v>
      </c>
      <c r="B566" s="91">
        <f>SUM(D567:D575)</f>
        <v>202</v>
      </c>
      <c r="C566" s="91">
        <v>192</v>
      </c>
      <c r="D566" s="91">
        <v>202</v>
      </c>
      <c r="E566" s="91">
        <v>285</v>
      </c>
      <c r="F566" s="91">
        <v>205</v>
      </c>
      <c r="G566" s="53">
        <v>267</v>
      </c>
      <c r="H566" s="91">
        <v>127</v>
      </c>
      <c r="I566" s="91">
        <v>47</v>
      </c>
      <c r="J566" s="91">
        <v>92</v>
      </c>
      <c r="K566" s="53">
        <v>73</v>
      </c>
      <c r="L566" s="53">
        <f>SUM(L567:L575)</f>
        <v>88</v>
      </c>
    </row>
    <row r="567" spans="1:12" x14ac:dyDescent="0.2">
      <c r="A567" s="38" t="s">
        <v>86</v>
      </c>
      <c r="B567" s="76">
        <v>167</v>
      </c>
      <c r="C567" s="76">
        <v>137</v>
      </c>
      <c r="D567" s="76">
        <v>135</v>
      </c>
      <c r="E567" s="76">
        <v>249</v>
      </c>
      <c r="F567" s="76">
        <v>165</v>
      </c>
      <c r="G567" s="42">
        <v>205</v>
      </c>
      <c r="H567" s="76">
        <v>87</v>
      </c>
      <c r="I567" s="76">
        <v>3</v>
      </c>
      <c r="J567" s="76">
        <v>36</v>
      </c>
      <c r="K567" s="42">
        <v>16</v>
      </c>
      <c r="L567" s="42">
        <v>13</v>
      </c>
    </row>
    <row r="568" spans="1:12" ht="9" customHeight="1" x14ac:dyDescent="0.2">
      <c r="A568" s="38" t="s">
        <v>88</v>
      </c>
      <c r="B568" s="76">
        <v>37</v>
      </c>
      <c r="C568" s="76">
        <v>51</v>
      </c>
      <c r="D568" s="76">
        <v>64</v>
      </c>
      <c r="E568" s="76">
        <v>36</v>
      </c>
      <c r="F568" s="76">
        <v>40</v>
      </c>
      <c r="G568" s="42">
        <v>62</v>
      </c>
      <c r="H568" s="76">
        <v>40</v>
      </c>
      <c r="I568" s="76">
        <v>44</v>
      </c>
      <c r="J568" s="76">
        <v>56</v>
      </c>
      <c r="K568" s="42">
        <v>57</v>
      </c>
      <c r="L568" s="42">
        <v>75</v>
      </c>
    </row>
    <row r="569" spans="1:12" x14ac:dyDescent="0.2">
      <c r="A569" s="38" t="s">
        <v>90</v>
      </c>
      <c r="B569" s="76" t="s">
        <v>213</v>
      </c>
      <c r="C569" s="76">
        <v>1</v>
      </c>
      <c r="D569" s="76">
        <v>1</v>
      </c>
      <c r="E569" s="76" t="s">
        <v>213</v>
      </c>
      <c r="F569" s="76" t="s">
        <v>213</v>
      </c>
      <c r="G569" s="42" t="s">
        <v>213</v>
      </c>
      <c r="H569" s="76" t="s">
        <v>213</v>
      </c>
      <c r="I569" s="42" t="s">
        <v>213</v>
      </c>
      <c r="J569" s="42" t="s">
        <v>213</v>
      </c>
      <c r="K569" s="95" t="s">
        <v>213</v>
      </c>
      <c r="L569" s="95" t="s">
        <v>213</v>
      </c>
    </row>
    <row r="570" spans="1:12" x14ac:dyDescent="0.2">
      <c r="A570" s="38" t="s">
        <v>92</v>
      </c>
      <c r="B570" s="76">
        <v>3</v>
      </c>
      <c r="C570" s="76">
        <v>3</v>
      </c>
      <c r="D570" s="76">
        <v>1</v>
      </c>
      <c r="E570" s="76" t="s">
        <v>213</v>
      </c>
      <c r="F570" s="76" t="s">
        <v>213</v>
      </c>
      <c r="G570" s="42" t="s">
        <v>213</v>
      </c>
      <c r="H570" s="76" t="s">
        <v>213</v>
      </c>
      <c r="I570" s="42" t="s">
        <v>213</v>
      </c>
      <c r="J570" s="42" t="s">
        <v>213</v>
      </c>
      <c r="K570" s="42" t="s">
        <v>213</v>
      </c>
      <c r="L570" s="42" t="s">
        <v>213</v>
      </c>
    </row>
    <row r="571" spans="1:12" ht="10.5" customHeight="1" x14ac:dyDescent="0.2">
      <c r="A571" s="38" t="s">
        <v>93</v>
      </c>
      <c r="B571" s="76" t="s">
        <v>213</v>
      </c>
      <c r="C571" s="76" t="s">
        <v>213</v>
      </c>
      <c r="D571" s="76" t="s">
        <v>213</v>
      </c>
      <c r="E571" s="76" t="s">
        <v>213</v>
      </c>
      <c r="F571" s="76" t="s">
        <v>213</v>
      </c>
      <c r="G571" s="42" t="s">
        <v>213</v>
      </c>
      <c r="H571" s="76" t="s">
        <v>213</v>
      </c>
      <c r="I571" s="42" t="s">
        <v>213</v>
      </c>
      <c r="J571" s="42" t="s">
        <v>213</v>
      </c>
      <c r="K571" s="42" t="s">
        <v>213</v>
      </c>
      <c r="L571" s="42" t="s">
        <v>213</v>
      </c>
    </row>
    <row r="572" spans="1:12" x14ac:dyDescent="0.2">
      <c r="A572" s="38" t="s">
        <v>96</v>
      </c>
      <c r="B572" s="76" t="s">
        <v>213</v>
      </c>
      <c r="C572" s="76" t="s">
        <v>213</v>
      </c>
      <c r="D572" s="76">
        <v>1</v>
      </c>
      <c r="E572" s="76" t="s">
        <v>213</v>
      </c>
      <c r="F572" s="76" t="s">
        <v>213</v>
      </c>
      <c r="G572" s="42" t="s">
        <v>213</v>
      </c>
      <c r="H572" s="76" t="s">
        <v>213</v>
      </c>
      <c r="I572" s="42" t="s">
        <v>213</v>
      </c>
      <c r="J572" s="42" t="s">
        <v>213</v>
      </c>
      <c r="K572" s="42" t="s">
        <v>213</v>
      </c>
      <c r="L572" s="42" t="s">
        <v>213</v>
      </c>
    </row>
    <row r="573" spans="1:12" x14ac:dyDescent="0.2">
      <c r="A573" s="38" t="s">
        <v>105</v>
      </c>
      <c r="B573" s="76" t="s">
        <v>213</v>
      </c>
      <c r="C573" s="76" t="s">
        <v>213</v>
      </c>
      <c r="D573" s="76" t="s">
        <v>213</v>
      </c>
      <c r="E573" s="76" t="s">
        <v>213</v>
      </c>
      <c r="F573" s="76" t="s">
        <v>213</v>
      </c>
      <c r="G573" s="42" t="s">
        <v>213</v>
      </c>
      <c r="H573" s="76" t="s">
        <v>213</v>
      </c>
      <c r="I573" s="42" t="s">
        <v>213</v>
      </c>
      <c r="J573" s="42" t="s">
        <v>213</v>
      </c>
      <c r="K573" s="96" t="s">
        <v>213</v>
      </c>
      <c r="L573" s="96" t="s">
        <v>213</v>
      </c>
    </row>
    <row r="574" spans="1:12" x14ac:dyDescent="0.2">
      <c r="A574" s="38" t="s">
        <v>106</v>
      </c>
      <c r="B574" s="76" t="s">
        <v>213</v>
      </c>
      <c r="C574" s="76" t="s">
        <v>213</v>
      </c>
      <c r="D574" s="76" t="s">
        <v>213</v>
      </c>
      <c r="E574" s="76" t="s">
        <v>213</v>
      </c>
      <c r="F574" s="76" t="s">
        <v>213</v>
      </c>
      <c r="G574" s="42" t="s">
        <v>213</v>
      </c>
      <c r="H574" s="76" t="s">
        <v>213</v>
      </c>
      <c r="I574" s="42" t="s">
        <v>213</v>
      </c>
      <c r="J574" s="42" t="s">
        <v>213</v>
      </c>
      <c r="K574" s="42" t="s">
        <v>213</v>
      </c>
      <c r="L574" s="42" t="s">
        <v>213</v>
      </c>
    </row>
    <row r="575" spans="1:12" x14ac:dyDescent="0.2">
      <c r="A575" s="55" t="s">
        <v>177</v>
      </c>
      <c r="B575" s="76" t="s">
        <v>213</v>
      </c>
      <c r="C575" s="76" t="s">
        <v>213</v>
      </c>
      <c r="D575" s="76" t="s">
        <v>213</v>
      </c>
      <c r="E575" s="76" t="s">
        <v>213</v>
      </c>
      <c r="F575" s="76" t="s">
        <v>213</v>
      </c>
      <c r="G575" s="42" t="s">
        <v>213</v>
      </c>
      <c r="H575" s="76" t="s">
        <v>213</v>
      </c>
      <c r="I575" s="42" t="s">
        <v>213</v>
      </c>
      <c r="J575" s="42" t="s">
        <v>213</v>
      </c>
      <c r="K575" s="42" t="s">
        <v>213</v>
      </c>
      <c r="L575" s="42" t="s">
        <v>213</v>
      </c>
    </row>
    <row r="576" spans="1:12" x14ac:dyDescent="0.2">
      <c r="A576" s="46" t="s">
        <v>146</v>
      </c>
      <c r="B576" s="91">
        <f>SUM(B577:B578)</f>
        <v>95</v>
      </c>
      <c r="C576" s="91">
        <v>15</v>
      </c>
      <c r="D576" s="91">
        <v>7</v>
      </c>
      <c r="E576" s="91">
        <v>42</v>
      </c>
      <c r="F576" s="91">
        <v>27</v>
      </c>
      <c r="G576" s="52">
        <v>5</v>
      </c>
      <c r="H576" s="91">
        <v>27</v>
      </c>
      <c r="I576" s="91">
        <v>6</v>
      </c>
      <c r="J576" s="91">
        <v>24</v>
      </c>
      <c r="K576" s="46">
        <v>35</v>
      </c>
      <c r="L576" s="53">
        <f>SUM(L577:L578)</f>
        <v>15</v>
      </c>
    </row>
    <row r="577" spans="1:46" x14ac:dyDescent="0.2">
      <c r="A577" s="38" t="s">
        <v>147</v>
      </c>
      <c r="B577" s="76">
        <v>95</v>
      </c>
      <c r="C577" s="76">
        <v>15</v>
      </c>
      <c r="D577" s="76">
        <v>7</v>
      </c>
      <c r="E577" s="76">
        <v>42</v>
      </c>
      <c r="F577" s="76">
        <v>27</v>
      </c>
      <c r="G577" s="42">
        <v>5</v>
      </c>
      <c r="H577" s="76">
        <v>27</v>
      </c>
      <c r="I577" s="76">
        <v>6</v>
      </c>
      <c r="J577" s="76">
        <v>24</v>
      </c>
      <c r="K577" s="42">
        <v>35</v>
      </c>
      <c r="L577" s="42">
        <v>15</v>
      </c>
    </row>
    <row r="578" spans="1:46" x14ac:dyDescent="0.2">
      <c r="A578" s="38" t="s">
        <v>149</v>
      </c>
      <c r="B578" s="76" t="s">
        <v>213</v>
      </c>
      <c r="C578" s="76" t="s">
        <v>213</v>
      </c>
      <c r="D578" s="76" t="s">
        <v>213</v>
      </c>
      <c r="E578" s="76" t="s">
        <v>213</v>
      </c>
      <c r="F578" s="76" t="s">
        <v>213</v>
      </c>
      <c r="G578" s="42" t="s">
        <v>213</v>
      </c>
      <c r="H578" s="76" t="s">
        <v>213</v>
      </c>
      <c r="I578" s="42" t="s">
        <v>213</v>
      </c>
      <c r="J578" s="42" t="s">
        <v>213</v>
      </c>
      <c r="K578" s="42" t="s">
        <v>213</v>
      </c>
      <c r="L578" s="42" t="s">
        <v>213</v>
      </c>
    </row>
    <row r="579" spans="1:46" x14ac:dyDescent="0.2">
      <c r="G579" s="43"/>
      <c r="H579" s="41"/>
      <c r="I579" s="42"/>
      <c r="J579" s="43"/>
      <c r="L579" s="38"/>
    </row>
    <row r="580" spans="1:46" x14ac:dyDescent="0.2">
      <c r="L580" s="38"/>
    </row>
    <row r="581" spans="1:46" s="97" customFormat="1" x14ac:dyDescent="0.2">
      <c r="A581" s="38"/>
      <c r="B581" s="38"/>
      <c r="C581" s="38"/>
      <c r="D581" s="38"/>
      <c r="E581" s="38"/>
      <c r="F581" s="38"/>
      <c r="G581" s="38"/>
      <c r="H581" s="38"/>
      <c r="I581" s="41"/>
      <c r="J581" s="42"/>
      <c r="K581" s="43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  <c r="AA581" s="81"/>
      <c r="AB581" s="81"/>
      <c r="AC581" s="81"/>
      <c r="AD581" s="81"/>
      <c r="AE581" s="81"/>
      <c r="AF581" s="81"/>
      <c r="AG581" s="81"/>
      <c r="AH581" s="81"/>
      <c r="AI581" s="81"/>
      <c r="AJ581" s="81"/>
      <c r="AK581" s="81"/>
      <c r="AL581" s="81"/>
      <c r="AM581" s="81"/>
      <c r="AN581" s="81"/>
      <c r="AO581" s="81"/>
      <c r="AP581" s="81"/>
      <c r="AQ581" s="81"/>
      <c r="AR581" s="81"/>
      <c r="AS581" s="81"/>
      <c r="AT581" s="81"/>
    </row>
    <row r="582" spans="1:46" s="81" customFormat="1" x14ac:dyDescent="0.2">
      <c r="A582" s="38"/>
      <c r="B582" s="38"/>
      <c r="C582" s="38"/>
      <c r="D582" s="38"/>
      <c r="E582" s="38"/>
      <c r="F582" s="38"/>
      <c r="G582" s="38"/>
      <c r="H582" s="38"/>
      <c r="I582" s="41"/>
      <c r="J582" s="42"/>
      <c r="K582" s="43"/>
    </row>
    <row r="583" spans="1:46" s="81" customFormat="1" x14ac:dyDescent="0.2">
      <c r="A583" s="38"/>
      <c r="B583" s="38"/>
      <c r="C583" s="38"/>
      <c r="D583" s="38"/>
      <c r="E583" s="38"/>
      <c r="F583" s="38"/>
      <c r="G583" s="38"/>
      <c r="H583" s="38"/>
      <c r="I583" s="41"/>
      <c r="J583" s="42"/>
      <c r="K583" s="43"/>
    </row>
    <row r="584" spans="1:46" s="81" customFormat="1" x14ac:dyDescent="0.2">
      <c r="A584" s="38"/>
      <c r="B584" s="38"/>
      <c r="C584" s="38"/>
      <c r="D584" s="38"/>
      <c r="E584" s="38"/>
      <c r="F584" s="38"/>
      <c r="G584" s="38"/>
      <c r="H584" s="38"/>
      <c r="I584" s="41"/>
      <c r="J584" s="42"/>
      <c r="K584" s="43"/>
    </row>
    <row r="585" spans="1:46" s="81" customFormat="1" x14ac:dyDescent="0.2">
      <c r="A585" s="38"/>
      <c r="B585" s="38"/>
      <c r="C585" s="38"/>
      <c r="D585" s="38"/>
      <c r="E585" s="38"/>
      <c r="F585" s="38"/>
      <c r="G585" s="38"/>
      <c r="H585" s="38"/>
      <c r="I585" s="41"/>
      <c r="J585" s="42"/>
      <c r="K585" s="43"/>
    </row>
    <row r="586" spans="1:46" s="81" customFormat="1" x14ac:dyDescent="0.2">
      <c r="A586" s="38"/>
      <c r="B586" s="38"/>
      <c r="C586" s="38"/>
      <c r="D586" s="38"/>
      <c r="E586" s="38"/>
      <c r="F586" s="38"/>
      <c r="G586" s="38"/>
      <c r="H586" s="38"/>
      <c r="I586" s="41"/>
      <c r="J586" s="42"/>
      <c r="K586" s="43"/>
    </row>
    <row r="587" spans="1:46" s="81" customFormat="1" x14ac:dyDescent="0.2">
      <c r="A587" s="38"/>
      <c r="B587" s="38"/>
      <c r="C587" s="38"/>
      <c r="D587" s="38"/>
      <c r="E587" s="38"/>
      <c r="F587" s="38"/>
      <c r="G587" s="38"/>
      <c r="H587" s="38"/>
      <c r="I587" s="41"/>
      <c r="J587" s="42"/>
      <c r="K587" s="43"/>
    </row>
    <row r="588" spans="1:46" s="81" customFormat="1" x14ac:dyDescent="0.2">
      <c r="A588" s="38"/>
      <c r="B588" s="38"/>
      <c r="C588" s="38"/>
      <c r="D588" s="38"/>
      <c r="E588" s="38"/>
      <c r="F588" s="38"/>
      <c r="G588" s="38"/>
      <c r="H588" s="38"/>
      <c r="I588" s="41"/>
      <c r="J588" s="42"/>
      <c r="K588" s="43"/>
    </row>
    <row r="589" spans="1:46" s="81" customFormat="1" x14ac:dyDescent="0.2">
      <c r="A589" s="38"/>
      <c r="B589" s="38"/>
      <c r="C589" s="38"/>
      <c r="D589" s="38"/>
      <c r="E589" s="38"/>
      <c r="F589" s="38"/>
      <c r="G589" s="38"/>
      <c r="H589" s="38"/>
      <c r="I589" s="41"/>
      <c r="J589" s="42"/>
      <c r="K589" s="43"/>
    </row>
    <row r="590" spans="1:46" s="81" customFormat="1" x14ac:dyDescent="0.2">
      <c r="A590" s="38"/>
      <c r="B590" s="38"/>
      <c r="C590" s="38"/>
      <c r="D590" s="38"/>
      <c r="E590" s="38"/>
      <c r="F590" s="38"/>
      <c r="G590" s="38"/>
      <c r="H590" s="38"/>
      <c r="I590" s="41"/>
      <c r="J590" s="42"/>
      <c r="K590" s="43"/>
    </row>
    <row r="591" spans="1:46" s="81" customFormat="1" x14ac:dyDescent="0.2">
      <c r="A591" s="38"/>
      <c r="B591" s="38"/>
      <c r="C591" s="38"/>
      <c r="D591" s="38"/>
      <c r="E591" s="38"/>
      <c r="F591" s="38"/>
      <c r="G591" s="38"/>
      <c r="H591" s="38"/>
      <c r="I591" s="41"/>
      <c r="J591" s="42"/>
      <c r="K591" s="43"/>
    </row>
    <row r="592" spans="1:46" s="81" customFormat="1" x14ac:dyDescent="0.2">
      <c r="A592" s="38"/>
      <c r="B592" s="38"/>
      <c r="C592" s="38"/>
      <c r="D592" s="38"/>
      <c r="E592" s="38"/>
      <c r="F592" s="38"/>
      <c r="G592" s="38"/>
      <c r="H592" s="38"/>
      <c r="I592" s="41"/>
      <c r="J592" s="42"/>
      <c r="K592" s="43"/>
    </row>
    <row r="593" spans="1:11" s="81" customFormat="1" x14ac:dyDescent="0.2">
      <c r="A593" s="38"/>
      <c r="B593" s="38"/>
      <c r="C593" s="38"/>
      <c r="D593" s="38"/>
      <c r="E593" s="38"/>
      <c r="F593" s="38"/>
      <c r="G593" s="38"/>
      <c r="H593" s="38"/>
      <c r="I593" s="41"/>
      <c r="J593" s="42"/>
      <c r="K593" s="43"/>
    </row>
    <row r="594" spans="1:11" s="81" customFormat="1" x14ac:dyDescent="0.2">
      <c r="A594" s="38"/>
      <c r="B594" s="38"/>
      <c r="C594" s="38"/>
      <c r="D594" s="38"/>
      <c r="E594" s="38"/>
      <c r="F594" s="38"/>
      <c r="G594" s="38"/>
      <c r="H594" s="38"/>
      <c r="I594" s="41"/>
      <c r="J594" s="42"/>
      <c r="K594" s="43"/>
    </row>
    <row r="595" spans="1:11" s="81" customFormat="1" x14ac:dyDescent="0.2">
      <c r="A595" s="38"/>
      <c r="B595" s="38"/>
      <c r="C595" s="38"/>
      <c r="D595" s="38"/>
      <c r="E595" s="38"/>
      <c r="F595" s="38"/>
      <c r="G595" s="38"/>
      <c r="H595" s="38"/>
      <c r="I595" s="41"/>
      <c r="J595" s="42"/>
      <c r="K595" s="43"/>
    </row>
    <row r="596" spans="1:11" s="81" customFormat="1" x14ac:dyDescent="0.2">
      <c r="A596" s="38"/>
      <c r="B596" s="38"/>
      <c r="C596" s="38"/>
      <c r="D596" s="38"/>
      <c r="E596" s="38"/>
      <c r="F596" s="38"/>
      <c r="G596" s="38"/>
      <c r="H596" s="38"/>
      <c r="I596" s="41"/>
      <c r="J596" s="42"/>
      <c r="K596" s="43"/>
    </row>
    <row r="597" spans="1:11" s="81" customFormat="1" x14ac:dyDescent="0.2">
      <c r="A597" s="38"/>
      <c r="B597" s="38"/>
      <c r="C597" s="38"/>
      <c r="D597" s="38"/>
      <c r="E597" s="38"/>
      <c r="F597" s="38"/>
      <c r="G597" s="38"/>
      <c r="H597" s="38"/>
      <c r="I597" s="41"/>
      <c r="J597" s="42"/>
      <c r="K597" s="43"/>
    </row>
    <row r="598" spans="1:11" s="81" customFormat="1" x14ac:dyDescent="0.2">
      <c r="A598" s="38"/>
      <c r="B598" s="38"/>
      <c r="C598" s="38"/>
      <c r="D598" s="38"/>
      <c r="E598" s="38"/>
      <c r="F598" s="38"/>
      <c r="G598" s="38"/>
      <c r="H598" s="38"/>
      <c r="I598" s="41"/>
      <c r="J598" s="42"/>
      <c r="K598" s="43"/>
    </row>
    <row r="599" spans="1:11" s="81" customFormat="1" x14ac:dyDescent="0.2">
      <c r="A599" s="38"/>
      <c r="B599" s="38"/>
      <c r="C599" s="38"/>
      <c r="D599" s="38"/>
      <c r="E599" s="38"/>
      <c r="F599" s="38"/>
      <c r="G599" s="38"/>
      <c r="H599" s="38"/>
      <c r="I599" s="41"/>
      <c r="J599" s="42"/>
      <c r="K599" s="43"/>
    </row>
    <row r="600" spans="1:11" s="81" customFormat="1" x14ac:dyDescent="0.2">
      <c r="A600" s="38"/>
      <c r="B600" s="38"/>
      <c r="C600" s="38"/>
      <c r="D600" s="38"/>
      <c r="E600" s="38"/>
      <c r="F600" s="38"/>
      <c r="G600" s="38"/>
      <c r="H600" s="38"/>
      <c r="I600" s="41"/>
      <c r="J600" s="42"/>
      <c r="K600" s="43"/>
    </row>
    <row r="601" spans="1:11" s="81" customFormat="1" x14ac:dyDescent="0.2">
      <c r="A601" s="38"/>
      <c r="B601" s="38"/>
      <c r="C601" s="38"/>
      <c r="D601" s="38"/>
      <c r="E601" s="38"/>
      <c r="F601" s="38"/>
      <c r="G601" s="38"/>
      <c r="H601" s="38"/>
      <c r="I601" s="41"/>
      <c r="J601" s="42"/>
      <c r="K601" s="43"/>
    </row>
    <row r="602" spans="1:11" s="81" customFormat="1" x14ac:dyDescent="0.2">
      <c r="A602" s="38"/>
      <c r="B602" s="38"/>
      <c r="C602" s="38"/>
      <c r="D602" s="38"/>
      <c r="E602" s="38"/>
      <c r="F602" s="38"/>
      <c r="G602" s="38"/>
      <c r="H602" s="38"/>
      <c r="I602" s="41"/>
      <c r="J602" s="42"/>
      <c r="K602" s="43"/>
    </row>
    <row r="603" spans="1:11" s="81" customFormat="1" x14ac:dyDescent="0.2">
      <c r="A603" s="38"/>
      <c r="B603" s="38"/>
      <c r="C603" s="38"/>
      <c r="D603" s="38"/>
      <c r="E603" s="38"/>
      <c r="F603" s="38"/>
      <c r="G603" s="38"/>
      <c r="H603" s="38"/>
      <c r="I603" s="41"/>
      <c r="J603" s="42"/>
      <c r="K603" s="43"/>
    </row>
    <row r="604" spans="1:11" s="81" customFormat="1" x14ac:dyDescent="0.2">
      <c r="A604" s="38"/>
      <c r="B604" s="38"/>
      <c r="C604" s="38"/>
      <c r="D604" s="38"/>
      <c r="E604" s="38"/>
      <c r="F604" s="38"/>
      <c r="G604" s="38"/>
      <c r="H604" s="38"/>
      <c r="I604" s="41"/>
      <c r="J604" s="42"/>
      <c r="K604" s="43"/>
    </row>
    <row r="605" spans="1:11" s="81" customFormat="1" x14ac:dyDescent="0.2">
      <c r="A605" s="38"/>
      <c r="B605" s="38"/>
      <c r="C605" s="38"/>
      <c r="D605" s="38"/>
      <c r="E605" s="38"/>
      <c r="F605" s="38"/>
      <c r="G605" s="38"/>
      <c r="H605" s="38"/>
      <c r="I605" s="41"/>
      <c r="J605" s="42"/>
      <c r="K605" s="43"/>
    </row>
    <row r="606" spans="1:11" s="81" customFormat="1" x14ac:dyDescent="0.2">
      <c r="A606" s="38"/>
      <c r="B606" s="38"/>
      <c r="C606" s="38"/>
      <c r="D606" s="38"/>
      <c r="E606" s="38"/>
      <c r="F606" s="38"/>
      <c r="G606" s="38"/>
      <c r="H606" s="38"/>
      <c r="I606" s="41"/>
      <c r="J606" s="42"/>
      <c r="K606" s="43"/>
    </row>
    <row r="607" spans="1:11" s="81" customFormat="1" x14ac:dyDescent="0.2">
      <c r="A607" s="38"/>
      <c r="B607" s="38"/>
      <c r="C607" s="38"/>
      <c r="D607" s="38"/>
      <c r="E607" s="38"/>
      <c r="F607" s="38"/>
      <c r="G607" s="38"/>
      <c r="H607" s="38"/>
      <c r="I607" s="41"/>
      <c r="J607" s="42"/>
      <c r="K607" s="43"/>
    </row>
    <row r="608" spans="1:11" s="81" customFormat="1" x14ac:dyDescent="0.2">
      <c r="A608" s="38"/>
      <c r="B608" s="38"/>
      <c r="C608" s="38"/>
      <c r="D608" s="38"/>
      <c r="E608" s="38"/>
      <c r="F608" s="38"/>
      <c r="G608" s="38"/>
      <c r="H608" s="38"/>
      <c r="I608" s="41"/>
      <c r="J608" s="42"/>
      <c r="K608" s="43"/>
    </row>
    <row r="609" spans="1:46" s="81" customFormat="1" ht="12" x14ac:dyDescent="0.25">
      <c r="A609" s="117" t="s">
        <v>227</v>
      </c>
      <c r="B609" s="117"/>
      <c r="C609" s="117"/>
      <c r="D609" s="117"/>
      <c r="E609" s="117"/>
      <c r="F609" s="117"/>
      <c r="G609" s="117"/>
      <c r="H609" s="117"/>
      <c r="I609" s="117"/>
      <c r="J609" s="117"/>
      <c r="K609" s="117"/>
    </row>
    <row r="610" spans="1:46" ht="10.199999999999999" x14ac:dyDescent="0.2">
      <c r="A610" s="116" t="s">
        <v>0</v>
      </c>
      <c r="B610" s="116"/>
      <c r="C610" s="116"/>
      <c r="D610" s="116"/>
      <c r="E610" s="116"/>
      <c r="F610" s="116"/>
      <c r="G610" s="116"/>
      <c r="H610" s="116"/>
      <c r="I610" s="116"/>
      <c r="J610" s="116"/>
      <c r="K610" s="116"/>
      <c r="L610" s="37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  <c r="Z610" s="81"/>
      <c r="AA610" s="81"/>
      <c r="AB610" s="81"/>
      <c r="AC610" s="81"/>
      <c r="AD610" s="81"/>
      <c r="AE610" s="81"/>
      <c r="AF610" s="81"/>
      <c r="AG610" s="81"/>
      <c r="AH610" s="81"/>
      <c r="AI610" s="81"/>
      <c r="AJ610" s="81"/>
      <c r="AK610" s="81"/>
      <c r="AL610" s="81"/>
      <c r="AM610" s="81"/>
      <c r="AN610" s="81"/>
      <c r="AO610" s="81"/>
      <c r="AP610" s="81"/>
      <c r="AQ610" s="81"/>
      <c r="AR610" s="81"/>
      <c r="AS610" s="81"/>
      <c r="AT610" s="81"/>
    </row>
    <row r="611" spans="1:46" x14ac:dyDescent="0.2"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  <c r="Z611" s="81"/>
      <c r="AA611" s="81"/>
      <c r="AB611" s="81"/>
      <c r="AC611" s="81"/>
      <c r="AD611" s="81"/>
      <c r="AE611" s="81"/>
      <c r="AF611" s="81"/>
      <c r="AG611" s="81"/>
      <c r="AH611" s="81"/>
      <c r="AI611" s="81"/>
      <c r="AJ611" s="81"/>
      <c r="AK611" s="81"/>
      <c r="AL611" s="81"/>
      <c r="AM611" s="81"/>
      <c r="AN611" s="81"/>
      <c r="AO611" s="81"/>
      <c r="AP611" s="81"/>
      <c r="AQ611" s="81"/>
      <c r="AR611" s="81"/>
      <c r="AS611" s="81"/>
      <c r="AT611" s="81"/>
    </row>
    <row r="612" spans="1:46" x14ac:dyDescent="0.2">
      <c r="L612" s="38"/>
    </row>
    <row r="613" spans="1:46" x14ac:dyDescent="0.2">
      <c r="A613" s="46" t="s">
        <v>1</v>
      </c>
      <c r="B613" s="46">
        <v>2007</v>
      </c>
      <c r="C613" s="46">
        <v>2008</v>
      </c>
      <c r="D613" s="46">
        <v>2009</v>
      </c>
      <c r="E613" s="48">
        <v>2010</v>
      </c>
      <c r="F613" s="46">
        <v>2011</v>
      </c>
      <c r="G613" s="47">
        <v>2012</v>
      </c>
      <c r="H613" s="46">
        <v>2013</v>
      </c>
      <c r="I613" s="46">
        <v>2014</v>
      </c>
      <c r="J613" s="46">
        <v>2015</v>
      </c>
      <c r="K613" s="46">
        <v>2016</v>
      </c>
      <c r="L613" s="46">
        <v>2017</v>
      </c>
    </row>
    <row r="614" spans="1:46" x14ac:dyDescent="0.2">
      <c r="A614" s="45"/>
      <c r="B614" s="45"/>
      <c r="C614" s="45"/>
      <c r="D614" s="45"/>
      <c r="E614" s="90"/>
      <c r="F614" s="45"/>
      <c r="G614" s="44"/>
      <c r="H614" s="45"/>
      <c r="I614" s="45"/>
      <c r="J614" s="45"/>
      <c r="K614" s="45"/>
      <c r="L614" s="38"/>
    </row>
    <row r="615" spans="1:46" s="45" customFormat="1" x14ac:dyDescent="0.2">
      <c r="A615" s="45" t="s">
        <v>169</v>
      </c>
      <c r="B615" s="44">
        <f>SUM(B616+B639+B643)</f>
        <v>703015</v>
      </c>
      <c r="C615" s="44">
        <f>(C616+C639+C643)</f>
        <v>642872</v>
      </c>
      <c r="D615" s="44">
        <f>(571575+669)</f>
        <v>572244</v>
      </c>
      <c r="E615" s="90">
        <f>(483517+5499)</f>
        <v>489016</v>
      </c>
      <c r="F615" s="44">
        <f>(716503+257+3662)</f>
        <v>720422</v>
      </c>
      <c r="G615" s="44">
        <f>(421649+3603+1409)</f>
        <v>426661</v>
      </c>
      <c r="H615" s="44">
        <f>(267180+1385+2236)</f>
        <v>270801</v>
      </c>
      <c r="I615" s="44">
        <f>(326723+2081+1113)</f>
        <v>329917</v>
      </c>
      <c r="J615" s="86">
        <v>264126</v>
      </c>
      <c r="K615" s="44">
        <f>(188903+1419+2298)</f>
        <v>192620</v>
      </c>
      <c r="L615" s="44">
        <f>SUM(L616+L639+L643)</f>
        <v>282980</v>
      </c>
    </row>
    <row r="616" spans="1:46" x14ac:dyDescent="0.2">
      <c r="A616" s="46" t="s">
        <v>2</v>
      </c>
      <c r="B616" s="53">
        <f>SUM(B617:B638)</f>
        <v>683431</v>
      </c>
      <c r="C616" s="53">
        <f>SUM(617586+3459+119)</f>
        <v>621164</v>
      </c>
      <c r="D616" s="53">
        <f>(563217+605)</f>
        <v>563822</v>
      </c>
      <c r="E616" s="52">
        <f>(459704+4842)</f>
        <v>464546</v>
      </c>
      <c r="F616" s="53">
        <f>(530930+3425)</f>
        <v>534355</v>
      </c>
      <c r="G616" s="53">
        <f>(419573+3532+0)</f>
        <v>423105</v>
      </c>
      <c r="H616" s="53">
        <f>(266665+2236)</f>
        <v>268901</v>
      </c>
      <c r="I616" s="53">
        <f>(325051+69+2081)</f>
        <v>327201</v>
      </c>
      <c r="J616" s="53">
        <v>262747</v>
      </c>
      <c r="K616" s="53">
        <f>(188848+776+2298)</f>
        <v>191922</v>
      </c>
      <c r="L616" s="53">
        <f>SUM(L617:L638)</f>
        <v>282825</v>
      </c>
    </row>
    <row r="617" spans="1:46" x14ac:dyDescent="0.2">
      <c r="A617" s="38" t="s">
        <v>4</v>
      </c>
      <c r="B617" s="76">
        <v>177</v>
      </c>
      <c r="C617" s="76">
        <v>262</v>
      </c>
      <c r="D617" s="76">
        <v>1542</v>
      </c>
      <c r="E617" s="76">
        <v>1518</v>
      </c>
      <c r="F617" s="76">
        <v>1122</v>
      </c>
      <c r="G617" s="42">
        <v>3238</v>
      </c>
      <c r="H617" s="76">
        <v>1900</v>
      </c>
      <c r="I617" s="76">
        <v>91</v>
      </c>
      <c r="J617" s="42">
        <v>779</v>
      </c>
      <c r="K617" s="76">
        <v>53</v>
      </c>
      <c r="L617" s="43">
        <v>4</v>
      </c>
    </row>
    <row r="618" spans="1:46" x14ac:dyDescent="0.2">
      <c r="A618" s="38" t="s">
        <v>7</v>
      </c>
      <c r="B618" s="76">
        <v>320044</v>
      </c>
      <c r="C618" s="76">
        <v>248879</v>
      </c>
      <c r="D618" s="76">
        <v>204969</v>
      </c>
      <c r="E618" s="76">
        <v>170494</v>
      </c>
      <c r="F618" s="76">
        <v>276499</v>
      </c>
      <c r="G618" s="42">
        <v>210830</v>
      </c>
      <c r="H618" s="76">
        <v>179692</v>
      </c>
      <c r="I618" s="76">
        <v>181335</v>
      </c>
      <c r="J618" s="42">
        <v>117887</v>
      </c>
      <c r="K618" s="76">
        <v>70490</v>
      </c>
      <c r="L618" s="43">
        <v>134151</v>
      </c>
    </row>
    <row r="619" spans="1:46" x14ac:dyDescent="0.2">
      <c r="A619" s="38" t="s">
        <v>16</v>
      </c>
      <c r="B619" s="76">
        <v>4604</v>
      </c>
      <c r="C619" s="76">
        <v>14753</v>
      </c>
      <c r="D619" s="76">
        <v>33736</v>
      </c>
      <c r="E619" s="76">
        <v>6868</v>
      </c>
      <c r="F619" s="76">
        <v>36861</v>
      </c>
      <c r="G619" s="42">
        <v>13159</v>
      </c>
      <c r="H619" s="76">
        <v>11040</v>
      </c>
      <c r="I619" s="76">
        <v>9445</v>
      </c>
      <c r="J619" s="42">
        <v>5381</v>
      </c>
      <c r="K619" s="76">
        <v>4013</v>
      </c>
      <c r="L619" s="43">
        <v>11999</v>
      </c>
    </row>
    <row r="620" spans="1:46" x14ac:dyDescent="0.2">
      <c r="A620" s="38" t="s">
        <v>21</v>
      </c>
      <c r="B620" s="76" t="s">
        <v>213</v>
      </c>
      <c r="C620" s="76" t="s">
        <v>213</v>
      </c>
      <c r="D620" s="76" t="s">
        <v>213</v>
      </c>
      <c r="E620" s="76" t="s">
        <v>213</v>
      </c>
      <c r="F620" s="42" t="s">
        <v>213</v>
      </c>
      <c r="G620" s="42">
        <v>1</v>
      </c>
      <c r="H620" s="76" t="s">
        <v>213</v>
      </c>
      <c r="I620" s="42" t="s">
        <v>213</v>
      </c>
      <c r="J620" s="42" t="s">
        <v>213</v>
      </c>
      <c r="K620" s="42">
        <v>16</v>
      </c>
      <c r="L620" s="43">
        <v>3</v>
      </c>
    </row>
    <row r="621" spans="1:46" x14ac:dyDescent="0.2">
      <c r="A621" s="38" t="s">
        <v>24</v>
      </c>
      <c r="B621" s="76">
        <v>68159</v>
      </c>
      <c r="C621" s="76">
        <v>27921</v>
      </c>
      <c r="D621" s="76">
        <v>33939</v>
      </c>
      <c r="E621" s="77">
        <v>22484</v>
      </c>
      <c r="F621" s="76">
        <v>4897</v>
      </c>
      <c r="G621" s="42">
        <v>4507</v>
      </c>
      <c r="H621" s="76">
        <v>5799</v>
      </c>
      <c r="I621" s="76">
        <v>4586</v>
      </c>
      <c r="J621" s="42">
        <v>10151</v>
      </c>
      <c r="K621" s="76">
        <v>10908</v>
      </c>
      <c r="L621" s="43">
        <v>13844</v>
      </c>
    </row>
    <row r="622" spans="1:46" x14ac:dyDescent="0.2">
      <c r="A622" s="38" t="s">
        <v>25</v>
      </c>
      <c r="B622" s="76">
        <v>6</v>
      </c>
      <c r="C622" s="76" t="s">
        <v>213</v>
      </c>
      <c r="D622" s="76">
        <v>8</v>
      </c>
      <c r="E622" s="77" t="s">
        <v>213</v>
      </c>
      <c r="F622" s="76">
        <v>15</v>
      </c>
      <c r="G622" s="42">
        <v>2</v>
      </c>
      <c r="H622" s="76" t="s">
        <v>213</v>
      </c>
      <c r="I622" s="76">
        <v>2</v>
      </c>
      <c r="J622" s="42" t="s">
        <v>213</v>
      </c>
      <c r="K622" s="76" t="s">
        <v>213</v>
      </c>
      <c r="L622" s="43">
        <v>1</v>
      </c>
    </row>
    <row r="623" spans="1:46" x14ac:dyDescent="0.2">
      <c r="A623" s="38" t="s">
        <v>30</v>
      </c>
      <c r="B623" s="76" t="s">
        <v>213</v>
      </c>
      <c r="C623" s="76">
        <v>8</v>
      </c>
      <c r="D623" s="76" t="s">
        <v>213</v>
      </c>
      <c r="E623" s="77" t="s">
        <v>213</v>
      </c>
      <c r="F623" s="76" t="s">
        <v>213</v>
      </c>
      <c r="G623" s="42" t="s">
        <v>213</v>
      </c>
      <c r="H623" s="76" t="s">
        <v>213</v>
      </c>
      <c r="I623" s="42" t="s">
        <v>213</v>
      </c>
      <c r="J623" s="42" t="s">
        <v>213</v>
      </c>
      <c r="K623" s="42" t="s">
        <v>213</v>
      </c>
      <c r="L623" s="42" t="s">
        <v>213</v>
      </c>
    </row>
    <row r="624" spans="1:46" s="40" customFormat="1" ht="11.4" x14ac:dyDescent="0.2">
      <c r="A624" s="38" t="s">
        <v>178</v>
      </c>
      <c r="B624" s="76">
        <v>15</v>
      </c>
      <c r="C624" s="76" t="s">
        <v>213</v>
      </c>
      <c r="D624" s="76" t="s">
        <v>213</v>
      </c>
      <c r="E624" s="77" t="s">
        <v>213</v>
      </c>
      <c r="F624" s="76" t="s">
        <v>213</v>
      </c>
      <c r="G624" s="42" t="s">
        <v>213</v>
      </c>
      <c r="H624" s="76" t="s">
        <v>213</v>
      </c>
      <c r="I624" s="76">
        <v>1</v>
      </c>
      <c r="J624" s="42">
        <v>10</v>
      </c>
      <c r="K624" s="76" t="s">
        <v>213</v>
      </c>
      <c r="L624" s="42" t="s">
        <v>213</v>
      </c>
    </row>
    <row r="625" spans="1:20" s="45" customFormat="1" x14ac:dyDescent="0.2">
      <c r="A625" s="38" t="s">
        <v>34</v>
      </c>
      <c r="B625" s="76">
        <v>2</v>
      </c>
      <c r="C625" s="76" t="s">
        <v>213</v>
      </c>
      <c r="D625" s="76" t="s">
        <v>213</v>
      </c>
      <c r="E625" s="76" t="s">
        <v>213</v>
      </c>
      <c r="F625" s="76">
        <v>15</v>
      </c>
      <c r="G625" s="42" t="s">
        <v>213</v>
      </c>
      <c r="H625" s="76" t="s">
        <v>213</v>
      </c>
      <c r="I625" s="76">
        <v>1</v>
      </c>
      <c r="J625" s="42" t="s">
        <v>213</v>
      </c>
      <c r="K625" s="76" t="s">
        <v>213</v>
      </c>
      <c r="L625" s="42" t="s">
        <v>213</v>
      </c>
    </row>
    <row r="626" spans="1:20" x14ac:dyDescent="0.2">
      <c r="A626" s="38" t="s">
        <v>179</v>
      </c>
      <c r="B626" s="76">
        <v>207666</v>
      </c>
      <c r="C626" s="76">
        <v>139471</v>
      </c>
      <c r="D626" s="76">
        <v>100047</v>
      </c>
      <c r="E626" s="76">
        <v>83944</v>
      </c>
      <c r="F626" s="76">
        <v>24977</v>
      </c>
      <c r="G626" s="42">
        <v>17070</v>
      </c>
      <c r="H626" s="76">
        <v>15443</v>
      </c>
      <c r="I626" s="76">
        <v>19043</v>
      </c>
      <c r="J626" s="42">
        <v>33219</v>
      </c>
      <c r="K626" s="76">
        <v>37650</v>
      </c>
      <c r="L626" s="43">
        <v>36880</v>
      </c>
    </row>
    <row r="627" spans="1:20" x14ac:dyDescent="0.2">
      <c r="A627" s="38" t="s">
        <v>180</v>
      </c>
      <c r="B627" s="76">
        <v>4270</v>
      </c>
      <c r="C627" s="76">
        <v>4878</v>
      </c>
      <c r="D627" s="76">
        <v>5070</v>
      </c>
      <c r="E627" s="76">
        <v>2160</v>
      </c>
      <c r="F627" s="76">
        <v>1984</v>
      </c>
      <c r="G627" s="42">
        <v>1738</v>
      </c>
      <c r="H627" s="76">
        <v>1663</v>
      </c>
      <c r="I627" s="76">
        <v>1701</v>
      </c>
      <c r="J627" s="42">
        <v>2040</v>
      </c>
      <c r="K627" s="76">
        <v>1786</v>
      </c>
      <c r="L627" s="43">
        <v>6042</v>
      </c>
    </row>
    <row r="628" spans="1:20" s="45" customFormat="1" x14ac:dyDescent="0.2">
      <c r="A628" s="38" t="s">
        <v>46</v>
      </c>
      <c r="B628" s="76" t="s">
        <v>213</v>
      </c>
      <c r="C628" s="76" t="s">
        <v>213</v>
      </c>
      <c r="D628" s="76" t="s">
        <v>213</v>
      </c>
      <c r="E628" s="76">
        <v>108</v>
      </c>
      <c r="F628" s="76" t="s">
        <v>213</v>
      </c>
      <c r="G628" s="42" t="s">
        <v>213</v>
      </c>
      <c r="H628" s="76" t="s">
        <v>213</v>
      </c>
      <c r="I628" s="42" t="s">
        <v>213</v>
      </c>
      <c r="J628" s="42" t="s">
        <v>213</v>
      </c>
      <c r="K628" s="42">
        <v>1</v>
      </c>
      <c r="L628" s="42" t="s">
        <v>213</v>
      </c>
    </row>
    <row r="629" spans="1:20" x14ac:dyDescent="0.2">
      <c r="A629" s="38" t="s">
        <v>47</v>
      </c>
      <c r="B629" s="76">
        <v>2789</v>
      </c>
      <c r="C629" s="76">
        <f>(2621+230)</f>
        <v>2851</v>
      </c>
      <c r="D629" s="76">
        <v>2990</v>
      </c>
      <c r="E629" s="76">
        <f>(2856+254)</f>
        <v>3110</v>
      </c>
      <c r="F629" s="76">
        <f>(3674+171)</f>
        <v>3845</v>
      </c>
      <c r="G629" s="42">
        <f>(2925+333)</f>
        <v>3258</v>
      </c>
      <c r="H629" s="76">
        <f>(948+1)</f>
        <v>949</v>
      </c>
      <c r="I629" s="76">
        <v>10</v>
      </c>
      <c r="J629" s="42">
        <v>7</v>
      </c>
      <c r="K629" s="76">
        <f>(3+63)</f>
        <v>66</v>
      </c>
      <c r="L629" s="42" t="s">
        <v>213</v>
      </c>
    </row>
    <row r="630" spans="1:20" s="45" customFormat="1" x14ac:dyDescent="0.2">
      <c r="A630" s="38" t="s">
        <v>49</v>
      </c>
      <c r="B630" s="76" t="s">
        <v>213</v>
      </c>
      <c r="C630" s="76" t="s">
        <v>213</v>
      </c>
      <c r="D630" s="76" t="s">
        <v>213</v>
      </c>
      <c r="E630" s="76" t="s">
        <v>213</v>
      </c>
      <c r="F630" s="76" t="s">
        <v>213</v>
      </c>
      <c r="G630" s="42" t="s">
        <v>213</v>
      </c>
      <c r="H630" s="76" t="s">
        <v>213</v>
      </c>
      <c r="I630" s="42" t="s">
        <v>213</v>
      </c>
      <c r="J630" s="42">
        <v>3</v>
      </c>
      <c r="K630" s="42" t="s">
        <v>213</v>
      </c>
      <c r="L630" s="42" t="s">
        <v>213</v>
      </c>
    </row>
    <row r="631" spans="1:20" s="45" customFormat="1" x14ac:dyDescent="0.2">
      <c r="A631" s="55" t="s">
        <v>48</v>
      </c>
      <c r="B631" s="76">
        <v>550</v>
      </c>
      <c r="C631" s="76">
        <v>155</v>
      </c>
      <c r="D631" s="76">
        <v>15</v>
      </c>
      <c r="E631" s="76">
        <v>711</v>
      </c>
      <c r="F631" s="76">
        <v>743</v>
      </c>
      <c r="G631" s="42">
        <v>802</v>
      </c>
      <c r="H631" s="76">
        <v>273</v>
      </c>
      <c r="I631" s="76">
        <v>87</v>
      </c>
      <c r="J631" s="42">
        <v>31</v>
      </c>
      <c r="K631" s="76" t="s">
        <v>213</v>
      </c>
      <c r="L631" s="42">
        <v>139</v>
      </c>
    </row>
    <row r="632" spans="1:20" x14ac:dyDescent="0.2">
      <c r="A632" s="38" t="s">
        <v>52</v>
      </c>
      <c r="B632" s="76">
        <v>612</v>
      </c>
      <c r="C632" s="76">
        <v>967</v>
      </c>
      <c r="D632" s="76">
        <v>634</v>
      </c>
      <c r="E632" s="76">
        <v>485</v>
      </c>
      <c r="F632" s="76">
        <v>502</v>
      </c>
      <c r="G632" s="42">
        <v>472</v>
      </c>
      <c r="H632" s="76">
        <v>330</v>
      </c>
      <c r="I632" s="76">
        <v>653</v>
      </c>
      <c r="J632" s="42">
        <v>468</v>
      </c>
      <c r="K632" s="76">
        <v>1907</v>
      </c>
      <c r="L632" s="38">
        <v>4713</v>
      </c>
    </row>
    <row r="633" spans="1:20" x14ac:dyDescent="0.2">
      <c r="A633" s="38" t="s">
        <v>56</v>
      </c>
      <c r="B633" s="76">
        <v>162</v>
      </c>
      <c r="C633" s="76">
        <v>104</v>
      </c>
      <c r="D633" s="76">
        <v>42</v>
      </c>
      <c r="E633" s="76" t="s">
        <v>213</v>
      </c>
      <c r="F633" s="76">
        <v>15</v>
      </c>
      <c r="G633" s="42">
        <v>106</v>
      </c>
      <c r="H633" s="76">
        <v>6</v>
      </c>
      <c r="I633" s="76">
        <v>8</v>
      </c>
      <c r="J633" s="42" t="s">
        <v>213</v>
      </c>
      <c r="K633" s="76" t="s">
        <v>213</v>
      </c>
      <c r="L633" s="76" t="s">
        <v>213</v>
      </c>
    </row>
    <row r="634" spans="1:20" x14ac:dyDescent="0.2">
      <c r="A634" s="81" t="s">
        <v>71</v>
      </c>
      <c r="B634" s="77">
        <v>10439</v>
      </c>
      <c r="C634" s="76">
        <v>12283</v>
      </c>
      <c r="D634" s="76">
        <v>10705</v>
      </c>
      <c r="E634" s="76">
        <v>4568</v>
      </c>
      <c r="F634" s="77">
        <v>3042</v>
      </c>
      <c r="G634" s="42">
        <v>3504</v>
      </c>
      <c r="H634" s="77">
        <v>3864</v>
      </c>
      <c r="I634" s="77">
        <v>4450</v>
      </c>
      <c r="J634" s="42">
        <v>5058</v>
      </c>
      <c r="K634" s="77">
        <v>4051</v>
      </c>
      <c r="L634" s="38">
        <v>2928</v>
      </c>
    </row>
    <row r="635" spans="1:20" x14ac:dyDescent="0.2">
      <c r="A635" s="38" t="s">
        <v>70</v>
      </c>
      <c r="B635" s="76">
        <v>151</v>
      </c>
      <c r="C635" s="76">
        <v>76</v>
      </c>
      <c r="D635" s="76">
        <v>16</v>
      </c>
      <c r="E635" s="76">
        <v>7</v>
      </c>
      <c r="F635" s="76">
        <v>2</v>
      </c>
      <c r="G635" s="42">
        <v>3</v>
      </c>
      <c r="H635" s="76" t="s">
        <v>213</v>
      </c>
      <c r="I635" s="76">
        <v>24</v>
      </c>
      <c r="J635" s="42">
        <v>71</v>
      </c>
      <c r="K635" s="76">
        <v>15</v>
      </c>
      <c r="L635" s="76">
        <v>104</v>
      </c>
    </row>
    <row r="636" spans="1:20" s="40" customFormat="1" ht="11.4" x14ac:dyDescent="0.2">
      <c r="A636" s="38" t="s">
        <v>72</v>
      </c>
      <c r="B636" s="76">
        <v>61499</v>
      </c>
      <c r="C636" s="76">
        <v>165358</v>
      </c>
      <c r="D636" s="76">
        <v>169452</v>
      </c>
      <c r="E636" s="76">
        <v>163992</v>
      </c>
      <c r="F636" s="76">
        <v>176612</v>
      </c>
      <c r="G636" s="42">
        <v>161798</v>
      </c>
      <c r="H636" s="76">
        <v>45946</v>
      </c>
      <c r="I636" s="76">
        <v>103638</v>
      </c>
      <c r="J636" s="42">
        <v>84897</v>
      </c>
      <c r="K636" s="76">
        <v>57937</v>
      </c>
      <c r="L636" s="76">
        <v>65990</v>
      </c>
    </row>
    <row r="637" spans="1:20" s="45" customFormat="1" x14ac:dyDescent="0.2">
      <c r="A637" s="38" t="s">
        <v>81</v>
      </c>
      <c r="B637" s="76">
        <v>124</v>
      </c>
      <c r="C637" s="76">
        <v>5</v>
      </c>
      <c r="D637" s="76">
        <f>12+21+1</f>
        <v>34</v>
      </c>
      <c r="E637" s="76">
        <f>(1+28+175+15+1+110)</f>
        <v>330</v>
      </c>
      <c r="F637" s="76">
        <f>(16+129)</f>
        <v>145</v>
      </c>
      <c r="G637" s="42">
        <f>(1+6+1+3+209)</f>
        <v>220</v>
      </c>
      <c r="H637" s="76">
        <f>(33+1)</f>
        <v>34</v>
      </c>
      <c r="I637" s="76">
        <f>(16+11+38+43+44+9+10)</f>
        <v>171</v>
      </c>
      <c r="J637" s="42">
        <v>410</v>
      </c>
      <c r="K637" s="76">
        <f>(776+12+15+18)</f>
        <v>821</v>
      </c>
      <c r="L637" s="43">
        <v>3913</v>
      </c>
    </row>
    <row r="638" spans="1:20" x14ac:dyDescent="0.2">
      <c r="A638" s="55" t="s">
        <v>181</v>
      </c>
      <c r="B638" s="76">
        <v>2162</v>
      </c>
      <c r="C638" s="76">
        <f>(3074+119)</f>
        <v>3193</v>
      </c>
      <c r="D638" s="76">
        <f>(33+590)</f>
        <v>623</v>
      </c>
      <c r="E638" s="76">
        <v>3767</v>
      </c>
      <c r="F638" s="76">
        <f>(583+2496)</f>
        <v>3079</v>
      </c>
      <c r="G638" s="42">
        <v>2397</v>
      </c>
      <c r="H638" s="76">
        <v>1962</v>
      </c>
      <c r="I638" s="76">
        <f>(1886+69)</f>
        <v>1955</v>
      </c>
      <c r="J638" s="42">
        <v>2335</v>
      </c>
      <c r="K638" s="76">
        <f>(2175+6+18+3+6)</f>
        <v>2208</v>
      </c>
      <c r="L638" s="42">
        <v>2114</v>
      </c>
      <c r="M638" s="113"/>
      <c r="N638" s="113"/>
      <c r="O638" s="113"/>
      <c r="P638" s="113"/>
      <c r="Q638" s="113"/>
      <c r="R638" s="113"/>
      <c r="S638" s="113"/>
      <c r="T638" s="113"/>
    </row>
    <row r="639" spans="1:20" x14ac:dyDescent="0.2">
      <c r="A639" s="46" t="s">
        <v>107</v>
      </c>
      <c r="B639" s="91">
        <f>SUM(B640:B641)</f>
        <v>19581</v>
      </c>
      <c r="C639" s="91">
        <f>(C640+C641)</f>
        <v>21683</v>
      </c>
      <c r="D639" s="91">
        <f>SUM(D640:D641)</f>
        <v>8289</v>
      </c>
      <c r="E639" s="91">
        <f>(23545+657)</f>
        <v>24202</v>
      </c>
      <c r="F639" s="91">
        <f>(5332+237)</f>
        <v>5569</v>
      </c>
      <c r="G639" s="52">
        <f>(2062+0+71)</f>
        <v>2133</v>
      </c>
      <c r="H639" s="91">
        <f>(508+0)</f>
        <v>508</v>
      </c>
      <c r="I639" s="91">
        <v>1625</v>
      </c>
      <c r="J639" s="53">
        <v>58</v>
      </c>
      <c r="K639" s="91">
        <v>18</v>
      </c>
      <c r="L639" s="91">
        <f>SUM(L640:L642)</f>
        <v>15</v>
      </c>
    </row>
    <row r="640" spans="1:20" s="45" customFormat="1" x14ac:dyDescent="0.2">
      <c r="A640" s="38" t="s">
        <v>175</v>
      </c>
      <c r="B640" s="76" t="s">
        <v>213</v>
      </c>
      <c r="C640" s="76">
        <v>27</v>
      </c>
      <c r="D640" s="76">
        <v>3</v>
      </c>
      <c r="E640" s="76" t="s">
        <v>213</v>
      </c>
      <c r="F640" s="76" t="s">
        <v>213</v>
      </c>
      <c r="G640" s="42" t="s">
        <v>213</v>
      </c>
      <c r="H640" s="76" t="s">
        <v>213</v>
      </c>
      <c r="I640" s="42" t="s">
        <v>213</v>
      </c>
      <c r="J640" s="42" t="s">
        <v>213</v>
      </c>
      <c r="K640" s="42" t="s">
        <v>213</v>
      </c>
      <c r="L640" s="42" t="s">
        <v>213</v>
      </c>
    </row>
    <row r="641" spans="1:12" x14ac:dyDescent="0.2">
      <c r="A641" s="38" t="s">
        <v>182</v>
      </c>
      <c r="B641" s="76">
        <v>19581</v>
      </c>
      <c r="C641" s="76">
        <f>(21306+350)</f>
        <v>21656</v>
      </c>
      <c r="D641" s="76">
        <v>8286</v>
      </c>
      <c r="E641" s="76">
        <f>(23545+657)</f>
        <v>24202</v>
      </c>
      <c r="F641" s="76">
        <f>(5332+237)</f>
        <v>5569</v>
      </c>
      <c r="G641" s="42">
        <f>(2057+71+0)</f>
        <v>2128</v>
      </c>
      <c r="H641" s="76">
        <v>506</v>
      </c>
      <c r="I641" s="76">
        <v>1624</v>
      </c>
      <c r="J641" s="42">
        <v>58</v>
      </c>
      <c r="K641" s="76" t="s">
        <v>213</v>
      </c>
      <c r="L641" s="38">
        <v>15</v>
      </c>
    </row>
    <row r="642" spans="1:12" s="45" customFormat="1" x14ac:dyDescent="0.2">
      <c r="A642" s="38" t="s">
        <v>111</v>
      </c>
      <c r="B642" s="76" t="s">
        <v>213</v>
      </c>
      <c r="C642" s="76" t="s">
        <v>213</v>
      </c>
      <c r="D642" s="76" t="s">
        <v>213</v>
      </c>
      <c r="E642" s="76" t="s">
        <v>213</v>
      </c>
      <c r="F642" s="76" t="s">
        <v>213</v>
      </c>
      <c r="G642" s="42">
        <v>5</v>
      </c>
      <c r="H642" s="76">
        <v>2</v>
      </c>
      <c r="I642" s="76">
        <v>1</v>
      </c>
      <c r="J642" s="42" t="s">
        <v>213</v>
      </c>
      <c r="K642" s="76">
        <v>18</v>
      </c>
      <c r="L642" s="42" t="s">
        <v>213</v>
      </c>
    </row>
    <row r="643" spans="1:12" s="45" customFormat="1" x14ac:dyDescent="0.2">
      <c r="A643" s="46" t="s">
        <v>207</v>
      </c>
      <c r="B643" s="91">
        <f>SUM(B644:B646)</f>
        <v>3</v>
      </c>
      <c r="C643" s="91">
        <v>25</v>
      </c>
      <c r="D643" s="92">
        <f>SUM(D644:D646)</f>
        <v>69</v>
      </c>
      <c r="E643" s="91">
        <v>268</v>
      </c>
      <c r="F643" s="91">
        <f>(2014+257)</f>
        <v>2271</v>
      </c>
      <c r="G643" s="52">
        <f>(14+1409)</f>
        <v>1423</v>
      </c>
      <c r="H643" s="91">
        <f>(7+1385)</f>
        <v>1392</v>
      </c>
      <c r="I643" s="91">
        <f>(47+1044)</f>
        <v>1091</v>
      </c>
      <c r="J643" s="53">
        <v>1321</v>
      </c>
      <c r="K643" s="91">
        <f>(37+643)</f>
        <v>680</v>
      </c>
      <c r="L643" s="91">
        <f>SUM(L644:L647)</f>
        <v>140</v>
      </c>
    </row>
    <row r="644" spans="1:12" x14ac:dyDescent="0.2">
      <c r="A644" s="38" t="s">
        <v>201</v>
      </c>
      <c r="B644" s="76">
        <v>3</v>
      </c>
      <c r="C644" s="76">
        <v>25</v>
      </c>
      <c r="D644" s="88">
        <v>69</v>
      </c>
      <c r="E644" s="76">
        <v>268</v>
      </c>
      <c r="F644" s="76">
        <v>83</v>
      </c>
      <c r="G644" s="42">
        <v>14</v>
      </c>
      <c r="H644" s="76">
        <v>7</v>
      </c>
      <c r="I644" s="76">
        <v>44</v>
      </c>
      <c r="J644" s="42">
        <v>184</v>
      </c>
      <c r="K644" s="76">
        <v>37</v>
      </c>
      <c r="L644" s="38">
        <v>138</v>
      </c>
    </row>
    <row r="645" spans="1:12" x14ac:dyDescent="0.2">
      <c r="A645" s="55" t="s">
        <v>183</v>
      </c>
      <c r="B645" s="76" t="s">
        <v>213</v>
      </c>
      <c r="C645" s="76" t="s">
        <v>213</v>
      </c>
      <c r="D645" s="88" t="s">
        <v>213</v>
      </c>
      <c r="E645" s="76" t="s">
        <v>213</v>
      </c>
      <c r="F645" s="76">
        <f>(1931)</f>
        <v>1931</v>
      </c>
      <c r="G645" s="42" t="s">
        <v>213</v>
      </c>
      <c r="H645" s="76" t="s">
        <v>213</v>
      </c>
      <c r="I645" s="42" t="s">
        <v>213</v>
      </c>
      <c r="J645" s="42" t="s">
        <v>213</v>
      </c>
      <c r="K645" s="42" t="s">
        <v>213</v>
      </c>
      <c r="L645" s="42" t="s">
        <v>213</v>
      </c>
    </row>
    <row r="646" spans="1:12" x14ac:dyDescent="0.2">
      <c r="A646" s="55" t="s">
        <v>208</v>
      </c>
      <c r="B646" s="76" t="s">
        <v>213</v>
      </c>
      <c r="C646" s="76" t="s">
        <v>213</v>
      </c>
      <c r="D646" s="88" t="s">
        <v>213</v>
      </c>
      <c r="E646" s="76" t="s">
        <v>213</v>
      </c>
      <c r="F646" s="76">
        <v>257</v>
      </c>
      <c r="G646" s="42">
        <v>1409</v>
      </c>
      <c r="H646" s="76">
        <v>1385</v>
      </c>
      <c r="I646" s="76">
        <f>(3+1044)</f>
        <v>1047</v>
      </c>
      <c r="J646" s="76"/>
      <c r="K646" s="42" t="s">
        <v>213</v>
      </c>
      <c r="L646" s="42">
        <v>2</v>
      </c>
    </row>
    <row r="647" spans="1:12" x14ac:dyDescent="0.2">
      <c r="A647" s="38" t="s">
        <v>99</v>
      </c>
      <c r="B647" s="95" t="s">
        <v>213</v>
      </c>
      <c r="C647" s="95" t="s">
        <v>213</v>
      </c>
      <c r="D647" s="95" t="s">
        <v>213</v>
      </c>
      <c r="E647" s="95" t="s">
        <v>213</v>
      </c>
      <c r="F647" s="95" t="s">
        <v>213</v>
      </c>
      <c r="G647" s="95" t="s">
        <v>213</v>
      </c>
      <c r="H647" s="95" t="s">
        <v>213</v>
      </c>
      <c r="I647" s="98" t="s">
        <v>213</v>
      </c>
      <c r="J647" s="42">
        <v>1157</v>
      </c>
      <c r="K647" s="42">
        <v>643</v>
      </c>
      <c r="L647" s="42" t="s">
        <v>213</v>
      </c>
    </row>
    <row r="648" spans="1:12" x14ac:dyDescent="0.2">
      <c r="B648" s="95"/>
      <c r="C648" s="95"/>
      <c r="D648" s="95"/>
      <c r="E648" s="95"/>
      <c r="F648" s="95"/>
      <c r="G648" s="95"/>
      <c r="H648" s="95"/>
      <c r="I648" s="98"/>
      <c r="K648" s="42"/>
      <c r="L648" s="42"/>
    </row>
    <row r="649" spans="1:12" x14ac:dyDescent="0.2">
      <c r="B649" s="95"/>
      <c r="C649" s="95"/>
      <c r="D649" s="95"/>
      <c r="E649" s="95"/>
      <c r="F649" s="95"/>
      <c r="G649" s="95"/>
      <c r="H649" s="95"/>
      <c r="I649" s="98"/>
      <c r="K649" s="42"/>
      <c r="L649" s="42"/>
    </row>
    <row r="651" spans="1:12" ht="12" x14ac:dyDescent="0.25">
      <c r="A651" s="117" t="s">
        <v>228</v>
      </c>
      <c r="B651" s="117"/>
      <c r="C651" s="117"/>
      <c r="D651" s="117"/>
      <c r="E651" s="117"/>
      <c r="F651" s="117"/>
      <c r="G651" s="117"/>
      <c r="H651" s="117"/>
      <c r="I651" s="117"/>
      <c r="J651" s="117"/>
      <c r="K651" s="117"/>
    </row>
    <row r="652" spans="1:12" ht="10.199999999999999" x14ac:dyDescent="0.2">
      <c r="A652" s="116" t="s">
        <v>0</v>
      </c>
      <c r="B652" s="116"/>
      <c r="C652" s="116"/>
      <c r="D652" s="116"/>
      <c r="E652" s="116"/>
      <c r="F652" s="116"/>
      <c r="G652" s="116"/>
      <c r="H652" s="116"/>
      <c r="I652" s="116"/>
      <c r="J652" s="116"/>
      <c r="K652" s="116"/>
    </row>
    <row r="655" spans="1:12" s="40" customFormat="1" ht="11.4" x14ac:dyDescent="0.2">
      <c r="A655" s="46" t="s">
        <v>1</v>
      </c>
      <c r="B655" s="46">
        <v>2007</v>
      </c>
      <c r="C655" s="46">
        <v>2008</v>
      </c>
      <c r="D655" s="47">
        <v>2009</v>
      </c>
      <c r="E655" s="48">
        <v>2010</v>
      </c>
      <c r="F655" s="48">
        <v>2011</v>
      </c>
      <c r="G655" s="53">
        <v>2012</v>
      </c>
      <c r="H655" s="46">
        <v>2013</v>
      </c>
      <c r="I655" s="46">
        <v>2014</v>
      </c>
      <c r="J655" s="46">
        <v>2015</v>
      </c>
      <c r="K655" s="53">
        <v>2016</v>
      </c>
      <c r="L655" s="53">
        <v>2017</v>
      </c>
    </row>
    <row r="656" spans="1:12" s="45" customFormat="1" x14ac:dyDescent="0.2">
      <c r="A656" s="38"/>
      <c r="B656" s="38"/>
      <c r="C656" s="43"/>
      <c r="D656" s="43"/>
      <c r="E656" s="42"/>
      <c r="F656" s="42"/>
      <c r="G656" s="43"/>
      <c r="H656" s="38"/>
      <c r="I656" s="38"/>
      <c r="J656" s="38"/>
      <c r="K656" s="43"/>
      <c r="L656" s="43"/>
    </row>
    <row r="657" spans="1:12" x14ac:dyDescent="0.2">
      <c r="A657" s="45" t="s">
        <v>169</v>
      </c>
      <c r="B657" s="90">
        <v>180096</v>
      </c>
      <c r="C657" s="90">
        <v>193339</v>
      </c>
      <c r="D657" s="90">
        <v>165088</v>
      </c>
      <c r="E657" s="90">
        <f>(109883+37)</f>
        <v>109920</v>
      </c>
      <c r="F657" s="90">
        <v>191488</v>
      </c>
      <c r="G657" s="90">
        <v>140844</v>
      </c>
      <c r="H657" s="90">
        <f>(7+79931+26+38184)</f>
        <v>118148</v>
      </c>
      <c r="I657" s="90">
        <f>(74701+171033+17)</f>
        <v>245751</v>
      </c>
      <c r="J657" s="90">
        <v>134763</v>
      </c>
      <c r="K657" s="90">
        <f>(23+19+146086)</f>
        <v>146128</v>
      </c>
      <c r="L657" s="90">
        <f>SUM(L658+L662+L666+L670)</f>
        <v>380507</v>
      </c>
    </row>
    <row r="658" spans="1:12" x14ac:dyDescent="0.2">
      <c r="A658" s="46" t="s">
        <v>2</v>
      </c>
      <c r="B658" s="52">
        <f>SUM(B659:B660)</f>
        <v>177565</v>
      </c>
      <c r="C658" s="52">
        <f>(C659+C660)</f>
        <v>190276</v>
      </c>
      <c r="D658" s="52">
        <v>163610</v>
      </c>
      <c r="E658" s="52">
        <f>(109322+37)</f>
        <v>109359</v>
      </c>
      <c r="F658" s="52">
        <v>190762</v>
      </c>
      <c r="G658" s="52">
        <v>140551</v>
      </c>
      <c r="H658" s="52">
        <f>(38108+26+60710+0)</f>
        <v>98844</v>
      </c>
      <c r="I658" s="52">
        <f>(74512+17+76437)</f>
        <v>150966</v>
      </c>
      <c r="J658" s="52">
        <v>113674</v>
      </c>
      <c r="K658" s="52">
        <f>(84095+19+23)</f>
        <v>84137</v>
      </c>
      <c r="L658" s="52">
        <f>SUM(L659:L660)</f>
        <v>177495</v>
      </c>
    </row>
    <row r="659" spans="1:12" s="45" customFormat="1" x14ac:dyDescent="0.2">
      <c r="A659" s="38" t="s">
        <v>81</v>
      </c>
      <c r="B659" s="42">
        <v>116659</v>
      </c>
      <c r="C659" s="42">
        <f>(190276-74852)</f>
        <v>115424</v>
      </c>
      <c r="D659" s="42">
        <v>109110</v>
      </c>
      <c r="E659" s="78">
        <f>(67+17478+1662+1575+8319+7+278+12+158+109+1+6+30+3+2+1586+37819)</f>
        <v>69112</v>
      </c>
      <c r="F659" s="78">
        <v>100339</v>
      </c>
      <c r="G659" s="42">
        <v>71352</v>
      </c>
      <c r="H659" s="42">
        <f>(453+82+4+340+1+37108)</f>
        <v>37988</v>
      </c>
      <c r="I659" s="42">
        <f>(74512+3148)</f>
        <v>77660</v>
      </c>
      <c r="J659" s="42">
        <v>45214</v>
      </c>
      <c r="K659" s="42">
        <f>(83995+23)</f>
        <v>84018</v>
      </c>
      <c r="L659" s="42">
        <v>177495</v>
      </c>
    </row>
    <row r="660" spans="1:12" x14ac:dyDescent="0.2">
      <c r="A660" s="38" t="s">
        <v>184</v>
      </c>
      <c r="B660" s="78">
        <v>60906</v>
      </c>
      <c r="C660" s="78">
        <v>74852</v>
      </c>
      <c r="D660" s="42">
        <v>54500</v>
      </c>
      <c r="E660" s="78">
        <f>(37+40210)</f>
        <v>40247</v>
      </c>
      <c r="F660" s="78">
        <v>90423</v>
      </c>
      <c r="G660" s="42">
        <v>69199</v>
      </c>
      <c r="H660" s="78">
        <f>(26+59830)</f>
        <v>59856</v>
      </c>
      <c r="I660" s="78">
        <f>(17+71951+1338)</f>
        <v>73306</v>
      </c>
      <c r="J660" s="78">
        <v>68460</v>
      </c>
      <c r="K660" s="78">
        <f>(100+19)</f>
        <v>119</v>
      </c>
      <c r="L660" s="42" t="s">
        <v>213</v>
      </c>
    </row>
    <row r="661" spans="1:12" s="45" customFormat="1" x14ac:dyDescent="0.2">
      <c r="A661" s="38"/>
      <c r="B661" s="42"/>
      <c r="C661" s="42"/>
      <c r="D661" s="42"/>
      <c r="E661" s="78"/>
      <c r="F661" s="78"/>
      <c r="G661" s="42"/>
      <c r="H661" s="80"/>
      <c r="I661" s="42"/>
      <c r="J661" s="42"/>
      <c r="K661" s="78"/>
      <c r="L661" s="78"/>
    </row>
    <row r="662" spans="1:12" x14ac:dyDescent="0.2">
      <c r="A662" s="46" t="s">
        <v>107</v>
      </c>
      <c r="B662" s="52">
        <f>SUM(B663:B664)</f>
        <v>2531</v>
      </c>
      <c r="C662" s="52">
        <v>3061</v>
      </c>
      <c r="D662" s="52">
        <v>1476</v>
      </c>
      <c r="E662" s="52">
        <v>551</v>
      </c>
      <c r="F662" s="52">
        <v>719</v>
      </c>
      <c r="G662" s="52">
        <v>292</v>
      </c>
      <c r="H662" s="52">
        <f>(76+172+0+0)</f>
        <v>248</v>
      </c>
      <c r="I662" s="52">
        <f>(181+486)</f>
        <v>667</v>
      </c>
      <c r="J662" s="52">
        <v>125</v>
      </c>
      <c r="K662" s="52">
        <v>188</v>
      </c>
      <c r="L662" s="52">
        <f>SUM(L663:L664)</f>
        <v>228</v>
      </c>
    </row>
    <row r="663" spans="1:12" x14ac:dyDescent="0.2">
      <c r="A663" s="81" t="s">
        <v>145</v>
      </c>
      <c r="B663" s="77">
        <v>2531</v>
      </c>
      <c r="C663" s="77">
        <v>3061</v>
      </c>
      <c r="D663" s="77">
        <v>1476</v>
      </c>
      <c r="E663" s="77">
        <v>499</v>
      </c>
      <c r="F663" s="77">
        <v>718</v>
      </c>
      <c r="G663" s="78">
        <v>143</v>
      </c>
      <c r="H663" s="77">
        <f>(76+172+0)</f>
        <v>248</v>
      </c>
      <c r="I663" s="77">
        <v>667</v>
      </c>
      <c r="J663" s="77">
        <v>125</v>
      </c>
      <c r="K663" s="78">
        <v>188</v>
      </c>
      <c r="L663" s="78">
        <v>228</v>
      </c>
    </row>
    <row r="664" spans="1:12" x14ac:dyDescent="0.2">
      <c r="A664" s="38" t="s">
        <v>198</v>
      </c>
      <c r="B664" s="76" t="s">
        <v>213</v>
      </c>
      <c r="C664" s="76" t="s">
        <v>213</v>
      </c>
      <c r="D664" s="77" t="s">
        <v>213</v>
      </c>
      <c r="E664" s="77">
        <v>52</v>
      </c>
      <c r="F664" s="77">
        <v>1</v>
      </c>
      <c r="G664" s="78">
        <v>149</v>
      </c>
      <c r="H664" s="77" t="s">
        <v>213</v>
      </c>
      <c r="I664" s="42" t="s">
        <v>213</v>
      </c>
      <c r="J664" s="42" t="s">
        <v>213</v>
      </c>
      <c r="K664" s="42" t="s">
        <v>213</v>
      </c>
      <c r="L664" s="42" t="s">
        <v>213</v>
      </c>
    </row>
    <row r="665" spans="1:12" x14ac:dyDescent="0.2">
      <c r="B665" s="42"/>
      <c r="C665" s="42"/>
      <c r="D665" s="78"/>
      <c r="E665" s="78"/>
      <c r="F665" s="78"/>
      <c r="G665" s="78"/>
      <c r="H665" s="80"/>
      <c r="I665" s="80"/>
      <c r="J665" s="80"/>
      <c r="K665" s="42"/>
      <c r="L665" s="42"/>
    </row>
    <row r="666" spans="1:12" x14ac:dyDescent="0.2">
      <c r="A666" s="46" t="s">
        <v>207</v>
      </c>
      <c r="B666" s="52" t="s">
        <v>213</v>
      </c>
      <c r="C666" s="52">
        <v>2</v>
      </c>
      <c r="D666" s="52">
        <v>2</v>
      </c>
      <c r="E666" s="52">
        <v>10</v>
      </c>
      <c r="F666" s="52">
        <v>7</v>
      </c>
      <c r="G666" s="52" t="s">
        <v>213</v>
      </c>
      <c r="H666" s="87">
        <f>(0+0+7)</f>
        <v>7</v>
      </c>
      <c r="I666" s="87">
        <f>(8+0)</f>
        <v>8</v>
      </c>
      <c r="J666" s="87">
        <v>18</v>
      </c>
      <c r="K666" s="52" t="s">
        <v>213</v>
      </c>
      <c r="L666" s="52">
        <f>SUM(L667:L668)</f>
        <v>5</v>
      </c>
    </row>
    <row r="667" spans="1:12" x14ac:dyDescent="0.2">
      <c r="A667" s="81" t="s">
        <v>106</v>
      </c>
      <c r="B667" s="76" t="s">
        <v>213</v>
      </c>
      <c r="C667" s="76" t="s">
        <v>213</v>
      </c>
      <c r="D667" s="76" t="s">
        <v>213</v>
      </c>
      <c r="E667" s="76" t="s">
        <v>213</v>
      </c>
      <c r="F667" s="76" t="s">
        <v>213</v>
      </c>
      <c r="G667" s="76" t="s">
        <v>213</v>
      </c>
      <c r="H667" s="76" t="s">
        <v>213</v>
      </c>
      <c r="I667" s="76" t="s">
        <v>213</v>
      </c>
      <c r="J667" s="76" t="s">
        <v>213</v>
      </c>
      <c r="K667" s="76" t="s">
        <v>213</v>
      </c>
      <c r="L667" s="78">
        <v>5</v>
      </c>
    </row>
    <row r="668" spans="1:12" x14ac:dyDescent="0.2">
      <c r="A668" s="81" t="s">
        <v>209</v>
      </c>
      <c r="B668" s="77" t="s">
        <v>213</v>
      </c>
      <c r="C668" s="76">
        <v>2</v>
      </c>
      <c r="D668" s="76">
        <v>2</v>
      </c>
      <c r="E668" s="76">
        <v>10</v>
      </c>
      <c r="F668" s="76">
        <v>7</v>
      </c>
      <c r="G668" s="42" t="s">
        <v>213</v>
      </c>
      <c r="H668" s="77">
        <v>7</v>
      </c>
      <c r="I668" s="77">
        <v>8</v>
      </c>
      <c r="J668" s="77">
        <v>18</v>
      </c>
      <c r="K668" s="42" t="s">
        <v>213</v>
      </c>
      <c r="L668" s="42" t="s">
        <v>213</v>
      </c>
    </row>
    <row r="669" spans="1:12" s="40" customFormat="1" ht="11.4" x14ac:dyDescent="0.2">
      <c r="A669" s="81"/>
      <c r="B669" s="78"/>
      <c r="C669" s="42"/>
      <c r="D669" s="42"/>
      <c r="E669" s="42"/>
      <c r="F669" s="42"/>
      <c r="G669" s="42"/>
      <c r="H669" s="80"/>
      <c r="I669" s="42"/>
      <c r="J669" s="42"/>
      <c r="K669" s="42"/>
      <c r="L669" s="42"/>
    </row>
    <row r="670" spans="1:12" s="45" customFormat="1" x14ac:dyDescent="0.2">
      <c r="A670" s="46" t="s">
        <v>146</v>
      </c>
      <c r="B670" s="52" t="s">
        <v>213</v>
      </c>
      <c r="C670" s="52" t="s">
        <v>213</v>
      </c>
      <c r="D670" s="52" t="s">
        <v>213</v>
      </c>
      <c r="E670" s="52" t="s">
        <v>213</v>
      </c>
      <c r="F670" s="52" t="s">
        <v>213</v>
      </c>
      <c r="G670" s="52" t="s">
        <v>213</v>
      </c>
      <c r="H670" s="87">
        <v>19049</v>
      </c>
      <c r="I670" s="52">
        <v>94110</v>
      </c>
      <c r="J670" s="52">
        <v>20946</v>
      </c>
      <c r="K670" s="52">
        <f>(61803+0)</f>
        <v>61803</v>
      </c>
      <c r="L670" s="52">
        <f>SUM(L671)</f>
        <v>202779</v>
      </c>
    </row>
    <row r="671" spans="1:12" x14ac:dyDescent="0.2">
      <c r="A671" s="38" t="s">
        <v>185</v>
      </c>
      <c r="B671" s="76" t="s">
        <v>213</v>
      </c>
      <c r="C671" s="76" t="s">
        <v>213</v>
      </c>
      <c r="D671" s="76" t="s">
        <v>213</v>
      </c>
      <c r="E671" s="76" t="s">
        <v>213</v>
      </c>
      <c r="F671" s="76" t="s">
        <v>213</v>
      </c>
      <c r="G671" s="42" t="s">
        <v>213</v>
      </c>
      <c r="H671" s="76">
        <v>19049</v>
      </c>
      <c r="I671" s="42">
        <v>94110</v>
      </c>
      <c r="J671" s="42">
        <v>20946</v>
      </c>
      <c r="K671" s="42">
        <v>61803</v>
      </c>
      <c r="L671" s="42">
        <v>202779</v>
      </c>
    </row>
    <row r="672" spans="1:12" x14ac:dyDescent="0.2">
      <c r="B672" s="43"/>
      <c r="C672" s="43"/>
      <c r="D672" s="43"/>
      <c r="E672" s="43"/>
      <c r="F672" s="43"/>
      <c r="G672" s="43"/>
      <c r="H672" s="43"/>
      <c r="I672" s="43"/>
      <c r="L672" s="38"/>
    </row>
    <row r="673" spans="1:12" s="45" customFormat="1" x14ac:dyDescent="0.2">
      <c r="A673" s="38"/>
      <c r="B673" s="38"/>
      <c r="C673" s="38"/>
      <c r="D673" s="38"/>
      <c r="E673" s="38"/>
      <c r="F673" s="38"/>
      <c r="G673" s="38"/>
      <c r="H673" s="38"/>
      <c r="I673" s="43"/>
      <c r="J673" s="42"/>
      <c r="K673" s="43"/>
    </row>
    <row r="674" spans="1:12" x14ac:dyDescent="0.2">
      <c r="I674" s="43"/>
      <c r="L674" s="38"/>
    </row>
    <row r="675" spans="1:12" x14ac:dyDescent="0.2">
      <c r="I675" s="43"/>
      <c r="L675" s="38"/>
    </row>
    <row r="676" spans="1:12" x14ac:dyDescent="0.2">
      <c r="I676" s="43"/>
      <c r="L676" s="38"/>
    </row>
    <row r="677" spans="1:12" x14ac:dyDescent="0.2">
      <c r="I677" s="43"/>
      <c r="L677" s="38"/>
    </row>
    <row r="678" spans="1:12" ht="11.25" customHeight="1" x14ac:dyDescent="0.25">
      <c r="A678" s="117" t="s">
        <v>229</v>
      </c>
      <c r="B678" s="117"/>
      <c r="C678" s="117"/>
      <c r="D678" s="117"/>
      <c r="E678" s="117"/>
      <c r="F678" s="117"/>
      <c r="G678" s="117"/>
      <c r="H678" s="117"/>
      <c r="I678" s="117"/>
      <c r="J678" s="117"/>
      <c r="K678" s="117"/>
      <c r="L678" s="38"/>
    </row>
    <row r="679" spans="1:12" ht="10.199999999999999" x14ac:dyDescent="0.2">
      <c r="A679" s="116" t="s">
        <v>0</v>
      </c>
      <c r="B679" s="116"/>
      <c r="C679" s="116"/>
      <c r="D679" s="116"/>
      <c r="E679" s="116"/>
      <c r="F679" s="116"/>
      <c r="G679" s="116"/>
      <c r="H679" s="116"/>
      <c r="I679" s="116"/>
      <c r="J679" s="116"/>
      <c r="K679" s="116"/>
    </row>
    <row r="680" spans="1:12" x14ac:dyDescent="0.2">
      <c r="I680" s="43"/>
    </row>
    <row r="681" spans="1:12" s="40" customFormat="1" ht="11.4" x14ac:dyDescent="0.2">
      <c r="A681" s="38"/>
      <c r="B681" s="38"/>
      <c r="C681" s="38"/>
      <c r="D681" s="38"/>
      <c r="E681" s="38"/>
      <c r="F681" s="38"/>
      <c r="G681" s="38"/>
      <c r="H681" s="38"/>
      <c r="I681" s="43"/>
      <c r="J681" s="42"/>
      <c r="K681" s="43"/>
      <c r="L681" s="39"/>
    </row>
    <row r="682" spans="1:12" s="45" customFormat="1" x14ac:dyDescent="0.2">
      <c r="A682" s="46" t="s">
        <v>1</v>
      </c>
      <c r="B682" s="46">
        <v>2007</v>
      </c>
      <c r="C682" s="47">
        <v>2008</v>
      </c>
      <c r="D682" s="47">
        <v>2009</v>
      </c>
      <c r="E682" s="48">
        <v>2010</v>
      </c>
      <c r="F682" s="46">
        <v>2011</v>
      </c>
      <c r="G682" s="47">
        <v>2012</v>
      </c>
      <c r="H682" s="46">
        <v>2013</v>
      </c>
      <c r="I682" s="46">
        <v>2014</v>
      </c>
      <c r="J682" s="46">
        <v>2015</v>
      </c>
      <c r="K682" s="46">
        <v>2016</v>
      </c>
      <c r="L682" s="46">
        <v>2017</v>
      </c>
    </row>
    <row r="683" spans="1:12" x14ac:dyDescent="0.2">
      <c r="C683" s="43"/>
      <c r="D683" s="43"/>
      <c r="E683" s="42"/>
      <c r="G683" s="43"/>
      <c r="I683" s="38"/>
      <c r="J683" s="38"/>
    </row>
    <row r="684" spans="1:12" x14ac:dyDescent="0.2">
      <c r="A684" s="46" t="s">
        <v>150</v>
      </c>
      <c r="B684" s="52">
        <f>SUM(B686:B686)</f>
        <v>2135</v>
      </c>
      <c r="C684" s="52">
        <f>(C686+0)</f>
        <v>1913</v>
      </c>
      <c r="D684" s="52">
        <v>1892</v>
      </c>
      <c r="E684" s="52">
        <v>512</v>
      </c>
      <c r="F684" s="52">
        <v>82</v>
      </c>
      <c r="G684" s="52">
        <v>1004</v>
      </c>
      <c r="H684" s="52">
        <v>628</v>
      </c>
      <c r="I684" s="52">
        <v>881</v>
      </c>
      <c r="J684" s="52">
        <v>1221</v>
      </c>
      <c r="K684" s="52">
        <f>(859+944)</f>
        <v>1803</v>
      </c>
      <c r="L684" s="52">
        <f>SUM(L685:L686)</f>
        <v>1018</v>
      </c>
    </row>
    <row r="685" spans="1:12" s="45" customFormat="1" x14ac:dyDescent="0.2">
      <c r="A685" s="81" t="s">
        <v>152</v>
      </c>
      <c r="B685" s="78" t="s">
        <v>213</v>
      </c>
      <c r="C685" s="78" t="s">
        <v>213</v>
      </c>
      <c r="D685" s="78" t="s">
        <v>213</v>
      </c>
      <c r="E685" s="78" t="s">
        <v>213</v>
      </c>
      <c r="F685" s="78" t="s">
        <v>213</v>
      </c>
      <c r="G685" s="78" t="s">
        <v>213</v>
      </c>
      <c r="H685" s="78" t="s">
        <v>213</v>
      </c>
      <c r="I685" s="78">
        <v>11</v>
      </c>
      <c r="J685" s="78" t="s">
        <v>213</v>
      </c>
      <c r="K685" s="95" t="s">
        <v>213</v>
      </c>
      <c r="L685" s="95" t="s">
        <v>213</v>
      </c>
    </row>
    <row r="686" spans="1:12" x14ac:dyDescent="0.2">
      <c r="A686" s="38" t="s">
        <v>165</v>
      </c>
      <c r="B686" s="42">
        <v>2135</v>
      </c>
      <c r="C686" s="42">
        <v>1913</v>
      </c>
      <c r="D686" s="42">
        <v>1892</v>
      </c>
      <c r="E686" s="42">
        <v>512</v>
      </c>
      <c r="F686" s="42">
        <v>82</v>
      </c>
      <c r="G686" s="42">
        <v>1004</v>
      </c>
      <c r="H686" s="42">
        <v>628</v>
      </c>
      <c r="I686" s="42">
        <v>870</v>
      </c>
      <c r="J686" s="42">
        <v>1221</v>
      </c>
      <c r="K686" s="42">
        <v>1803</v>
      </c>
      <c r="L686" s="42">
        <v>1018</v>
      </c>
    </row>
    <row r="687" spans="1:12" s="45" customFormat="1" x14ac:dyDescent="0.2">
      <c r="A687" s="38"/>
      <c r="B687" s="38"/>
      <c r="C687" s="38"/>
      <c r="D687" s="38"/>
      <c r="E687" s="38"/>
      <c r="F687" s="38"/>
      <c r="G687" s="43"/>
      <c r="H687" s="41"/>
      <c r="I687" s="42"/>
      <c r="J687" s="43"/>
      <c r="K687" s="43"/>
    </row>
    <row r="688" spans="1:12" s="45" customFormat="1" x14ac:dyDescent="0.2">
      <c r="A688" s="38"/>
      <c r="B688" s="38"/>
      <c r="C688" s="38"/>
      <c r="D688" s="38"/>
      <c r="E688" s="38"/>
      <c r="F688" s="38"/>
      <c r="G688" s="43"/>
      <c r="H688" s="41"/>
      <c r="I688" s="42"/>
      <c r="J688" s="43"/>
      <c r="K688" s="43"/>
    </row>
    <row r="689" spans="1:12" x14ac:dyDescent="0.2">
      <c r="L689" s="38"/>
    </row>
    <row r="690" spans="1:12" ht="12" x14ac:dyDescent="0.25">
      <c r="A690" s="117" t="s">
        <v>230</v>
      </c>
      <c r="B690" s="117"/>
      <c r="C690" s="117"/>
      <c r="D690" s="117"/>
      <c r="E690" s="117"/>
      <c r="F690" s="117"/>
      <c r="G690" s="117"/>
      <c r="H690" s="117"/>
      <c r="I690" s="117"/>
      <c r="J690" s="117"/>
      <c r="K690" s="117"/>
      <c r="L690" s="38"/>
    </row>
    <row r="691" spans="1:12" ht="10.199999999999999" x14ac:dyDescent="0.2">
      <c r="A691" s="116" t="s">
        <v>0</v>
      </c>
      <c r="B691" s="116"/>
      <c r="C691" s="116"/>
      <c r="D691" s="116"/>
      <c r="E691" s="116"/>
      <c r="F691" s="116"/>
      <c r="G691" s="116"/>
      <c r="H691" s="116"/>
      <c r="I691" s="116"/>
      <c r="J691" s="116"/>
      <c r="K691" s="116"/>
      <c r="L691" s="38"/>
    </row>
    <row r="692" spans="1:12" x14ac:dyDescent="0.2">
      <c r="L692" s="38"/>
    </row>
    <row r="693" spans="1:12" x14ac:dyDescent="0.2">
      <c r="L693" s="38"/>
    </row>
    <row r="694" spans="1:12" x14ac:dyDescent="0.2">
      <c r="A694" s="46" t="s">
        <v>1</v>
      </c>
      <c r="B694" s="99">
        <v>2007</v>
      </c>
      <c r="C694" s="99">
        <v>2008</v>
      </c>
      <c r="D694" s="48">
        <v>2009</v>
      </c>
      <c r="E694" s="48">
        <v>2010</v>
      </c>
      <c r="F694" s="99">
        <v>2011</v>
      </c>
      <c r="G694" s="52">
        <v>2012</v>
      </c>
      <c r="H694" s="99">
        <v>2013</v>
      </c>
      <c r="I694" s="99">
        <v>2014</v>
      </c>
      <c r="J694" s="99">
        <v>2015</v>
      </c>
      <c r="K694" s="99">
        <v>2016</v>
      </c>
      <c r="L694" s="99">
        <v>2017</v>
      </c>
    </row>
    <row r="695" spans="1:12" x14ac:dyDescent="0.2">
      <c r="B695" s="95"/>
      <c r="C695" s="95"/>
      <c r="D695" s="42"/>
      <c r="E695" s="42"/>
      <c r="F695" s="95"/>
      <c r="G695" s="42"/>
      <c r="H695" s="95"/>
      <c r="I695" s="95"/>
      <c r="J695" s="95"/>
      <c r="K695" s="42"/>
      <c r="L695" s="42"/>
    </row>
    <row r="696" spans="1:12" x14ac:dyDescent="0.2">
      <c r="A696" s="46" t="s">
        <v>150</v>
      </c>
      <c r="B696" s="52" t="s">
        <v>213</v>
      </c>
      <c r="C696" s="52" t="s">
        <v>213</v>
      </c>
      <c r="D696" s="52">
        <v>3522</v>
      </c>
      <c r="E696" s="52">
        <f>(5981+42)</f>
        <v>6023</v>
      </c>
      <c r="F696" s="99">
        <v>10745</v>
      </c>
      <c r="G696" s="52">
        <v>492</v>
      </c>
      <c r="H696" s="52">
        <v>1653</v>
      </c>
      <c r="I696" s="52">
        <v>54</v>
      </c>
      <c r="J696" s="52">
        <v>1793</v>
      </c>
      <c r="K696" s="52">
        <f>(754+1827)</f>
        <v>2581</v>
      </c>
      <c r="L696" s="52">
        <f>SUM(L697:L698)</f>
        <v>2621</v>
      </c>
    </row>
    <row r="697" spans="1:12" s="40" customFormat="1" ht="11.4" x14ac:dyDescent="0.2">
      <c r="A697" s="81" t="s">
        <v>154</v>
      </c>
      <c r="B697" s="78" t="s">
        <v>213</v>
      </c>
      <c r="C697" s="78" t="s">
        <v>213</v>
      </c>
      <c r="D697" s="78" t="s">
        <v>213</v>
      </c>
      <c r="E697" s="78" t="s">
        <v>213</v>
      </c>
      <c r="F697" s="100" t="s">
        <v>213</v>
      </c>
      <c r="G697" s="78" t="s">
        <v>213</v>
      </c>
      <c r="H697" s="78" t="s">
        <v>213</v>
      </c>
      <c r="I697" s="78" t="s">
        <v>213</v>
      </c>
      <c r="J697" s="78">
        <v>85</v>
      </c>
      <c r="K697" s="100" t="s">
        <v>213</v>
      </c>
      <c r="L697" s="100" t="s">
        <v>213</v>
      </c>
    </row>
    <row r="698" spans="1:12" s="45" customFormat="1" x14ac:dyDescent="0.2">
      <c r="A698" s="38" t="s">
        <v>165</v>
      </c>
      <c r="B698" s="76" t="s">
        <v>213</v>
      </c>
      <c r="C698" s="88" t="s">
        <v>213</v>
      </c>
      <c r="D698" s="76">
        <v>3522</v>
      </c>
      <c r="E698" s="76">
        <f>(5981+42)</f>
        <v>6023</v>
      </c>
      <c r="F698" s="95">
        <v>10745</v>
      </c>
      <c r="G698" s="42">
        <v>492</v>
      </c>
      <c r="H698" s="76">
        <v>1653</v>
      </c>
      <c r="I698" s="76">
        <v>54</v>
      </c>
      <c r="J698" s="76">
        <v>1708</v>
      </c>
      <c r="K698" s="42">
        <f>(1827+754)</f>
        <v>2581</v>
      </c>
      <c r="L698" s="42">
        <v>2621</v>
      </c>
    </row>
    <row r="699" spans="1:12" x14ac:dyDescent="0.2">
      <c r="H699" s="41"/>
      <c r="I699" s="42"/>
      <c r="J699" s="43"/>
    </row>
    <row r="701" spans="1:12" s="45" customFormat="1" x14ac:dyDescent="0.2">
      <c r="A701" s="38"/>
      <c r="B701" s="38"/>
      <c r="C701" s="38"/>
      <c r="D701" s="38"/>
      <c r="E701" s="38"/>
      <c r="F701" s="38"/>
      <c r="G701" s="38"/>
      <c r="H701" s="38"/>
      <c r="I701" s="41"/>
      <c r="J701" s="42"/>
      <c r="K701" s="43"/>
    </row>
    <row r="702" spans="1:12" s="45" customFormat="1" x14ac:dyDescent="0.2">
      <c r="A702" s="38"/>
      <c r="B702" s="38"/>
      <c r="C702" s="38"/>
      <c r="D702" s="38"/>
      <c r="E702" s="38"/>
      <c r="F702" s="38"/>
      <c r="G702" s="38"/>
      <c r="H702" s="38"/>
      <c r="I702" s="41"/>
      <c r="J702" s="42"/>
      <c r="K702" s="43"/>
    </row>
    <row r="703" spans="1:12" s="45" customFormat="1" x14ac:dyDescent="0.2">
      <c r="A703" s="38"/>
      <c r="B703" s="38"/>
      <c r="C703" s="38"/>
      <c r="D703" s="38"/>
      <c r="E703" s="38"/>
      <c r="F703" s="38"/>
      <c r="G703" s="38"/>
      <c r="H703" s="38"/>
      <c r="I703" s="41"/>
      <c r="J703" s="42"/>
      <c r="K703" s="43"/>
    </row>
    <row r="704" spans="1:12" s="45" customFormat="1" x14ac:dyDescent="0.2">
      <c r="A704" s="38"/>
      <c r="B704" s="38"/>
      <c r="C704" s="38"/>
      <c r="D704" s="38"/>
      <c r="E704" s="38"/>
      <c r="F704" s="38"/>
      <c r="G704" s="38"/>
      <c r="H704" s="38"/>
      <c r="I704" s="41"/>
      <c r="J704" s="42"/>
      <c r="K704" s="43"/>
    </row>
    <row r="705" spans="1:12" x14ac:dyDescent="0.2">
      <c r="L705" s="38"/>
    </row>
    <row r="706" spans="1:12" x14ac:dyDescent="0.2">
      <c r="L706" s="38"/>
    </row>
    <row r="707" spans="1:12" x14ac:dyDescent="0.2">
      <c r="L707" s="38"/>
    </row>
    <row r="708" spans="1:12" x14ac:dyDescent="0.2">
      <c r="L708" s="38"/>
    </row>
    <row r="709" spans="1:12" ht="12" x14ac:dyDescent="0.25">
      <c r="A709" s="117" t="s">
        <v>231</v>
      </c>
      <c r="B709" s="117"/>
      <c r="C709" s="117"/>
      <c r="D709" s="117"/>
      <c r="E709" s="117"/>
      <c r="F709" s="117"/>
      <c r="G709" s="117"/>
      <c r="H709" s="117"/>
      <c r="I709" s="117"/>
      <c r="J709" s="117"/>
      <c r="K709" s="39"/>
      <c r="L709" s="38"/>
    </row>
    <row r="710" spans="1:12" ht="10.199999999999999" x14ac:dyDescent="0.2">
      <c r="A710" s="116" t="s">
        <v>0</v>
      </c>
      <c r="B710" s="116"/>
      <c r="C710" s="116"/>
      <c r="D710" s="116"/>
      <c r="E710" s="116"/>
      <c r="F710" s="116"/>
      <c r="G710" s="116"/>
      <c r="H710" s="116"/>
      <c r="I710" s="116"/>
      <c r="J710" s="116"/>
      <c r="K710" s="116"/>
      <c r="L710" s="38"/>
    </row>
    <row r="711" spans="1:12" x14ac:dyDescent="0.2">
      <c r="L711" s="38"/>
    </row>
    <row r="712" spans="1:12" x14ac:dyDescent="0.2">
      <c r="L712" s="38"/>
    </row>
    <row r="713" spans="1:12" x14ac:dyDescent="0.2">
      <c r="A713" s="46" t="s">
        <v>1</v>
      </c>
      <c r="B713" s="46">
        <v>2007</v>
      </c>
      <c r="C713" s="46">
        <v>2008</v>
      </c>
      <c r="D713" s="46">
        <v>2009</v>
      </c>
      <c r="E713" s="48">
        <v>2010</v>
      </c>
      <c r="F713" s="46">
        <v>2011</v>
      </c>
      <c r="G713" s="48">
        <v>2012</v>
      </c>
      <c r="H713" s="46">
        <v>2013</v>
      </c>
      <c r="I713" s="46">
        <v>2014</v>
      </c>
      <c r="J713" s="46">
        <v>2015</v>
      </c>
      <c r="K713" s="46">
        <v>2016</v>
      </c>
      <c r="L713" s="46">
        <v>2017</v>
      </c>
    </row>
    <row r="714" spans="1:12" x14ac:dyDescent="0.2">
      <c r="E714" s="42"/>
      <c r="G714" s="42"/>
      <c r="I714" s="38"/>
      <c r="J714" s="38"/>
    </row>
    <row r="715" spans="1:12" x14ac:dyDescent="0.2">
      <c r="A715" s="46" t="s">
        <v>150</v>
      </c>
      <c r="B715" s="52">
        <f>SUM(B716:B718)</f>
        <v>2647</v>
      </c>
      <c r="C715" s="52">
        <f>SUM(C716:C718)</f>
        <v>2553</v>
      </c>
      <c r="D715" s="99">
        <v>1374</v>
      </c>
      <c r="E715" s="52">
        <v>1757</v>
      </c>
      <c r="F715" s="52">
        <v>1485</v>
      </c>
      <c r="G715" s="52">
        <v>1506</v>
      </c>
      <c r="H715" s="52">
        <v>1429</v>
      </c>
      <c r="I715" s="52">
        <v>1388</v>
      </c>
      <c r="J715" s="52">
        <v>1159</v>
      </c>
      <c r="K715" s="52">
        <v>1541</v>
      </c>
      <c r="L715" s="52">
        <f>SUM(L716:L718)</f>
        <v>1578</v>
      </c>
    </row>
    <row r="716" spans="1:12" x14ac:dyDescent="0.2">
      <c r="A716" s="38" t="s">
        <v>187</v>
      </c>
      <c r="B716" s="76">
        <v>1967</v>
      </c>
      <c r="C716" s="76">
        <v>1933</v>
      </c>
      <c r="D716" s="76">
        <v>1139</v>
      </c>
      <c r="E716" s="76">
        <v>1214</v>
      </c>
      <c r="F716" s="76">
        <v>1142</v>
      </c>
      <c r="G716" s="42">
        <v>1068</v>
      </c>
      <c r="H716" s="76">
        <v>915</v>
      </c>
      <c r="I716" s="76">
        <v>1059</v>
      </c>
      <c r="J716" s="76">
        <v>581</v>
      </c>
      <c r="K716" s="42">
        <v>1033</v>
      </c>
      <c r="L716" s="42">
        <v>1244</v>
      </c>
    </row>
    <row r="717" spans="1:12" x14ac:dyDescent="0.2">
      <c r="A717" s="38" t="s">
        <v>155</v>
      </c>
      <c r="B717" s="76">
        <v>27</v>
      </c>
      <c r="C717" s="76">
        <v>15</v>
      </c>
      <c r="D717" s="76">
        <v>26</v>
      </c>
      <c r="E717" s="76" t="s">
        <v>213</v>
      </c>
      <c r="F717" s="76" t="s">
        <v>213</v>
      </c>
      <c r="G717" s="42" t="s">
        <v>213</v>
      </c>
      <c r="H717" s="76" t="s">
        <v>213</v>
      </c>
      <c r="I717" s="76" t="s">
        <v>213</v>
      </c>
      <c r="J717" s="76">
        <v>6</v>
      </c>
      <c r="K717" s="42" t="s">
        <v>213</v>
      </c>
      <c r="L717" s="42" t="s">
        <v>213</v>
      </c>
    </row>
    <row r="718" spans="1:12" x14ac:dyDescent="0.2">
      <c r="A718" s="38" t="s">
        <v>188</v>
      </c>
      <c r="B718" s="76">
        <v>653</v>
      </c>
      <c r="C718" s="76">
        <v>605</v>
      </c>
      <c r="D718" s="76">
        <v>209</v>
      </c>
      <c r="E718" s="76">
        <f>(37+506)</f>
        <v>543</v>
      </c>
      <c r="F718" s="76">
        <f>(61+282)</f>
        <v>343</v>
      </c>
      <c r="G718" s="42">
        <v>438</v>
      </c>
      <c r="H718" s="76">
        <v>514</v>
      </c>
      <c r="I718" s="76">
        <v>329</v>
      </c>
      <c r="J718" s="76">
        <v>572</v>
      </c>
      <c r="K718" s="42">
        <f>(83+425)</f>
        <v>508</v>
      </c>
      <c r="L718" s="42">
        <v>334</v>
      </c>
    </row>
    <row r="719" spans="1:12" x14ac:dyDescent="0.2">
      <c r="B719" s="76"/>
      <c r="C719" s="76"/>
      <c r="D719" s="76"/>
      <c r="E719" s="76"/>
      <c r="F719" s="76"/>
      <c r="G719" s="76"/>
      <c r="H719" s="76"/>
      <c r="I719" s="76"/>
      <c r="J719" s="76"/>
      <c r="K719" s="42"/>
    </row>
    <row r="720" spans="1:12" x14ac:dyDescent="0.2">
      <c r="B720" s="43"/>
      <c r="C720" s="43"/>
      <c r="D720" s="43"/>
      <c r="E720" s="43"/>
      <c r="F720" s="43"/>
      <c r="G720" s="43"/>
      <c r="H720" s="43"/>
      <c r="I720" s="38"/>
      <c r="K720" s="42"/>
    </row>
    <row r="721" spans="1:12" ht="12" x14ac:dyDescent="0.25">
      <c r="A721" s="117" t="s">
        <v>232</v>
      </c>
      <c r="B721" s="117"/>
      <c r="C721" s="117"/>
      <c r="D721" s="117"/>
      <c r="E721" s="117"/>
      <c r="F721" s="117"/>
      <c r="G721" s="117"/>
      <c r="H721" s="117"/>
      <c r="I721" s="117"/>
      <c r="J721" s="117"/>
      <c r="K721" s="117"/>
    </row>
    <row r="722" spans="1:12" s="40" customFormat="1" ht="11.4" x14ac:dyDescent="0.2">
      <c r="A722" s="116" t="s">
        <v>0</v>
      </c>
      <c r="B722" s="116"/>
      <c r="C722" s="116"/>
      <c r="D722" s="116"/>
      <c r="E722" s="116"/>
      <c r="F722" s="116"/>
      <c r="G722" s="116"/>
      <c r="H722" s="116"/>
      <c r="I722" s="116"/>
      <c r="J722" s="116"/>
      <c r="K722" s="116"/>
      <c r="L722" s="39"/>
    </row>
    <row r="723" spans="1:12" s="45" customFormat="1" x14ac:dyDescent="0.2">
      <c r="A723" s="38"/>
      <c r="B723" s="38"/>
      <c r="C723" s="38"/>
      <c r="D723" s="38"/>
      <c r="E723" s="38"/>
      <c r="F723" s="38"/>
      <c r="G723" s="38"/>
      <c r="H723" s="38"/>
      <c r="I723" s="41"/>
      <c r="J723" s="42"/>
      <c r="K723" s="42"/>
      <c r="L723" s="44"/>
    </row>
    <row r="724" spans="1:12" s="45" customFormat="1" x14ac:dyDescent="0.2">
      <c r="A724" s="46" t="s">
        <v>1</v>
      </c>
      <c r="B724" s="46">
        <v>2007</v>
      </c>
      <c r="C724" s="46">
        <v>2008</v>
      </c>
      <c r="D724" s="46">
        <v>2009</v>
      </c>
      <c r="E724" s="48">
        <v>2010</v>
      </c>
      <c r="F724" s="46">
        <v>2011</v>
      </c>
      <c r="G724" s="48">
        <v>2012</v>
      </c>
      <c r="H724" s="46">
        <v>2013</v>
      </c>
      <c r="I724" s="46">
        <v>2014</v>
      </c>
      <c r="J724" s="46">
        <v>2015</v>
      </c>
      <c r="K724" s="46">
        <v>2016</v>
      </c>
      <c r="L724" s="46">
        <v>2017</v>
      </c>
    </row>
    <row r="725" spans="1:12" s="45" customFormat="1" x14ac:dyDescent="0.2">
      <c r="A725" s="38"/>
      <c r="B725" s="38"/>
      <c r="C725" s="38"/>
      <c r="D725" s="38"/>
      <c r="E725" s="78"/>
      <c r="F725" s="38"/>
      <c r="G725" s="42"/>
      <c r="H725" s="38"/>
      <c r="I725" s="38"/>
      <c r="J725" s="38"/>
      <c r="K725" s="43"/>
      <c r="L725" s="43"/>
    </row>
    <row r="726" spans="1:12" s="45" customFormat="1" x14ac:dyDescent="0.2">
      <c r="A726" s="46" t="s">
        <v>150</v>
      </c>
      <c r="B726" s="53">
        <f>SUM(B727:B729)</f>
        <v>2245</v>
      </c>
      <c r="C726" s="53">
        <f>SUM(C727:C729)</f>
        <v>1387</v>
      </c>
      <c r="D726" s="46">
        <v>3093</v>
      </c>
      <c r="E726" s="52">
        <f>(3099+878)</f>
        <v>3977</v>
      </c>
      <c r="F726" s="53">
        <v>307</v>
      </c>
      <c r="G726" s="52">
        <v>2359</v>
      </c>
      <c r="H726" s="53">
        <f>(1338+2550)</f>
        <v>3888</v>
      </c>
      <c r="I726" s="53">
        <v>3306</v>
      </c>
      <c r="J726" s="53">
        <v>3872</v>
      </c>
      <c r="K726" s="53">
        <f>(575+3467)</f>
        <v>4042</v>
      </c>
      <c r="L726" s="53">
        <v>4846</v>
      </c>
    </row>
    <row r="727" spans="1:12" s="45" customFormat="1" x14ac:dyDescent="0.2">
      <c r="A727" s="38" t="s">
        <v>154</v>
      </c>
      <c r="B727" s="76" t="s">
        <v>213</v>
      </c>
      <c r="C727" s="76" t="s">
        <v>213</v>
      </c>
      <c r="D727" s="76" t="s">
        <v>213</v>
      </c>
      <c r="E727" s="76" t="s">
        <v>213</v>
      </c>
      <c r="F727" s="76" t="s">
        <v>213</v>
      </c>
      <c r="G727" s="42" t="s">
        <v>213</v>
      </c>
      <c r="H727" s="76" t="s">
        <v>213</v>
      </c>
      <c r="I727" s="76" t="s">
        <v>213</v>
      </c>
      <c r="J727" s="76" t="s">
        <v>213</v>
      </c>
      <c r="K727" s="42" t="s">
        <v>213</v>
      </c>
      <c r="L727" s="42">
        <v>2</v>
      </c>
    </row>
    <row r="728" spans="1:12" s="45" customFormat="1" x14ac:dyDescent="0.2">
      <c r="A728" s="38" t="s">
        <v>189</v>
      </c>
      <c r="B728" s="76">
        <v>590</v>
      </c>
      <c r="C728" s="76" t="s">
        <v>213</v>
      </c>
      <c r="D728" s="76">
        <v>946</v>
      </c>
      <c r="E728" s="76">
        <v>1290</v>
      </c>
      <c r="F728" s="76" t="s">
        <v>213</v>
      </c>
      <c r="G728" s="42">
        <v>548</v>
      </c>
      <c r="H728" s="76">
        <v>507</v>
      </c>
      <c r="I728" s="76">
        <v>123</v>
      </c>
      <c r="J728" s="76">
        <v>230</v>
      </c>
      <c r="K728" s="42">
        <v>274</v>
      </c>
      <c r="L728" s="42">
        <v>1670</v>
      </c>
    </row>
    <row r="729" spans="1:12" s="45" customFormat="1" x14ac:dyDescent="0.2">
      <c r="A729" s="38" t="s">
        <v>190</v>
      </c>
      <c r="B729" s="76">
        <v>1655</v>
      </c>
      <c r="C729" s="76">
        <f>(45+1065+277)</f>
        <v>1387</v>
      </c>
      <c r="D729" s="76">
        <v>2147</v>
      </c>
      <c r="E729" s="76">
        <f>(19+1052+738+14+379+204+279+2)</f>
        <v>2687</v>
      </c>
      <c r="F729" s="76">
        <f>(22+285)</f>
        <v>307</v>
      </c>
      <c r="G729" s="42">
        <f>(960+851)</f>
        <v>1811</v>
      </c>
      <c r="H729" s="76">
        <f>(753+1290+21+216+1101)</f>
        <v>3381</v>
      </c>
      <c r="I729" s="76">
        <v>3181</v>
      </c>
      <c r="J729" s="76">
        <v>3642</v>
      </c>
      <c r="K729" s="42">
        <f>(2+415+158+59+849+2281)</f>
        <v>3764</v>
      </c>
      <c r="L729" s="42">
        <v>3156</v>
      </c>
    </row>
    <row r="730" spans="1:12" s="45" customFormat="1" x14ac:dyDescent="0.2">
      <c r="A730" s="38" t="s">
        <v>165</v>
      </c>
      <c r="B730" s="76" t="s">
        <v>213</v>
      </c>
      <c r="C730" s="76" t="s">
        <v>213</v>
      </c>
      <c r="D730" s="76" t="s">
        <v>213</v>
      </c>
      <c r="E730" s="76" t="s">
        <v>213</v>
      </c>
      <c r="F730" s="76" t="s">
        <v>213</v>
      </c>
      <c r="G730" s="76" t="s">
        <v>213</v>
      </c>
      <c r="H730" s="76" t="s">
        <v>213</v>
      </c>
      <c r="I730" s="42">
        <v>2</v>
      </c>
      <c r="J730" s="42" t="s">
        <v>213</v>
      </c>
      <c r="K730" s="42" t="s">
        <v>213</v>
      </c>
      <c r="L730" s="42" t="s">
        <v>213</v>
      </c>
    </row>
    <row r="731" spans="1:12" s="45" customFormat="1" x14ac:dyDescent="0.2">
      <c r="A731" s="38" t="s">
        <v>152</v>
      </c>
      <c r="B731" s="95" t="s">
        <v>213</v>
      </c>
      <c r="C731" s="95" t="s">
        <v>213</v>
      </c>
      <c r="D731" s="95" t="s">
        <v>213</v>
      </c>
      <c r="E731" s="95" t="s">
        <v>213</v>
      </c>
      <c r="F731" s="95" t="s">
        <v>213</v>
      </c>
      <c r="G731" s="95" t="s">
        <v>213</v>
      </c>
      <c r="H731" s="95" t="s">
        <v>213</v>
      </c>
      <c r="I731" s="95" t="s">
        <v>213</v>
      </c>
      <c r="J731" s="95" t="s">
        <v>213</v>
      </c>
      <c r="K731" s="42">
        <v>4</v>
      </c>
      <c r="L731" s="42" t="s">
        <v>213</v>
      </c>
    </row>
    <row r="732" spans="1:12" x14ac:dyDescent="0.2">
      <c r="K732" s="42"/>
      <c r="L732" s="38"/>
    </row>
    <row r="733" spans="1:12" x14ac:dyDescent="0.2">
      <c r="K733" s="42"/>
      <c r="L733" s="38"/>
    </row>
    <row r="734" spans="1:12" ht="12" x14ac:dyDescent="0.25">
      <c r="A734" s="117" t="s">
        <v>233</v>
      </c>
      <c r="B734" s="117"/>
      <c r="C734" s="117"/>
      <c r="D734" s="117"/>
      <c r="E734" s="117"/>
      <c r="F734" s="117"/>
      <c r="G734" s="117"/>
      <c r="H734" s="117"/>
      <c r="I734" s="117"/>
      <c r="J734" s="117"/>
      <c r="K734" s="117"/>
      <c r="L734" s="38"/>
    </row>
    <row r="735" spans="1:12" s="45" customFormat="1" ht="10.199999999999999" x14ac:dyDescent="0.2">
      <c r="A735" s="116" t="s">
        <v>0</v>
      </c>
      <c r="B735" s="116"/>
      <c r="C735" s="116"/>
      <c r="D735" s="116"/>
      <c r="E735" s="116"/>
      <c r="F735" s="116"/>
      <c r="G735" s="116"/>
      <c r="H735" s="116"/>
      <c r="I735" s="116"/>
      <c r="J735" s="116"/>
      <c r="K735" s="116"/>
    </row>
    <row r="736" spans="1:12" x14ac:dyDescent="0.2">
      <c r="K736" s="42"/>
      <c r="L736" s="38"/>
    </row>
    <row r="737" spans="1:12" x14ac:dyDescent="0.2">
      <c r="K737" s="42"/>
      <c r="L737" s="38"/>
    </row>
    <row r="738" spans="1:12" x14ac:dyDescent="0.2">
      <c r="A738" s="46" t="s">
        <v>1</v>
      </c>
      <c r="B738" s="46">
        <v>2007</v>
      </c>
      <c r="C738" s="46">
        <v>2008</v>
      </c>
      <c r="D738" s="46">
        <v>2009</v>
      </c>
      <c r="E738" s="48">
        <v>2010</v>
      </c>
      <c r="F738" s="46">
        <v>2011</v>
      </c>
      <c r="G738" s="48">
        <v>2012</v>
      </c>
      <c r="H738" s="46">
        <v>2013</v>
      </c>
      <c r="I738" s="46">
        <v>2014</v>
      </c>
      <c r="J738" s="46">
        <v>2015</v>
      </c>
      <c r="K738" s="46">
        <v>2016</v>
      </c>
      <c r="L738" s="46">
        <v>2017</v>
      </c>
    </row>
    <row r="739" spans="1:12" s="45" customFormat="1" x14ac:dyDescent="0.2">
      <c r="A739" s="81"/>
      <c r="B739" s="81"/>
      <c r="C739" s="38"/>
      <c r="D739" s="38"/>
      <c r="E739" s="42"/>
      <c r="F739" s="81"/>
      <c r="G739" s="42"/>
      <c r="H739" s="38"/>
      <c r="I739" s="38"/>
      <c r="J739" s="38"/>
      <c r="K739" s="43"/>
      <c r="L739" s="43"/>
    </row>
    <row r="740" spans="1:12" x14ac:dyDescent="0.2">
      <c r="A740" s="85" t="s">
        <v>169</v>
      </c>
      <c r="B740" s="86">
        <v>30</v>
      </c>
      <c r="C740" s="86">
        <v>224</v>
      </c>
      <c r="D740" s="45">
        <v>14</v>
      </c>
      <c r="E740" s="90">
        <v>26</v>
      </c>
      <c r="F740" s="49">
        <v>3</v>
      </c>
      <c r="G740" s="90">
        <v>2</v>
      </c>
      <c r="H740" s="90" t="s">
        <v>213</v>
      </c>
      <c r="I740" s="90">
        <v>2</v>
      </c>
      <c r="J740" s="90">
        <v>6</v>
      </c>
      <c r="K740" s="45">
        <v>9</v>
      </c>
      <c r="L740" s="45">
        <v>26</v>
      </c>
    </row>
    <row r="741" spans="1:12" s="45" customFormat="1" x14ac:dyDescent="0.2">
      <c r="A741" s="46" t="s">
        <v>2</v>
      </c>
      <c r="B741" s="53">
        <f>SUM(B742:B745)</f>
        <v>30</v>
      </c>
      <c r="C741" s="53">
        <f>(C743+C745)</f>
        <v>224</v>
      </c>
      <c r="D741" s="46">
        <v>14</v>
      </c>
      <c r="E741" s="52">
        <v>26</v>
      </c>
      <c r="F741" s="52" t="s">
        <v>213</v>
      </c>
      <c r="G741" s="52" t="s">
        <v>213</v>
      </c>
      <c r="H741" s="52" t="s">
        <v>213</v>
      </c>
      <c r="I741" s="52" t="s">
        <v>213</v>
      </c>
      <c r="J741" s="83" t="s">
        <v>213</v>
      </c>
      <c r="K741" s="99" t="s">
        <v>213</v>
      </c>
      <c r="L741" s="99" t="s">
        <v>213</v>
      </c>
    </row>
    <row r="742" spans="1:12" x14ac:dyDescent="0.2">
      <c r="A742" s="38" t="s">
        <v>7</v>
      </c>
      <c r="B742" s="76" t="s">
        <v>213</v>
      </c>
      <c r="C742" s="88" t="s">
        <v>213</v>
      </c>
      <c r="D742" s="88">
        <v>14</v>
      </c>
      <c r="E742" s="76">
        <v>26</v>
      </c>
      <c r="F742" s="76" t="s">
        <v>213</v>
      </c>
      <c r="G742" s="42" t="s">
        <v>213</v>
      </c>
      <c r="H742" s="76" t="s">
        <v>213</v>
      </c>
      <c r="I742" s="76" t="s">
        <v>213</v>
      </c>
      <c r="J742" s="76" t="s">
        <v>213</v>
      </c>
      <c r="K742" s="42" t="s">
        <v>213</v>
      </c>
      <c r="L742" s="42" t="s">
        <v>213</v>
      </c>
    </row>
    <row r="743" spans="1:12" hidden="1" x14ac:dyDescent="0.2">
      <c r="A743" s="38" t="s">
        <v>67</v>
      </c>
      <c r="B743" s="76" t="s">
        <v>213</v>
      </c>
      <c r="C743" s="88">
        <v>155</v>
      </c>
      <c r="D743" s="88" t="s">
        <v>213</v>
      </c>
      <c r="E743" s="76" t="s">
        <v>213</v>
      </c>
      <c r="F743" s="76" t="s">
        <v>213</v>
      </c>
      <c r="G743" s="42" t="s">
        <v>213</v>
      </c>
      <c r="H743" s="76" t="s">
        <v>213</v>
      </c>
      <c r="I743" s="76" t="s">
        <v>213</v>
      </c>
      <c r="J743" s="76" t="s">
        <v>213</v>
      </c>
      <c r="K743" s="42" t="s">
        <v>213</v>
      </c>
      <c r="L743" s="42"/>
    </row>
    <row r="744" spans="1:12" x14ac:dyDescent="0.2">
      <c r="A744" s="38" t="s">
        <v>68</v>
      </c>
      <c r="B744" s="77">
        <v>30</v>
      </c>
      <c r="C744" s="101" t="s">
        <v>213</v>
      </c>
      <c r="D744" s="101" t="s">
        <v>213</v>
      </c>
      <c r="E744" s="77" t="s">
        <v>213</v>
      </c>
      <c r="F744" s="77" t="s">
        <v>213</v>
      </c>
      <c r="G744" s="42" t="s">
        <v>213</v>
      </c>
      <c r="H744" s="76" t="s">
        <v>213</v>
      </c>
      <c r="I744" s="76" t="s">
        <v>213</v>
      </c>
      <c r="J744" s="76" t="s">
        <v>213</v>
      </c>
      <c r="K744" s="42" t="s">
        <v>213</v>
      </c>
      <c r="L744" s="42" t="s">
        <v>213</v>
      </c>
    </row>
    <row r="745" spans="1:12" x14ac:dyDescent="0.2">
      <c r="A745" s="38" t="s">
        <v>172</v>
      </c>
      <c r="B745" s="82" t="s">
        <v>213</v>
      </c>
      <c r="C745" s="102">
        <v>69</v>
      </c>
      <c r="D745" s="102" t="s">
        <v>213</v>
      </c>
      <c r="E745" s="82" t="s">
        <v>213</v>
      </c>
      <c r="F745" s="82" t="s">
        <v>213</v>
      </c>
      <c r="G745" s="42" t="s">
        <v>213</v>
      </c>
      <c r="H745" s="76" t="s">
        <v>213</v>
      </c>
      <c r="I745" s="76" t="s">
        <v>213</v>
      </c>
      <c r="J745" s="76" t="s">
        <v>213</v>
      </c>
      <c r="K745" s="42" t="s">
        <v>213</v>
      </c>
      <c r="L745" s="42" t="s">
        <v>213</v>
      </c>
    </row>
    <row r="746" spans="1:12" x14ac:dyDescent="0.2">
      <c r="A746" s="46" t="s">
        <v>146</v>
      </c>
      <c r="B746" s="76" t="s">
        <v>213</v>
      </c>
      <c r="C746" s="76" t="s">
        <v>213</v>
      </c>
      <c r="D746" s="76" t="s">
        <v>213</v>
      </c>
      <c r="E746" s="76" t="s">
        <v>213</v>
      </c>
      <c r="F746" s="76" t="s">
        <v>213</v>
      </c>
      <c r="G746" s="52">
        <v>2</v>
      </c>
      <c r="H746" s="99" t="s">
        <v>213</v>
      </c>
      <c r="I746" s="99">
        <v>2</v>
      </c>
      <c r="J746" s="99">
        <v>2</v>
      </c>
      <c r="K746" s="53">
        <v>9</v>
      </c>
      <c r="L746" s="53">
        <v>26</v>
      </c>
    </row>
    <row r="747" spans="1:12" x14ac:dyDescent="0.2">
      <c r="A747" s="97" t="s">
        <v>148</v>
      </c>
      <c r="B747" s="103" t="s">
        <v>213</v>
      </c>
      <c r="C747" s="103" t="s">
        <v>213</v>
      </c>
      <c r="D747" s="103" t="s">
        <v>213</v>
      </c>
      <c r="E747" s="104" t="s">
        <v>213</v>
      </c>
      <c r="F747" s="83" t="s">
        <v>213</v>
      </c>
      <c r="G747" s="83">
        <v>2</v>
      </c>
      <c r="H747" s="103" t="s">
        <v>213</v>
      </c>
      <c r="I747" s="103">
        <v>2</v>
      </c>
      <c r="J747" s="103">
        <v>2</v>
      </c>
      <c r="K747" s="105">
        <v>9</v>
      </c>
      <c r="L747" s="105">
        <v>26</v>
      </c>
    </row>
    <row r="748" spans="1:12" x14ac:dyDescent="0.2">
      <c r="K748" s="42"/>
    </row>
    <row r="749" spans="1:12" x14ac:dyDescent="0.2">
      <c r="K749" s="42"/>
    </row>
    <row r="750" spans="1:12" ht="12" x14ac:dyDescent="0.25">
      <c r="A750" s="117" t="s">
        <v>234</v>
      </c>
      <c r="B750" s="117"/>
      <c r="C750" s="117"/>
      <c r="D750" s="117"/>
      <c r="E750" s="117"/>
      <c r="F750" s="117"/>
      <c r="G750" s="117"/>
      <c r="H750" s="117"/>
      <c r="I750" s="117"/>
      <c r="J750" s="117"/>
      <c r="K750" s="117"/>
    </row>
    <row r="751" spans="1:12" ht="10.199999999999999" x14ac:dyDescent="0.2">
      <c r="A751" s="116" t="s">
        <v>0</v>
      </c>
      <c r="B751" s="116"/>
      <c r="C751" s="116"/>
      <c r="D751" s="116"/>
      <c r="E751" s="116"/>
      <c r="F751" s="116"/>
      <c r="G751" s="116"/>
      <c r="H751" s="116"/>
      <c r="I751" s="116"/>
      <c r="J751" s="116"/>
      <c r="K751" s="116"/>
    </row>
    <row r="752" spans="1:12" x14ac:dyDescent="0.2">
      <c r="K752" s="42"/>
    </row>
    <row r="753" spans="1:12" x14ac:dyDescent="0.2">
      <c r="K753" s="42"/>
    </row>
    <row r="754" spans="1:12" s="40" customFormat="1" ht="11.4" x14ac:dyDescent="0.2">
      <c r="A754" s="46" t="s">
        <v>1</v>
      </c>
      <c r="B754" s="46">
        <v>2007</v>
      </c>
      <c r="C754" s="46">
        <v>2008</v>
      </c>
      <c r="D754" s="46">
        <v>2009</v>
      </c>
      <c r="E754" s="48">
        <v>2010</v>
      </c>
      <c r="F754" s="46">
        <v>2011</v>
      </c>
      <c r="G754" s="48">
        <v>2012</v>
      </c>
      <c r="H754" s="46">
        <v>2013</v>
      </c>
      <c r="I754" s="46">
        <v>2014</v>
      </c>
      <c r="J754" s="46">
        <v>2015</v>
      </c>
      <c r="K754" s="46">
        <v>2016</v>
      </c>
      <c r="L754" s="46">
        <v>2017</v>
      </c>
    </row>
    <row r="755" spans="1:12" s="45" customFormat="1" x14ac:dyDescent="0.2">
      <c r="E755" s="90"/>
      <c r="G755" s="90"/>
    </row>
    <row r="756" spans="1:12" s="45" customFormat="1" x14ac:dyDescent="0.2">
      <c r="A756" s="45" t="s">
        <v>169</v>
      </c>
      <c r="B756" s="44">
        <f>SUM(B757)</f>
        <v>23</v>
      </c>
      <c r="C756" s="44">
        <v>18</v>
      </c>
      <c r="D756" s="45">
        <v>74</v>
      </c>
      <c r="E756" s="90">
        <v>105</v>
      </c>
      <c r="F756" s="44">
        <v>98</v>
      </c>
      <c r="G756" s="90">
        <v>146</v>
      </c>
      <c r="H756" s="44">
        <v>50</v>
      </c>
      <c r="I756" s="44">
        <v>47</v>
      </c>
      <c r="J756" s="44">
        <v>1</v>
      </c>
      <c r="K756" s="106">
        <v>3</v>
      </c>
      <c r="L756" s="106">
        <v>3</v>
      </c>
    </row>
    <row r="757" spans="1:12" s="45" customFormat="1" x14ac:dyDescent="0.2">
      <c r="A757" s="46" t="s">
        <v>2</v>
      </c>
      <c r="B757" s="53">
        <f>SUM(B758:B765)</f>
        <v>23</v>
      </c>
      <c r="C757" s="53">
        <v>18</v>
      </c>
      <c r="D757" s="46">
        <v>74</v>
      </c>
      <c r="E757" s="52">
        <v>105</v>
      </c>
      <c r="F757" s="53">
        <v>98</v>
      </c>
      <c r="G757" s="52">
        <v>146</v>
      </c>
      <c r="H757" s="53">
        <v>50</v>
      </c>
      <c r="I757" s="53">
        <v>47</v>
      </c>
      <c r="J757" s="53">
        <v>1</v>
      </c>
      <c r="K757" s="99">
        <v>3</v>
      </c>
      <c r="L757" s="99">
        <v>3</v>
      </c>
    </row>
    <row r="758" spans="1:12" s="45" customFormat="1" x14ac:dyDescent="0.2">
      <c r="A758" s="38" t="s">
        <v>18</v>
      </c>
      <c r="B758" s="76" t="s">
        <v>213</v>
      </c>
      <c r="C758" s="88" t="s">
        <v>213</v>
      </c>
      <c r="D758" s="88" t="s">
        <v>213</v>
      </c>
      <c r="E758" s="76" t="s">
        <v>213</v>
      </c>
      <c r="F758" s="76" t="s">
        <v>213</v>
      </c>
      <c r="G758" s="42" t="s">
        <v>213</v>
      </c>
      <c r="H758" s="76" t="s">
        <v>213</v>
      </c>
      <c r="I758" s="76" t="s">
        <v>213</v>
      </c>
      <c r="J758" s="76" t="s">
        <v>213</v>
      </c>
      <c r="K758" s="42" t="s">
        <v>213</v>
      </c>
      <c r="L758" s="42" t="s">
        <v>213</v>
      </c>
    </row>
    <row r="759" spans="1:12" s="45" customFormat="1" x14ac:dyDescent="0.2">
      <c r="A759" s="38" t="s">
        <v>40</v>
      </c>
      <c r="B759" s="76">
        <v>18</v>
      </c>
      <c r="C759" s="88">
        <v>1</v>
      </c>
      <c r="D759" s="88" t="s">
        <v>213</v>
      </c>
      <c r="E759" s="76" t="s">
        <v>213</v>
      </c>
      <c r="F759" s="76" t="s">
        <v>213</v>
      </c>
      <c r="G759" s="42" t="s">
        <v>213</v>
      </c>
      <c r="H759" s="76" t="s">
        <v>213</v>
      </c>
      <c r="I759" s="76" t="s">
        <v>213</v>
      </c>
      <c r="J759" s="76" t="s">
        <v>213</v>
      </c>
      <c r="K759" s="42" t="s">
        <v>213</v>
      </c>
      <c r="L759" s="42" t="s">
        <v>213</v>
      </c>
    </row>
    <row r="760" spans="1:12" x14ac:dyDescent="0.2">
      <c r="A760" s="38" t="s">
        <v>67</v>
      </c>
      <c r="B760" s="76" t="s">
        <v>213</v>
      </c>
      <c r="C760" s="88" t="s">
        <v>213</v>
      </c>
      <c r="D760" s="88">
        <v>72</v>
      </c>
      <c r="E760" s="76">
        <v>39</v>
      </c>
      <c r="F760" s="76">
        <v>90</v>
      </c>
      <c r="G760" s="42">
        <v>127</v>
      </c>
      <c r="H760" s="76">
        <v>31</v>
      </c>
      <c r="I760" s="76">
        <v>41</v>
      </c>
      <c r="J760" s="76" t="s">
        <v>213</v>
      </c>
      <c r="K760" s="42" t="s">
        <v>213</v>
      </c>
      <c r="L760" s="42" t="s">
        <v>213</v>
      </c>
    </row>
    <row r="761" spans="1:12" x14ac:dyDescent="0.2">
      <c r="A761" s="38" t="s">
        <v>68</v>
      </c>
      <c r="B761" s="76" t="s">
        <v>213</v>
      </c>
      <c r="C761" s="88" t="s">
        <v>213</v>
      </c>
      <c r="D761" s="88" t="s">
        <v>213</v>
      </c>
      <c r="E761" s="76" t="s">
        <v>213</v>
      </c>
      <c r="F761" s="76" t="s">
        <v>213</v>
      </c>
      <c r="G761" s="42">
        <v>3</v>
      </c>
      <c r="H761" s="76">
        <v>1</v>
      </c>
      <c r="I761" s="76" t="s">
        <v>213</v>
      </c>
      <c r="J761" s="76" t="s">
        <v>213</v>
      </c>
      <c r="K761" s="42">
        <v>1</v>
      </c>
      <c r="L761" s="42" t="s">
        <v>213</v>
      </c>
    </row>
    <row r="762" spans="1:12" x14ac:dyDescent="0.2">
      <c r="A762" s="38" t="s">
        <v>69</v>
      </c>
      <c r="B762" s="76" t="s">
        <v>213</v>
      </c>
      <c r="C762" s="88" t="s">
        <v>213</v>
      </c>
      <c r="D762" s="88" t="s">
        <v>213</v>
      </c>
      <c r="E762" s="76" t="s">
        <v>213</v>
      </c>
      <c r="F762" s="76" t="s">
        <v>213</v>
      </c>
      <c r="G762" s="42">
        <v>1</v>
      </c>
      <c r="H762" s="76" t="s">
        <v>213</v>
      </c>
      <c r="I762" s="76" t="s">
        <v>213</v>
      </c>
      <c r="J762" s="76" t="s">
        <v>213</v>
      </c>
      <c r="K762" s="42" t="s">
        <v>213</v>
      </c>
      <c r="L762" s="42" t="s">
        <v>213</v>
      </c>
    </row>
    <row r="763" spans="1:12" x14ac:dyDescent="0.2">
      <c r="A763" s="38" t="s">
        <v>77</v>
      </c>
      <c r="B763" s="76">
        <v>2</v>
      </c>
      <c r="C763" s="88">
        <v>17</v>
      </c>
      <c r="D763" s="88">
        <v>2</v>
      </c>
      <c r="E763" s="76">
        <v>66</v>
      </c>
      <c r="F763" s="76">
        <v>8</v>
      </c>
      <c r="G763" s="42">
        <v>15</v>
      </c>
      <c r="H763" s="76">
        <v>18</v>
      </c>
      <c r="I763" s="76">
        <v>6</v>
      </c>
      <c r="J763" s="76">
        <v>1</v>
      </c>
      <c r="K763" s="42">
        <v>2</v>
      </c>
      <c r="L763" s="42">
        <v>3</v>
      </c>
    </row>
    <row r="764" spans="1:12" x14ac:dyDescent="0.2">
      <c r="A764" s="38" t="s">
        <v>81</v>
      </c>
      <c r="B764" s="76">
        <v>3</v>
      </c>
      <c r="C764" s="88" t="s">
        <v>213</v>
      </c>
      <c r="D764" s="88" t="s">
        <v>213</v>
      </c>
      <c r="E764" s="76" t="s">
        <v>213</v>
      </c>
      <c r="F764" s="76" t="s">
        <v>213</v>
      </c>
      <c r="G764" s="42" t="s">
        <v>213</v>
      </c>
      <c r="H764" s="76" t="s">
        <v>213</v>
      </c>
      <c r="I764" s="76" t="s">
        <v>213</v>
      </c>
      <c r="J764" s="76" t="s">
        <v>213</v>
      </c>
      <c r="K764" s="42" t="s">
        <v>213</v>
      </c>
      <c r="L764" s="42" t="s">
        <v>213</v>
      </c>
    </row>
    <row r="765" spans="1:12" x14ac:dyDescent="0.2">
      <c r="A765" s="38" t="s">
        <v>184</v>
      </c>
      <c r="B765" s="76" t="s">
        <v>213</v>
      </c>
      <c r="C765" s="88" t="s">
        <v>213</v>
      </c>
      <c r="D765" s="88" t="s">
        <v>213</v>
      </c>
      <c r="E765" s="76" t="s">
        <v>213</v>
      </c>
      <c r="F765" s="76" t="s">
        <v>213</v>
      </c>
      <c r="G765" s="42" t="s">
        <v>213</v>
      </c>
      <c r="H765" s="76" t="s">
        <v>213</v>
      </c>
      <c r="I765" s="76" t="s">
        <v>213</v>
      </c>
      <c r="J765" s="76" t="s">
        <v>213</v>
      </c>
      <c r="K765" s="42" t="s">
        <v>213</v>
      </c>
      <c r="L765" s="42" t="s">
        <v>213</v>
      </c>
    </row>
    <row r="766" spans="1:12" x14ac:dyDescent="0.2">
      <c r="L766" s="38"/>
    </row>
    <row r="767" spans="1:12" x14ac:dyDescent="0.2">
      <c r="L767" s="38"/>
    </row>
    <row r="768" spans="1:12" x14ac:dyDescent="0.2">
      <c r="L768" s="38"/>
    </row>
    <row r="769" spans="1:12" x14ac:dyDescent="0.2">
      <c r="L769" s="38"/>
    </row>
    <row r="770" spans="1:12" x14ac:dyDescent="0.2">
      <c r="L770" s="38"/>
    </row>
    <row r="771" spans="1:12" x14ac:dyDescent="0.2">
      <c r="L771" s="38"/>
    </row>
    <row r="772" spans="1:12" x14ac:dyDescent="0.2">
      <c r="L772" s="38"/>
    </row>
    <row r="774" spans="1:12" s="40" customFormat="1" ht="11.4" x14ac:dyDescent="0.2">
      <c r="A774" s="38"/>
      <c r="B774" s="38"/>
      <c r="C774" s="38"/>
      <c r="D774" s="38"/>
      <c r="E774" s="38"/>
      <c r="F774" s="38"/>
      <c r="G774" s="38"/>
      <c r="H774" s="38"/>
      <c r="I774" s="41"/>
      <c r="J774" s="42"/>
      <c r="K774" s="43"/>
      <c r="L774" s="39"/>
    </row>
    <row r="775" spans="1:12" s="45" customFormat="1" x14ac:dyDescent="0.2">
      <c r="A775" s="38"/>
      <c r="B775" s="38"/>
      <c r="C775" s="38"/>
      <c r="D775" s="38"/>
      <c r="E775" s="38"/>
      <c r="F775" s="38"/>
      <c r="G775" s="38"/>
      <c r="H775" s="38"/>
      <c r="I775" s="41"/>
      <c r="J775" s="42"/>
      <c r="K775" s="43"/>
      <c r="L775" s="44"/>
    </row>
    <row r="776" spans="1:12" s="45" customFormat="1" ht="12" x14ac:dyDescent="0.25">
      <c r="A776" s="117" t="s">
        <v>235</v>
      </c>
      <c r="B776" s="117"/>
      <c r="C776" s="117"/>
      <c r="D776" s="117"/>
      <c r="E776" s="117"/>
      <c r="F776" s="117"/>
      <c r="G776" s="117"/>
      <c r="H776" s="117"/>
      <c r="I776" s="117"/>
      <c r="J776" s="117"/>
      <c r="K776" s="117"/>
      <c r="L776" s="44"/>
    </row>
    <row r="777" spans="1:12" s="45" customFormat="1" ht="10.199999999999999" x14ac:dyDescent="0.2">
      <c r="A777" s="116" t="s">
        <v>0</v>
      </c>
      <c r="B777" s="116"/>
      <c r="C777" s="116"/>
      <c r="D777" s="116"/>
      <c r="E777" s="116"/>
      <c r="F777" s="116"/>
      <c r="G777" s="116"/>
      <c r="H777" s="116"/>
      <c r="I777" s="116"/>
      <c r="J777" s="116"/>
      <c r="K777" s="116"/>
    </row>
    <row r="778" spans="1:12" s="45" customFormat="1" x14ac:dyDescent="0.2">
      <c r="I778" s="94"/>
      <c r="J778" s="90"/>
      <c r="K778" s="44"/>
    </row>
    <row r="779" spans="1:12" s="45" customFormat="1" x14ac:dyDescent="0.2">
      <c r="I779" s="94"/>
      <c r="J779" s="90"/>
      <c r="K779" s="44"/>
    </row>
    <row r="780" spans="1:12" x14ac:dyDescent="0.2">
      <c r="A780" s="46" t="s">
        <v>1</v>
      </c>
      <c r="B780" s="46">
        <v>2007</v>
      </c>
      <c r="C780" s="46">
        <v>2008</v>
      </c>
      <c r="D780" s="46">
        <v>2009</v>
      </c>
      <c r="E780" s="48">
        <v>2010</v>
      </c>
      <c r="F780" s="46">
        <v>2011</v>
      </c>
      <c r="G780" s="48">
        <v>2012</v>
      </c>
      <c r="H780" s="46">
        <v>2013</v>
      </c>
      <c r="I780" s="46">
        <v>2014</v>
      </c>
      <c r="J780" s="46">
        <v>2015</v>
      </c>
      <c r="K780" s="46">
        <v>2016</v>
      </c>
      <c r="L780" s="46">
        <v>2017</v>
      </c>
    </row>
    <row r="781" spans="1:12" x14ac:dyDescent="0.2">
      <c r="A781" s="45"/>
      <c r="B781" s="93"/>
      <c r="C781" s="45"/>
      <c r="D781" s="45"/>
      <c r="E781" s="90"/>
      <c r="F781" s="45"/>
      <c r="G781" s="90"/>
      <c r="H781" s="45"/>
      <c r="I781" s="45"/>
      <c r="J781" s="45"/>
      <c r="K781" s="45"/>
      <c r="L781" s="45"/>
    </row>
    <row r="782" spans="1:12" x14ac:dyDescent="0.2">
      <c r="A782" s="45" t="s">
        <v>169</v>
      </c>
      <c r="B782" s="87" t="s">
        <v>213</v>
      </c>
      <c r="C782" s="90" t="s">
        <v>213</v>
      </c>
      <c r="D782" s="106">
        <v>71</v>
      </c>
      <c r="E782" s="90" t="s">
        <v>213</v>
      </c>
      <c r="F782" s="90">
        <v>55</v>
      </c>
      <c r="G782" s="87">
        <v>28</v>
      </c>
      <c r="H782" s="90" t="s">
        <v>213</v>
      </c>
      <c r="I782" s="90" t="s">
        <v>213</v>
      </c>
      <c r="J782" s="90" t="s">
        <v>213</v>
      </c>
      <c r="K782" s="106">
        <v>1</v>
      </c>
      <c r="L782" s="106" t="s">
        <v>213</v>
      </c>
    </row>
    <row r="783" spans="1:12" x14ac:dyDescent="0.2">
      <c r="A783" s="46" t="s">
        <v>2</v>
      </c>
      <c r="B783" s="87" t="s">
        <v>213</v>
      </c>
      <c r="C783" s="52" t="s">
        <v>213</v>
      </c>
      <c r="D783" s="99">
        <v>36</v>
      </c>
      <c r="E783" s="52" t="s">
        <v>213</v>
      </c>
      <c r="F783" s="52">
        <v>8</v>
      </c>
      <c r="G783" s="52" t="s">
        <v>213</v>
      </c>
      <c r="H783" s="52" t="s">
        <v>213</v>
      </c>
      <c r="I783" s="52" t="s">
        <v>213</v>
      </c>
      <c r="J783" s="52" t="s">
        <v>213</v>
      </c>
      <c r="K783" s="99" t="s">
        <v>213</v>
      </c>
      <c r="L783" s="99" t="s">
        <v>213</v>
      </c>
    </row>
    <row r="784" spans="1:12" x14ac:dyDescent="0.2">
      <c r="A784" s="38" t="s">
        <v>15</v>
      </c>
      <c r="B784" s="76" t="s">
        <v>213</v>
      </c>
      <c r="C784" s="76" t="s">
        <v>213</v>
      </c>
      <c r="D784" s="76" t="s">
        <v>213</v>
      </c>
      <c r="E784" s="76" t="s">
        <v>213</v>
      </c>
      <c r="F784" s="76" t="s">
        <v>213</v>
      </c>
      <c r="G784" s="76" t="s">
        <v>213</v>
      </c>
      <c r="H784" s="76" t="s">
        <v>213</v>
      </c>
      <c r="I784" s="76" t="s">
        <v>213</v>
      </c>
      <c r="J784" s="76" t="s">
        <v>213</v>
      </c>
      <c r="K784" s="95" t="s">
        <v>213</v>
      </c>
      <c r="L784" s="95" t="s">
        <v>213</v>
      </c>
    </row>
    <row r="785" spans="1:12" x14ac:dyDescent="0.2">
      <c r="A785" s="38" t="s">
        <v>211</v>
      </c>
      <c r="B785" s="76" t="s">
        <v>213</v>
      </c>
      <c r="C785" s="76" t="s">
        <v>213</v>
      </c>
      <c r="D785" s="76" t="s">
        <v>213</v>
      </c>
      <c r="E785" s="76" t="s">
        <v>213</v>
      </c>
      <c r="F785" s="76" t="s">
        <v>213</v>
      </c>
      <c r="G785" s="76" t="s">
        <v>213</v>
      </c>
      <c r="H785" s="76" t="s">
        <v>213</v>
      </c>
      <c r="I785" s="76" t="s">
        <v>213</v>
      </c>
      <c r="J785" s="76" t="s">
        <v>213</v>
      </c>
      <c r="K785" s="95" t="s">
        <v>213</v>
      </c>
      <c r="L785" s="95" t="s">
        <v>213</v>
      </c>
    </row>
    <row r="786" spans="1:12" x14ac:dyDescent="0.2">
      <c r="A786" s="38" t="s">
        <v>53</v>
      </c>
      <c r="B786" s="76" t="s">
        <v>213</v>
      </c>
      <c r="C786" s="76" t="s">
        <v>213</v>
      </c>
      <c r="D786" s="88">
        <v>33</v>
      </c>
      <c r="E786" s="76" t="s">
        <v>213</v>
      </c>
      <c r="F786" s="76" t="s">
        <v>213</v>
      </c>
      <c r="G786" s="42" t="s">
        <v>213</v>
      </c>
      <c r="H786" s="76" t="s">
        <v>213</v>
      </c>
      <c r="I786" s="76" t="s">
        <v>213</v>
      </c>
      <c r="J786" s="76" t="s">
        <v>213</v>
      </c>
      <c r="K786" s="95" t="s">
        <v>213</v>
      </c>
      <c r="L786" s="95" t="s">
        <v>213</v>
      </c>
    </row>
    <row r="787" spans="1:12" x14ac:dyDescent="0.2">
      <c r="A787" s="38" t="s">
        <v>205</v>
      </c>
      <c r="B787" s="76" t="s">
        <v>213</v>
      </c>
      <c r="C787" s="76" t="s">
        <v>213</v>
      </c>
      <c r="D787" s="88" t="s">
        <v>213</v>
      </c>
      <c r="E787" s="76" t="s">
        <v>213</v>
      </c>
      <c r="F787" s="76">
        <v>8</v>
      </c>
      <c r="G787" s="42" t="s">
        <v>213</v>
      </c>
      <c r="H787" s="76" t="s">
        <v>213</v>
      </c>
      <c r="I787" s="76" t="s">
        <v>213</v>
      </c>
      <c r="J787" s="76" t="s">
        <v>213</v>
      </c>
      <c r="K787" s="95" t="s">
        <v>213</v>
      </c>
      <c r="L787" s="95" t="s">
        <v>213</v>
      </c>
    </row>
    <row r="788" spans="1:12" x14ac:dyDescent="0.2">
      <c r="A788" s="38" t="s">
        <v>77</v>
      </c>
      <c r="B788" s="76" t="s">
        <v>213</v>
      </c>
      <c r="C788" s="76" t="s">
        <v>213</v>
      </c>
      <c r="D788" s="88">
        <v>3</v>
      </c>
      <c r="E788" s="76" t="s">
        <v>213</v>
      </c>
      <c r="F788" s="76" t="s">
        <v>213</v>
      </c>
      <c r="G788" s="42" t="s">
        <v>213</v>
      </c>
      <c r="H788" s="76" t="s">
        <v>213</v>
      </c>
      <c r="I788" s="76" t="s">
        <v>213</v>
      </c>
      <c r="J788" s="76" t="s">
        <v>213</v>
      </c>
      <c r="K788" s="95" t="s">
        <v>213</v>
      </c>
      <c r="L788" s="95" t="s">
        <v>213</v>
      </c>
    </row>
    <row r="789" spans="1:12" x14ac:dyDescent="0.2">
      <c r="A789" s="46" t="s">
        <v>107</v>
      </c>
      <c r="B789" s="52" t="s">
        <v>213</v>
      </c>
      <c r="C789" s="52" t="s">
        <v>213</v>
      </c>
      <c r="D789" s="99">
        <v>35</v>
      </c>
      <c r="E789" s="52" t="s">
        <v>213</v>
      </c>
      <c r="F789" s="52" t="s">
        <v>213</v>
      </c>
      <c r="G789" s="52" t="s">
        <v>213</v>
      </c>
      <c r="H789" s="52" t="s">
        <v>213</v>
      </c>
      <c r="I789" s="52" t="s">
        <v>213</v>
      </c>
      <c r="J789" s="52" t="s">
        <v>213</v>
      </c>
      <c r="K789" s="99" t="s">
        <v>213</v>
      </c>
      <c r="L789" s="99" t="s">
        <v>213</v>
      </c>
    </row>
    <row r="790" spans="1:12" x14ac:dyDescent="0.2">
      <c r="A790" s="38" t="s">
        <v>120</v>
      </c>
      <c r="B790" s="76" t="s">
        <v>213</v>
      </c>
      <c r="C790" s="76" t="s">
        <v>213</v>
      </c>
      <c r="D790" s="88" t="s">
        <v>213</v>
      </c>
      <c r="E790" s="76" t="s">
        <v>213</v>
      </c>
      <c r="F790" s="76" t="s">
        <v>213</v>
      </c>
      <c r="G790" s="42" t="s">
        <v>213</v>
      </c>
      <c r="H790" s="76" t="s">
        <v>213</v>
      </c>
      <c r="I790" s="76" t="s">
        <v>213</v>
      </c>
      <c r="J790" s="76" t="s">
        <v>213</v>
      </c>
      <c r="K790" s="42" t="s">
        <v>213</v>
      </c>
      <c r="L790" s="42" t="s">
        <v>213</v>
      </c>
    </row>
    <row r="791" spans="1:12" x14ac:dyDescent="0.2">
      <c r="A791" s="38" t="s">
        <v>130</v>
      </c>
      <c r="B791" s="76" t="s">
        <v>213</v>
      </c>
      <c r="C791" s="76" t="s">
        <v>213</v>
      </c>
      <c r="D791" s="88" t="s">
        <v>213</v>
      </c>
      <c r="E791" s="76" t="s">
        <v>213</v>
      </c>
      <c r="F791" s="76" t="s">
        <v>213</v>
      </c>
      <c r="G791" s="42" t="s">
        <v>213</v>
      </c>
      <c r="H791" s="76" t="s">
        <v>213</v>
      </c>
      <c r="I791" s="76" t="s">
        <v>213</v>
      </c>
      <c r="J791" s="76" t="s">
        <v>213</v>
      </c>
      <c r="K791" s="42" t="s">
        <v>213</v>
      </c>
      <c r="L791" s="42" t="s">
        <v>213</v>
      </c>
    </row>
    <row r="792" spans="1:12" x14ac:dyDescent="0.2">
      <c r="A792" s="38" t="s">
        <v>145</v>
      </c>
      <c r="B792" s="76" t="s">
        <v>213</v>
      </c>
      <c r="C792" s="76" t="s">
        <v>213</v>
      </c>
      <c r="D792" s="88">
        <v>35</v>
      </c>
      <c r="E792" s="76" t="s">
        <v>213</v>
      </c>
      <c r="F792" s="76" t="s">
        <v>213</v>
      </c>
      <c r="G792" s="42" t="s">
        <v>213</v>
      </c>
      <c r="H792" s="76" t="s">
        <v>213</v>
      </c>
      <c r="I792" s="76" t="s">
        <v>213</v>
      </c>
      <c r="J792" s="76" t="s">
        <v>213</v>
      </c>
      <c r="K792" s="42" t="s">
        <v>213</v>
      </c>
      <c r="L792" s="42" t="s">
        <v>213</v>
      </c>
    </row>
    <row r="793" spans="1:12" x14ac:dyDescent="0.2">
      <c r="A793" s="46" t="s">
        <v>82</v>
      </c>
      <c r="B793" s="52" t="s">
        <v>213</v>
      </c>
      <c r="C793" s="52" t="s">
        <v>213</v>
      </c>
      <c r="D793" s="52" t="s">
        <v>213</v>
      </c>
      <c r="E793" s="52" t="s">
        <v>213</v>
      </c>
      <c r="F793" s="52" t="s">
        <v>213</v>
      </c>
      <c r="G793" s="52" t="s">
        <v>213</v>
      </c>
      <c r="H793" s="52" t="s">
        <v>213</v>
      </c>
      <c r="I793" s="52" t="s">
        <v>213</v>
      </c>
      <c r="J793" s="52" t="s">
        <v>213</v>
      </c>
      <c r="K793" s="52" t="s">
        <v>213</v>
      </c>
      <c r="L793" s="52" t="s">
        <v>213</v>
      </c>
    </row>
    <row r="794" spans="1:12" s="40" customFormat="1" ht="11.4" x14ac:dyDescent="0.2">
      <c r="A794" s="38" t="s">
        <v>191</v>
      </c>
      <c r="B794" s="52" t="s">
        <v>213</v>
      </c>
      <c r="C794" s="76" t="s">
        <v>213</v>
      </c>
      <c r="D794" s="88" t="s">
        <v>213</v>
      </c>
      <c r="E794" s="76" t="s">
        <v>213</v>
      </c>
      <c r="F794" s="76" t="s">
        <v>213</v>
      </c>
      <c r="G794" s="42" t="s">
        <v>213</v>
      </c>
      <c r="H794" s="76" t="s">
        <v>213</v>
      </c>
      <c r="I794" s="76" t="s">
        <v>213</v>
      </c>
      <c r="J794" s="107" t="s">
        <v>213</v>
      </c>
      <c r="K794" s="83" t="s">
        <v>213</v>
      </c>
      <c r="L794" s="83" t="s">
        <v>213</v>
      </c>
    </row>
    <row r="795" spans="1:12" s="108" customFormat="1" ht="10.199999999999999" x14ac:dyDescent="0.2">
      <c r="A795" s="46" t="s">
        <v>146</v>
      </c>
      <c r="B795" s="52" t="s">
        <v>213</v>
      </c>
      <c r="C795" s="52" t="s">
        <v>213</v>
      </c>
      <c r="D795" s="52" t="s">
        <v>213</v>
      </c>
      <c r="E795" s="52">
        <v>29</v>
      </c>
      <c r="F795" s="52">
        <v>47</v>
      </c>
      <c r="G795" s="52">
        <v>28</v>
      </c>
      <c r="H795" s="52" t="s">
        <v>213</v>
      </c>
      <c r="I795" s="52" t="s">
        <v>213</v>
      </c>
      <c r="J795" s="52" t="s">
        <v>213</v>
      </c>
      <c r="K795" s="99">
        <v>1</v>
      </c>
      <c r="L795" s="99" t="s">
        <v>213</v>
      </c>
    </row>
    <row r="796" spans="1:12" s="45" customFormat="1" x14ac:dyDescent="0.2">
      <c r="A796" s="38" t="s">
        <v>147</v>
      </c>
      <c r="B796" s="76" t="s">
        <v>213</v>
      </c>
      <c r="C796" s="76" t="s">
        <v>213</v>
      </c>
      <c r="D796" s="88" t="s">
        <v>213</v>
      </c>
      <c r="E796" s="76">
        <v>29</v>
      </c>
      <c r="F796" s="76">
        <v>47</v>
      </c>
      <c r="G796" s="42">
        <v>28</v>
      </c>
      <c r="H796" s="76" t="s">
        <v>213</v>
      </c>
      <c r="I796" s="76" t="s">
        <v>213</v>
      </c>
      <c r="J796" s="76" t="s">
        <v>213</v>
      </c>
      <c r="K796" s="42" t="s">
        <v>213</v>
      </c>
      <c r="L796" s="42" t="s">
        <v>213</v>
      </c>
    </row>
    <row r="797" spans="1:12" s="45" customFormat="1" x14ac:dyDescent="0.2">
      <c r="A797" s="38" t="s">
        <v>148</v>
      </c>
      <c r="B797" s="76" t="s">
        <v>213</v>
      </c>
      <c r="C797" s="76"/>
      <c r="D797" s="88"/>
      <c r="E797" s="76"/>
      <c r="F797" s="76"/>
      <c r="G797" s="42"/>
      <c r="H797" s="76"/>
      <c r="I797" s="76" t="s">
        <v>213</v>
      </c>
      <c r="J797" s="76" t="s">
        <v>213</v>
      </c>
      <c r="K797" s="42" t="s">
        <v>213</v>
      </c>
      <c r="L797" s="42" t="s">
        <v>213</v>
      </c>
    </row>
    <row r="798" spans="1:12" s="45" customFormat="1" x14ac:dyDescent="0.2">
      <c r="A798" s="38" t="s">
        <v>148</v>
      </c>
      <c r="B798" s="76" t="s">
        <v>213</v>
      </c>
      <c r="C798" s="76" t="s">
        <v>213</v>
      </c>
      <c r="D798" s="88" t="s">
        <v>213</v>
      </c>
      <c r="E798" s="88" t="s">
        <v>213</v>
      </c>
      <c r="F798" s="76" t="s">
        <v>213</v>
      </c>
      <c r="G798" s="42" t="s">
        <v>213</v>
      </c>
      <c r="H798" s="76" t="s">
        <v>213</v>
      </c>
      <c r="I798" s="76" t="s">
        <v>213</v>
      </c>
      <c r="J798" s="76" t="s">
        <v>213</v>
      </c>
      <c r="K798" s="42">
        <v>1</v>
      </c>
      <c r="L798" s="42" t="s">
        <v>213</v>
      </c>
    </row>
    <row r="799" spans="1:12" s="45" customFormat="1" x14ac:dyDescent="0.2">
      <c r="A799" s="38"/>
      <c r="B799" s="43"/>
      <c r="C799" s="43"/>
      <c r="D799" s="43"/>
      <c r="E799" s="43"/>
      <c r="F799" s="43"/>
      <c r="G799" s="43"/>
      <c r="H799" s="43"/>
      <c r="I799" s="38"/>
      <c r="J799" s="42"/>
      <c r="K799" s="43"/>
    </row>
    <row r="800" spans="1:12" x14ac:dyDescent="0.2">
      <c r="B800" s="43"/>
      <c r="C800" s="43"/>
      <c r="D800" s="43"/>
      <c r="E800" s="43"/>
      <c r="F800" s="43"/>
      <c r="G800" s="43"/>
      <c r="H800" s="43"/>
      <c r="I800" s="38"/>
      <c r="L800" s="38"/>
    </row>
    <row r="801" spans="1:12" x14ac:dyDescent="0.2">
      <c r="B801" s="43"/>
      <c r="C801" s="43"/>
      <c r="D801" s="43"/>
      <c r="E801" s="43"/>
      <c r="F801" s="43"/>
      <c r="G801" s="43"/>
      <c r="H801" s="43"/>
      <c r="I801" s="38"/>
      <c r="L801" s="38"/>
    </row>
    <row r="802" spans="1:12" x14ac:dyDescent="0.2">
      <c r="L802" s="38"/>
    </row>
    <row r="803" spans="1:12" x14ac:dyDescent="0.2">
      <c r="L803" s="38"/>
    </row>
    <row r="804" spans="1:12" x14ac:dyDescent="0.2">
      <c r="L804" s="38"/>
    </row>
    <row r="805" spans="1:12" x14ac:dyDescent="0.2">
      <c r="L805" s="38"/>
    </row>
    <row r="806" spans="1:12" x14ac:dyDescent="0.2">
      <c r="L806" s="38"/>
    </row>
    <row r="807" spans="1:12" x14ac:dyDescent="0.2">
      <c r="L807" s="38"/>
    </row>
    <row r="808" spans="1:12" ht="12" x14ac:dyDescent="0.25">
      <c r="A808" s="117" t="s">
        <v>236</v>
      </c>
      <c r="B808" s="117"/>
      <c r="C808" s="117"/>
      <c r="D808" s="117"/>
      <c r="E808" s="117"/>
      <c r="F808" s="117"/>
      <c r="G808" s="117"/>
      <c r="H808" s="117"/>
      <c r="I808" s="117"/>
      <c r="J808" s="117"/>
      <c r="K808" s="117"/>
    </row>
    <row r="809" spans="1:12" ht="10.199999999999999" x14ac:dyDescent="0.2">
      <c r="A809" s="116" t="s">
        <v>0</v>
      </c>
      <c r="B809" s="116"/>
      <c r="C809" s="116"/>
      <c r="D809" s="116"/>
      <c r="E809" s="116"/>
      <c r="F809" s="116"/>
      <c r="G809" s="116"/>
      <c r="H809" s="116"/>
      <c r="I809" s="116"/>
      <c r="J809" s="116"/>
      <c r="K809" s="116"/>
    </row>
    <row r="810" spans="1:12" x14ac:dyDescent="0.2">
      <c r="A810" s="45"/>
      <c r="B810" s="45"/>
      <c r="C810" s="45"/>
      <c r="D810" s="45"/>
      <c r="E810" s="45"/>
      <c r="F810" s="45"/>
      <c r="G810" s="45"/>
      <c r="H810" s="45"/>
      <c r="I810" s="94"/>
      <c r="J810" s="90"/>
      <c r="K810" s="44"/>
    </row>
    <row r="811" spans="1:12" x14ac:dyDescent="0.2">
      <c r="A811" s="46" t="s">
        <v>1</v>
      </c>
      <c r="B811" s="46">
        <v>2007</v>
      </c>
      <c r="C811" s="46">
        <v>2008</v>
      </c>
      <c r="D811" s="47">
        <v>2009</v>
      </c>
      <c r="E811" s="48">
        <v>2010</v>
      </c>
      <c r="F811" s="46">
        <v>2011</v>
      </c>
      <c r="G811" s="47">
        <v>2012</v>
      </c>
      <c r="H811" s="47">
        <v>2013</v>
      </c>
      <c r="I811" s="46">
        <v>2014</v>
      </c>
      <c r="J811" s="46">
        <v>2015</v>
      </c>
      <c r="K811" s="46">
        <v>2016</v>
      </c>
      <c r="L811" s="46">
        <v>2017</v>
      </c>
    </row>
    <row r="812" spans="1:12" s="40" customFormat="1" ht="12" customHeight="1" x14ac:dyDescent="0.2">
      <c r="A812" s="45"/>
      <c r="B812" s="45"/>
      <c r="C812" s="45"/>
      <c r="D812" s="44"/>
      <c r="E812" s="90"/>
      <c r="F812" s="45"/>
      <c r="G812" s="44"/>
      <c r="H812" s="44"/>
      <c r="I812" s="45"/>
      <c r="J812" s="45"/>
      <c r="K812" s="46"/>
      <c r="L812" s="46"/>
    </row>
    <row r="813" spans="1:12" s="45" customFormat="1" x14ac:dyDescent="0.2">
      <c r="A813" s="46" t="s">
        <v>150</v>
      </c>
      <c r="B813" s="53">
        <f>SUM(B814:B824)</f>
        <v>43750</v>
      </c>
      <c r="C813" s="53">
        <f>SUM(C814:C824)</f>
        <v>59978</v>
      </c>
      <c r="D813" s="53">
        <v>63691</v>
      </c>
      <c r="E813" s="52">
        <v>68218</v>
      </c>
      <c r="F813" s="53">
        <v>75293</v>
      </c>
      <c r="G813" s="53">
        <v>81643</v>
      </c>
      <c r="H813" s="53">
        <f>(96898+0)</f>
        <v>96898</v>
      </c>
      <c r="I813" s="53">
        <v>83630</v>
      </c>
      <c r="J813" s="53">
        <v>59660</v>
      </c>
      <c r="K813" s="86">
        <v>59557</v>
      </c>
      <c r="L813" s="86">
        <v>73219</v>
      </c>
    </row>
    <row r="814" spans="1:12" s="45" customFormat="1" x14ac:dyDescent="0.2">
      <c r="A814" s="38" t="s">
        <v>155</v>
      </c>
      <c r="B814" s="76">
        <v>1026</v>
      </c>
      <c r="C814" s="76">
        <v>1308</v>
      </c>
      <c r="D814" s="76">
        <v>1677</v>
      </c>
      <c r="E814" s="76">
        <v>1807</v>
      </c>
      <c r="F814" s="76">
        <v>1341</v>
      </c>
      <c r="G814" s="42">
        <v>797</v>
      </c>
      <c r="H814" s="42">
        <v>2550</v>
      </c>
      <c r="I814" s="76">
        <v>2488</v>
      </c>
      <c r="J814" s="76">
        <v>2723</v>
      </c>
      <c r="K814" s="43">
        <f>(85+376+55+26+72+1660)</f>
        <v>2274</v>
      </c>
      <c r="L814" s="43">
        <v>2553</v>
      </c>
    </row>
    <row r="815" spans="1:12" s="45" customFormat="1" x14ac:dyDescent="0.2">
      <c r="A815" s="38" t="s">
        <v>152</v>
      </c>
      <c r="B815" s="76">
        <v>148</v>
      </c>
      <c r="C815" s="76">
        <v>85</v>
      </c>
      <c r="D815" s="76">
        <v>112</v>
      </c>
      <c r="E815" s="76">
        <v>52</v>
      </c>
      <c r="F815" s="76">
        <v>29</v>
      </c>
      <c r="G815" s="42">
        <v>23</v>
      </c>
      <c r="H815" s="42">
        <v>69</v>
      </c>
      <c r="I815" s="76">
        <v>87</v>
      </c>
      <c r="J815" s="76">
        <v>70</v>
      </c>
      <c r="K815" s="43">
        <v>54</v>
      </c>
      <c r="L815" s="43">
        <v>56</v>
      </c>
    </row>
    <row r="816" spans="1:12" s="45" customFormat="1" x14ac:dyDescent="0.2">
      <c r="A816" s="38" t="s">
        <v>153</v>
      </c>
      <c r="B816" s="76">
        <v>25766</v>
      </c>
      <c r="C816" s="76">
        <v>40185</v>
      </c>
      <c r="D816" s="76">
        <v>40145</v>
      </c>
      <c r="E816" s="76">
        <v>39520</v>
      </c>
      <c r="F816" s="76">
        <v>49184</v>
      </c>
      <c r="G816" s="42">
        <v>57699</v>
      </c>
      <c r="H816" s="42">
        <v>67244</v>
      </c>
      <c r="I816" s="76">
        <v>52299</v>
      </c>
      <c r="J816" s="76">
        <v>25967</v>
      </c>
      <c r="K816" s="43">
        <v>33927</v>
      </c>
      <c r="L816" s="43">
        <v>42777</v>
      </c>
    </row>
    <row r="817" spans="1:12" s="45" customFormat="1" x14ac:dyDescent="0.2">
      <c r="A817" s="38" t="s">
        <v>154</v>
      </c>
      <c r="B817" s="76">
        <v>71</v>
      </c>
      <c r="C817" s="76">
        <v>157</v>
      </c>
      <c r="D817" s="76">
        <v>267</v>
      </c>
      <c r="E817" s="76">
        <v>113</v>
      </c>
      <c r="F817" s="76">
        <v>120</v>
      </c>
      <c r="G817" s="42">
        <v>201</v>
      </c>
      <c r="H817" s="42">
        <v>290</v>
      </c>
      <c r="I817" s="76">
        <v>436</v>
      </c>
      <c r="J817" s="76">
        <v>189</v>
      </c>
      <c r="K817" s="43">
        <v>162</v>
      </c>
      <c r="L817" s="43">
        <v>153</v>
      </c>
    </row>
    <row r="818" spans="1:12" s="45" customFormat="1" x14ac:dyDescent="0.2">
      <c r="A818" s="38" t="s">
        <v>156</v>
      </c>
      <c r="B818" s="76">
        <v>1</v>
      </c>
      <c r="C818" s="76">
        <v>1</v>
      </c>
      <c r="D818" s="76">
        <v>1</v>
      </c>
      <c r="E818" s="76" t="s">
        <v>213</v>
      </c>
      <c r="F818" s="76" t="s">
        <v>213</v>
      </c>
      <c r="G818" s="42">
        <v>4</v>
      </c>
      <c r="H818" s="42">
        <v>8</v>
      </c>
      <c r="I818" s="76">
        <v>4</v>
      </c>
      <c r="J818" s="76" t="s">
        <v>213</v>
      </c>
      <c r="K818" s="43">
        <v>10</v>
      </c>
      <c r="L818" s="43">
        <v>7</v>
      </c>
    </row>
    <row r="819" spans="1:12" x14ac:dyDescent="0.2">
      <c r="A819" s="38" t="s">
        <v>215</v>
      </c>
      <c r="B819" s="76">
        <v>1973</v>
      </c>
      <c r="C819" s="76">
        <v>3288</v>
      </c>
      <c r="D819" s="76">
        <v>2435</v>
      </c>
      <c r="E819" s="76">
        <v>2003</v>
      </c>
      <c r="F819" s="76">
        <v>3148</v>
      </c>
      <c r="G819" s="42">
        <v>3598</v>
      </c>
      <c r="H819" s="42">
        <v>4967</v>
      </c>
      <c r="I819" s="76">
        <v>3524</v>
      </c>
      <c r="J819" s="76">
        <v>4619</v>
      </c>
      <c r="K819" s="43">
        <v>3312</v>
      </c>
      <c r="L819" s="43">
        <v>4105</v>
      </c>
    </row>
    <row r="820" spans="1:12" x14ac:dyDescent="0.2">
      <c r="A820" s="38" t="s">
        <v>158</v>
      </c>
      <c r="B820" s="76">
        <v>5238</v>
      </c>
      <c r="C820" s="76">
        <v>6505</v>
      </c>
      <c r="D820" s="76">
        <v>9242</v>
      </c>
      <c r="E820" s="76">
        <v>12584</v>
      </c>
      <c r="F820" s="76">
        <v>9391</v>
      </c>
      <c r="G820" s="42">
        <v>9297</v>
      </c>
      <c r="H820" s="42">
        <v>7556</v>
      </c>
      <c r="I820" s="76">
        <v>11865</v>
      </c>
      <c r="J820" s="76">
        <v>13933</v>
      </c>
      <c r="K820" s="43">
        <v>9768</v>
      </c>
      <c r="L820" s="43">
        <v>14325</v>
      </c>
    </row>
    <row r="821" spans="1:12" x14ac:dyDescent="0.2">
      <c r="A821" s="38" t="s">
        <v>163</v>
      </c>
      <c r="B821" s="76">
        <v>7935</v>
      </c>
      <c r="C821" s="76">
        <f>(670+784+6212)</f>
        <v>7666</v>
      </c>
      <c r="D821" s="76">
        <f>(730+4816+3640)</f>
        <v>9186</v>
      </c>
      <c r="E821" s="76">
        <f>(164+5099+2622)</f>
        <v>7885</v>
      </c>
      <c r="F821" s="76">
        <f>(366+5513+2061)</f>
        <v>7940</v>
      </c>
      <c r="G821" s="42">
        <f>(302+5771+2722)</f>
        <v>8795</v>
      </c>
      <c r="H821" s="42">
        <f>(531+5905+3981)</f>
        <v>10417</v>
      </c>
      <c r="I821" s="76">
        <f>(869+6461+3828)</f>
        <v>11158</v>
      </c>
      <c r="J821" s="76">
        <v>10462</v>
      </c>
      <c r="K821" s="43">
        <f>(415+5320+3030)</f>
        <v>8765</v>
      </c>
      <c r="L821" s="43">
        <v>7302</v>
      </c>
    </row>
    <row r="822" spans="1:12" x14ac:dyDescent="0.2">
      <c r="A822" s="38" t="s">
        <v>165</v>
      </c>
      <c r="B822" s="76">
        <v>1567</v>
      </c>
      <c r="C822" s="76">
        <v>777</v>
      </c>
      <c r="D822" s="76">
        <v>623</v>
      </c>
      <c r="E822" s="76">
        <v>4249</v>
      </c>
      <c r="F822" s="76">
        <v>4118</v>
      </c>
      <c r="G822" s="42">
        <v>1221</v>
      </c>
      <c r="H822" s="42">
        <v>3791</v>
      </c>
      <c r="I822" s="76">
        <v>1769</v>
      </c>
      <c r="J822" s="76">
        <v>1447</v>
      </c>
      <c r="K822" s="43">
        <v>1233</v>
      </c>
      <c r="L822" s="43">
        <v>1825</v>
      </c>
    </row>
    <row r="823" spans="1:12" x14ac:dyDescent="0.2">
      <c r="A823" s="38" t="s">
        <v>166</v>
      </c>
      <c r="B823" s="76">
        <v>14</v>
      </c>
      <c r="C823" s="76">
        <v>6</v>
      </c>
      <c r="D823" s="76">
        <v>3</v>
      </c>
      <c r="E823" s="76">
        <v>5</v>
      </c>
      <c r="F823" s="76">
        <v>22</v>
      </c>
      <c r="G823" s="42">
        <v>8</v>
      </c>
      <c r="H823" s="42">
        <v>6</v>
      </c>
      <c r="I823" s="76" t="s">
        <v>213</v>
      </c>
      <c r="J823" s="76" t="s">
        <v>213</v>
      </c>
      <c r="K823" s="43">
        <v>3</v>
      </c>
      <c r="L823" s="43">
        <v>37</v>
      </c>
    </row>
    <row r="824" spans="1:12" x14ac:dyDescent="0.2">
      <c r="A824" s="38" t="s">
        <v>167</v>
      </c>
      <c r="B824" s="76">
        <v>11</v>
      </c>
      <c r="C824" s="76" t="s">
        <v>213</v>
      </c>
      <c r="D824" s="76" t="s">
        <v>213</v>
      </c>
      <c r="E824" s="76" t="s">
        <v>213</v>
      </c>
      <c r="F824" s="76" t="s">
        <v>213</v>
      </c>
      <c r="G824" s="42" t="s">
        <v>213</v>
      </c>
      <c r="H824" s="42" t="s">
        <v>213</v>
      </c>
      <c r="I824" s="76" t="s">
        <v>213</v>
      </c>
      <c r="J824" s="76">
        <v>250</v>
      </c>
      <c r="K824" s="43">
        <f>(1+48)</f>
        <v>49</v>
      </c>
      <c r="L824" s="43">
        <v>79</v>
      </c>
    </row>
    <row r="825" spans="1:12" x14ac:dyDescent="0.2">
      <c r="B825" s="43"/>
      <c r="C825" s="43"/>
      <c r="D825" s="43"/>
      <c r="E825" s="43"/>
      <c r="F825" s="43"/>
      <c r="G825" s="43"/>
      <c r="H825" s="43"/>
      <c r="I825" s="42"/>
      <c r="J825" s="43"/>
    </row>
    <row r="826" spans="1:12" x14ac:dyDescent="0.2">
      <c r="B826" s="43"/>
      <c r="C826" s="43"/>
      <c r="D826" s="43"/>
      <c r="E826" s="43"/>
      <c r="F826" s="43"/>
      <c r="G826" s="43"/>
      <c r="H826" s="43"/>
      <c r="I826" s="42"/>
      <c r="J826" s="43"/>
    </row>
    <row r="827" spans="1:12" x14ac:dyDescent="0.2">
      <c r="H827" s="41"/>
      <c r="I827" s="38"/>
    </row>
    <row r="828" spans="1:12" ht="12" x14ac:dyDescent="0.25">
      <c r="A828" s="117" t="s">
        <v>237</v>
      </c>
      <c r="B828" s="117"/>
      <c r="C828" s="117"/>
      <c r="D828" s="117"/>
      <c r="E828" s="117"/>
      <c r="F828" s="117"/>
      <c r="G828" s="117"/>
      <c r="H828" s="117"/>
      <c r="I828" s="117"/>
      <c r="J828" s="117"/>
      <c r="K828" s="117"/>
    </row>
    <row r="829" spans="1:12" ht="10.199999999999999" x14ac:dyDescent="0.2">
      <c r="A829" s="116" t="s">
        <v>0</v>
      </c>
      <c r="B829" s="116"/>
      <c r="C829" s="116"/>
      <c r="D829" s="116"/>
      <c r="E829" s="116"/>
      <c r="F829" s="116"/>
      <c r="G829" s="116"/>
      <c r="H829" s="116"/>
      <c r="I829" s="116"/>
      <c r="J829" s="116"/>
      <c r="K829" s="116"/>
    </row>
    <row r="830" spans="1:12" x14ac:dyDescent="0.2">
      <c r="A830" s="45"/>
      <c r="B830" s="45"/>
      <c r="C830" s="45"/>
      <c r="D830" s="45"/>
      <c r="E830" s="45"/>
      <c r="F830" s="45"/>
      <c r="G830" s="45"/>
      <c r="H830" s="45"/>
      <c r="I830" s="94"/>
      <c r="J830" s="90"/>
      <c r="K830" s="44"/>
    </row>
    <row r="831" spans="1:12" x14ac:dyDescent="0.2">
      <c r="A831" s="46" t="s">
        <v>1</v>
      </c>
      <c r="B831" s="99">
        <v>2007</v>
      </c>
      <c r="C831" s="99">
        <v>2008</v>
      </c>
      <c r="D831" s="48">
        <v>2009</v>
      </c>
      <c r="E831" s="48">
        <v>2010</v>
      </c>
      <c r="F831" s="99">
        <v>2011</v>
      </c>
      <c r="G831" s="48">
        <v>2012</v>
      </c>
      <c r="H831" s="99">
        <v>2013</v>
      </c>
      <c r="I831" s="99">
        <v>2014</v>
      </c>
      <c r="J831" s="99">
        <v>2015</v>
      </c>
      <c r="K831" s="99">
        <v>2016</v>
      </c>
      <c r="L831" s="99">
        <v>2017</v>
      </c>
    </row>
    <row r="832" spans="1:12" x14ac:dyDescent="0.2">
      <c r="A832" s="45"/>
      <c r="B832" s="106"/>
      <c r="C832" s="106"/>
      <c r="D832" s="90"/>
      <c r="E832" s="90"/>
      <c r="F832" s="106"/>
      <c r="G832" s="90"/>
      <c r="H832" s="106"/>
      <c r="I832" s="106"/>
      <c r="J832" s="106"/>
      <c r="K832" s="99"/>
      <c r="L832" s="99"/>
    </row>
    <row r="833" spans="1:12" x14ac:dyDescent="0.2">
      <c r="A833" s="46" t="s">
        <v>2</v>
      </c>
      <c r="B833" s="52">
        <f>SUM(B834:B840)</f>
        <v>21984</v>
      </c>
      <c r="C833" s="52">
        <v>12408</v>
      </c>
      <c r="D833" s="52">
        <f>SUM(D834:D841)</f>
        <v>4267</v>
      </c>
      <c r="E833" s="52">
        <v>5523</v>
      </c>
      <c r="F833" s="52">
        <v>4996</v>
      </c>
      <c r="G833" s="52">
        <v>4685</v>
      </c>
      <c r="H833" s="52">
        <v>4545</v>
      </c>
      <c r="I833" s="52">
        <f>(322+3634)</f>
        <v>3956</v>
      </c>
      <c r="J833" s="52">
        <v>3793</v>
      </c>
      <c r="K833" s="52">
        <f>(3177+0)</f>
        <v>3177</v>
      </c>
      <c r="L833" s="52">
        <v>1436</v>
      </c>
    </row>
    <row r="834" spans="1:12" x14ac:dyDescent="0.2">
      <c r="A834" s="38" t="s">
        <v>19</v>
      </c>
      <c r="B834" s="76" t="s">
        <v>213</v>
      </c>
      <c r="C834" s="76" t="s">
        <v>213</v>
      </c>
      <c r="D834" s="76" t="s">
        <v>213</v>
      </c>
      <c r="E834" s="76" t="s">
        <v>213</v>
      </c>
      <c r="F834" s="76" t="s">
        <v>213</v>
      </c>
      <c r="G834" s="42" t="s">
        <v>213</v>
      </c>
      <c r="H834" s="76" t="s">
        <v>213</v>
      </c>
      <c r="I834" s="76" t="s">
        <v>213</v>
      </c>
      <c r="J834" s="76" t="s">
        <v>213</v>
      </c>
      <c r="K834" s="42" t="s">
        <v>213</v>
      </c>
      <c r="L834" s="42" t="s">
        <v>213</v>
      </c>
    </row>
    <row r="835" spans="1:12" x14ac:dyDescent="0.2">
      <c r="A835" s="38" t="s">
        <v>24</v>
      </c>
      <c r="B835" s="76" t="s">
        <v>213</v>
      </c>
      <c r="C835" s="76" t="s">
        <v>213</v>
      </c>
      <c r="D835" s="76" t="s">
        <v>213</v>
      </c>
      <c r="E835" s="76" t="s">
        <v>213</v>
      </c>
      <c r="F835" s="76" t="s">
        <v>213</v>
      </c>
      <c r="G835" s="42" t="s">
        <v>213</v>
      </c>
      <c r="H835" s="76" t="s">
        <v>213</v>
      </c>
      <c r="I835" s="76" t="s">
        <v>213</v>
      </c>
      <c r="J835" s="76" t="s">
        <v>213</v>
      </c>
      <c r="K835" s="42" t="s">
        <v>213</v>
      </c>
      <c r="L835" s="42" t="s">
        <v>213</v>
      </c>
    </row>
    <row r="836" spans="1:12" x14ac:dyDescent="0.2">
      <c r="A836" s="38" t="s">
        <v>40</v>
      </c>
      <c r="B836" s="76">
        <v>16355</v>
      </c>
      <c r="C836" s="76">
        <v>6245</v>
      </c>
      <c r="D836" s="76">
        <v>4263</v>
      </c>
      <c r="E836" s="76" t="s">
        <v>213</v>
      </c>
      <c r="F836" s="76" t="s">
        <v>213</v>
      </c>
      <c r="G836" s="42" t="s">
        <v>213</v>
      </c>
      <c r="H836" s="76" t="s">
        <v>213</v>
      </c>
      <c r="I836" s="76" t="s">
        <v>213</v>
      </c>
      <c r="J836" s="76" t="s">
        <v>213</v>
      </c>
      <c r="K836" s="42" t="s">
        <v>213</v>
      </c>
      <c r="L836" s="42" t="s">
        <v>213</v>
      </c>
    </row>
    <row r="837" spans="1:12" x14ac:dyDescent="0.2">
      <c r="A837" s="38" t="s">
        <v>46</v>
      </c>
      <c r="B837" s="76" t="s">
        <v>213</v>
      </c>
      <c r="C837" s="76" t="s">
        <v>213</v>
      </c>
      <c r="D837" s="76" t="s">
        <v>213</v>
      </c>
      <c r="E837" s="76" t="s">
        <v>213</v>
      </c>
      <c r="F837" s="76" t="s">
        <v>213</v>
      </c>
      <c r="G837" s="42" t="s">
        <v>213</v>
      </c>
      <c r="H837" s="76" t="s">
        <v>213</v>
      </c>
      <c r="I837" s="76" t="s">
        <v>213</v>
      </c>
      <c r="J837" s="76" t="s">
        <v>213</v>
      </c>
      <c r="K837" s="42" t="s">
        <v>213</v>
      </c>
      <c r="L837" s="42" t="s">
        <v>213</v>
      </c>
    </row>
    <row r="838" spans="1:12" x14ac:dyDescent="0.2">
      <c r="A838" s="38" t="s">
        <v>47</v>
      </c>
      <c r="B838" s="76">
        <v>1650</v>
      </c>
      <c r="C838" s="76">
        <f>(1919+155)</f>
        <v>2074</v>
      </c>
      <c r="D838" s="76">
        <v>4</v>
      </c>
      <c r="E838" s="76">
        <v>2102</v>
      </c>
      <c r="F838" s="76">
        <v>2093</v>
      </c>
      <c r="G838" s="42">
        <v>2346</v>
      </c>
      <c r="H838" s="76">
        <v>2210</v>
      </c>
      <c r="I838" s="76">
        <v>2190</v>
      </c>
      <c r="J838" s="76">
        <v>2243</v>
      </c>
      <c r="K838" s="42">
        <v>1667</v>
      </c>
      <c r="L838" s="42">
        <v>307</v>
      </c>
    </row>
    <row r="839" spans="1:12" x14ac:dyDescent="0.2">
      <c r="A839" s="38" t="s">
        <v>49</v>
      </c>
      <c r="B839" s="76" t="s">
        <v>213</v>
      </c>
      <c r="C839" s="76" t="s">
        <v>213</v>
      </c>
      <c r="D839" s="76" t="s">
        <v>213</v>
      </c>
      <c r="E839" s="76" t="s">
        <v>213</v>
      </c>
      <c r="F839" s="76" t="s">
        <v>213</v>
      </c>
      <c r="G839" s="42" t="s">
        <v>213</v>
      </c>
      <c r="H839" s="76" t="s">
        <v>213</v>
      </c>
      <c r="I839" s="76" t="s">
        <v>213</v>
      </c>
      <c r="J839" s="76" t="s">
        <v>213</v>
      </c>
      <c r="K839" s="42" t="s">
        <v>213</v>
      </c>
      <c r="L839" s="42" t="s">
        <v>213</v>
      </c>
    </row>
    <row r="840" spans="1:12" x14ac:dyDescent="0.2">
      <c r="A840" s="38" t="s">
        <v>48</v>
      </c>
      <c r="B840" s="76">
        <v>3979</v>
      </c>
      <c r="C840" s="76">
        <v>4070</v>
      </c>
      <c r="D840" s="76" t="s">
        <v>213</v>
      </c>
      <c r="E840" s="76">
        <v>3421</v>
      </c>
      <c r="F840" s="76">
        <v>2903</v>
      </c>
      <c r="G840" s="42">
        <v>2339</v>
      </c>
      <c r="H840" s="76">
        <v>2335</v>
      </c>
      <c r="I840" s="76">
        <f>(322+1444)</f>
        <v>1766</v>
      </c>
      <c r="J840" s="76">
        <v>1547</v>
      </c>
      <c r="K840" s="42">
        <v>1510</v>
      </c>
      <c r="L840" s="42">
        <v>1129</v>
      </c>
    </row>
    <row r="841" spans="1:12" x14ac:dyDescent="0.2">
      <c r="A841" s="38" t="s">
        <v>197</v>
      </c>
      <c r="B841" s="76" t="s">
        <v>213</v>
      </c>
      <c r="C841" s="76">
        <v>19</v>
      </c>
      <c r="D841" s="76" t="s">
        <v>213</v>
      </c>
      <c r="E841" s="76" t="s">
        <v>213</v>
      </c>
      <c r="F841" s="76" t="s">
        <v>213</v>
      </c>
      <c r="G841" s="42" t="s">
        <v>213</v>
      </c>
      <c r="H841" s="76" t="s">
        <v>213</v>
      </c>
      <c r="I841" s="76" t="s">
        <v>213</v>
      </c>
      <c r="J841" s="76" t="s">
        <v>213</v>
      </c>
      <c r="K841" s="42"/>
      <c r="L841" s="42"/>
    </row>
    <row r="842" spans="1:12" x14ac:dyDescent="0.2">
      <c r="A842" s="46" t="s">
        <v>107</v>
      </c>
      <c r="B842" s="52" t="s">
        <v>213</v>
      </c>
      <c r="C842" s="52" t="s">
        <v>213</v>
      </c>
      <c r="D842" s="52" t="s">
        <v>213</v>
      </c>
      <c r="E842" s="52" t="s">
        <v>213</v>
      </c>
      <c r="F842" s="52" t="s">
        <v>213</v>
      </c>
      <c r="G842" s="52" t="s">
        <v>213</v>
      </c>
      <c r="H842" s="52" t="s">
        <v>213</v>
      </c>
      <c r="I842" s="52" t="s">
        <v>213</v>
      </c>
      <c r="J842" s="52" t="s">
        <v>213</v>
      </c>
      <c r="K842" s="52" t="s">
        <v>213</v>
      </c>
      <c r="L842" s="52" t="s">
        <v>213</v>
      </c>
    </row>
    <row r="843" spans="1:12" x14ac:dyDescent="0.2">
      <c r="A843" s="38" t="s">
        <v>182</v>
      </c>
      <c r="B843" s="76" t="s">
        <v>213</v>
      </c>
      <c r="C843" s="76" t="s">
        <v>213</v>
      </c>
      <c r="D843" s="76" t="s">
        <v>213</v>
      </c>
      <c r="E843" s="76" t="s">
        <v>213</v>
      </c>
      <c r="F843" s="76" t="s">
        <v>213</v>
      </c>
      <c r="G843" s="42" t="s">
        <v>213</v>
      </c>
      <c r="H843" s="76" t="s">
        <v>213</v>
      </c>
      <c r="I843" s="76" t="s">
        <v>213</v>
      </c>
      <c r="J843" s="76" t="s">
        <v>213</v>
      </c>
      <c r="K843" s="42" t="s">
        <v>213</v>
      </c>
      <c r="L843" s="42" t="s">
        <v>213</v>
      </c>
    </row>
    <row r="848" spans="1:12" ht="12" x14ac:dyDescent="0.25">
      <c r="A848" s="117" t="s">
        <v>238</v>
      </c>
      <c r="B848" s="117"/>
      <c r="C848" s="117"/>
      <c r="D848" s="117"/>
      <c r="E848" s="117"/>
      <c r="F848" s="117"/>
      <c r="G848" s="117"/>
      <c r="H848" s="117"/>
      <c r="I848" s="117"/>
      <c r="J848" s="117"/>
      <c r="K848" s="117"/>
    </row>
    <row r="849" spans="1:12" ht="10.199999999999999" x14ac:dyDescent="0.2">
      <c r="A849" s="116" t="s">
        <v>0</v>
      </c>
      <c r="B849" s="116"/>
      <c r="C849" s="116"/>
      <c r="D849" s="116"/>
      <c r="E849" s="116"/>
      <c r="F849" s="116"/>
      <c r="G849" s="116"/>
      <c r="H849" s="116"/>
      <c r="I849" s="116"/>
      <c r="J849" s="116"/>
      <c r="K849" s="116"/>
    </row>
    <row r="850" spans="1:12" x14ac:dyDescent="0.2">
      <c r="A850" s="45"/>
      <c r="B850" s="45"/>
      <c r="C850" s="45"/>
      <c r="D850" s="45"/>
      <c r="E850" s="45"/>
      <c r="F850" s="45"/>
      <c r="G850" s="45"/>
      <c r="H850" s="45"/>
      <c r="I850" s="94"/>
      <c r="J850" s="90"/>
      <c r="K850" s="44"/>
    </row>
    <row r="851" spans="1:12" x14ac:dyDescent="0.2">
      <c r="A851" s="46" t="s">
        <v>1</v>
      </c>
      <c r="B851" s="46">
        <v>2007</v>
      </c>
      <c r="C851" s="46">
        <v>2008</v>
      </c>
      <c r="D851" s="46">
        <v>2009</v>
      </c>
      <c r="E851" s="48">
        <v>2010</v>
      </c>
      <c r="F851" s="46">
        <v>2011</v>
      </c>
      <c r="G851" s="47">
        <v>2012</v>
      </c>
      <c r="H851" s="46">
        <v>2013</v>
      </c>
      <c r="I851" s="46">
        <v>2014</v>
      </c>
      <c r="J851" s="46">
        <v>2015</v>
      </c>
      <c r="K851" s="46">
        <v>2016</v>
      </c>
      <c r="L851" s="46">
        <v>2017</v>
      </c>
    </row>
    <row r="852" spans="1:12" x14ac:dyDescent="0.2">
      <c r="A852" s="45"/>
      <c r="B852" s="45"/>
      <c r="C852" s="45"/>
      <c r="D852" s="45"/>
      <c r="E852" s="90"/>
      <c r="F852" s="45"/>
      <c r="G852" s="44"/>
      <c r="H852" s="45"/>
      <c r="I852" s="45"/>
      <c r="J852" s="45"/>
      <c r="K852" s="46"/>
      <c r="L852" s="46"/>
    </row>
    <row r="853" spans="1:12" x14ac:dyDescent="0.2">
      <c r="A853" s="46" t="s">
        <v>192</v>
      </c>
      <c r="B853" s="53">
        <f>SUM(B854:B859)</f>
        <v>1715</v>
      </c>
      <c r="C853" s="53">
        <f>(C854+C860)</f>
        <v>902</v>
      </c>
      <c r="D853" s="46">
        <f>SUM(D854:D860)</f>
        <v>651</v>
      </c>
      <c r="E853" s="52">
        <v>585</v>
      </c>
      <c r="F853" s="53">
        <v>768</v>
      </c>
      <c r="G853" s="53">
        <v>273</v>
      </c>
      <c r="H853" s="53">
        <v>16</v>
      </c>
      <c r="I853" s="53">
        <v>24</v>
      </c>
      <c r="J853" s="52" t="s">
        <v>213</v>
      </c>
      <c r="K853" s="46">
        <v>2</v>
      </c>
      <c r="L853" s="99" t="s">
        <v>213</v>
      </c>
    </row>
    <row r="854" spans="1:12" x14ac:dyDescent="0.2">
      <c r="A854" s="38" t="s">
        <v>7</v>
      </c>
      <c r="B854" s="76">
        <v>1705</v>
      </c>
      <c r="C854" s="88">
        <v>901</v>
      </c>
      <c r="D854" s="88">
        <v>646</v>
      </c>
      <c r="E854" s="76">
        <v>582</v>
      </c>
      <c r="F854" s="76">
        <v>768</v>
      </c>
      <c r="G854" s="42">
        <v>273</v>
      </c>
      <c r="H854" s="76">
        <v>10</v>
      </c>
      <c r="I854" s="76">
        <v>24</v>
      </c>
      <c r="J854" s="76" t="s">
        <v>213</v>
      </c>
      <c r="K854" s="42" t="s">
        <v>213</v>
      </c>
      <c r="L854" s="42" t="s">
        <v>213</v>
      </c>
    </row>
    <row r="855" spans="1:12" x14ac:dyDescent="0.2">
      <c r="A855" s="38" t="s">
        <v>40</v>
      </c>
      <c r="B855" s="76">
        <v>7</v>
      </c>
      <c r="C855" s="88" t="s">
        <v>213</v>
      </c>
      <c r="D855" s="88" t="s">
        <v>213</v>
      </c>
      <c r="E855" s="76" t="s">
        <v>213</v>
      </c>
      <c r="F855" s="76" t="s">
        <v>213</v>
      </c>
      <c r="G855" s="42" t="s">
        <v>213</v>
      </c>
      <c r="H855" s="76" t="s">
        <v>213</v>
      </c>
      <c r="I855" s="76" t="s">
        <v>213</v>
      </c>
      <c r="J855" s="76" t="s">
        <v>213</v>
      </c>
      <c r="K855" s="42" t="s">
        <v>213</v>
      </c>
      <c r="L855" s="42" t="s">
        <v>213</v>
      </c>
    </row>
    <row r="856" spans="1:12" x14ac:dyDescent="0.2">
      <c r="A856" s="38" t="s">
        <v>46</v>
      </c>
      <c r="B856" s="76" t="s">
        <v>213</v>
      </c>
      <c r="C856" s="88" t="s">
        <v>213</v>
      </c>
      <c r="D856" s="88" t="s">
        <v>213</v>
      </c>
      <c r="E856" s="76" t="s">
        <v>213</v>
      </c>
      <c r="F856" s="76" t="s">
        <v>213</v>
      </c>
      <c r="G856" s="42" t="s">
        <v>213</v>
      </c>
      <c r="H856" s="76" t="s">
        <v>213</v>
      </c>
      <c r="I856" s="76" t="s">
        <v>213</v>
      </c>
      <c r="J856" s="76" t="s">
        <v>213</v>
      </c>
      <c r="K856" s="42" t="s">
        <v>213</v>
      </c>
      <c r="L856" s="42" t="s">
        <v>213</v>
      </c>
    </row>
    <row r="857" spans="1:12" x14ac:dyDescent="0.2">
      <c r="A857" s="38" t="s">
        <v>68</v>
      </c>
      <c r="B857" s="76" t="s">
        <v>213</v>
      </c>
      <c r="C857" s="88" t="s">
        <v>213</v>
      </c>
      <c r="D857" s="88" t="s">
        <v>213</v>
      </c>
      <c r="E857" s="76" t="s">
        <v>213</v>
      </c>
      <c r="F857" s="76" t="s">
        <v>213</v>
      </c>
      <c r="G857" s="42" t="s">
        <v>213</v>
      </c>
      <c r="H857" s="76" t="s">
        <v>213</v>
      </c>
      <c r="I857" s="76" t="s">
        <v>213</v>
      </c>
      <c r="J857" s="76" t="s">
        <v>213</v>
      </c>
      <c r="K857" s="42" t="s">
        <v>213</v>
      </c>
      <c r="L857" s="42" t="s">
        <v>213</v>
      </c>
    </row>
    <row r="858" spans="1:12" x14ac:dyDescent="0.2">
      <c r="A858" s="38" t="s">
        <v>77</v>
      </c>
      <c r="B858" s="76" t="s">
        <v>213</v>
      </c>
      <c r="C858" s="88" t="s">
        <v>213</v>
      </c>
      <c r="D858" s="88" t="s">
        <v>213</v>
      </c>
      <c r="E858" s="76" t="s">
        <v>213</v>
      </c>
      <c r="F858" s="76" t="s">
        <v>213</v>
      </c>
      <c r="G858" s="42" t="s">
        <v>213</v>
      </c>
      <c r="H858" s="76" t="s">
        <v>213</v>
      </c>
      <c r="I858" s="76" t="s">
        <v>213</v>
      </c>
      <c r="J858" s="76" t="s">
        <v>213</v>
      </c>
      <c r="K858" s="42" t="s">
        <v>213</v>
      </c>
      <c r="L858" s="42" t="s">
        <v>213</v>
      </c>
    </row>
    <row r="859" spans="1:12" x14ac:dyDescent="0.2">
      <c r="A859" s="38" t="s">
        <v>81</v>
      </c>
      <c r="B859" s="76">
        <v>3</v>
      </c>
      <c r="C859" s="88" t="s">
        <v>213</v>
      </c>
      <c r="D859" s="88" t="s">
        <v>213</v>
      </c>
      <c r="E859" s="76" t="s">
        <v>213</v>
      </c>
      <c r="F859" s="76" t="s">
        <v>213</v>
      </c>
      <c r="G859" s="42" t="s">
        <v>213</v>
      </c>
      <c r="H859" s="76" t="s">
        <v>213</v>
      </c>
      <c r="I859" s="76" t="s">
        <v>213</v>
      </c>
      <c r="J859" s="76" t="s">
        <v>213</v>
      </c>
      <c r="K859" s="42" t="s">
        <v>213</v>
      </c>
      <c r="L859" s="42" t="s">
        <v>213</v>
      </c>
    </row>
    <row r="860" spans="1:12" x14ac:dyDescent="0.2">
      <c r="A860" s="46" t="s">
        <v>146</v>
      </c>
      <c r="B860" s="52" t="s">
        <v>213</v>
      </c>
      <c r="C860" s="52">
        <v>1</v>
      </c>
      <c r="D860" s="99">
        <v>5</v>
      </c>
      <c r="E860" s="52">
        <v>3</v>
      </c>
      <c r="F860" s="52" t="s">
        <v>213</v>
      </c>
      <c r="G860" s="52" t="s">
        <v>213</v>
      </c>
      <c r="H860" s="52">
        <v>6</v>
      </c>
      <c r="I860" s="52" t="s">
        <v>213</v>
      </c>
      <c r="J860" s="52" t="s">
        <v>213</v>
      </c>
      <c r="K860" s="53">
        <v>2</v>
      </c>
      <c r="L860" s="52" t="s">
        <v>213</v>
      </c>
    </row>
    <row r="861" spans="1:12" x14ac:dyDescent="0.2">
      <c r="A861" s="93"/>
      <c r="B861" s="49"/>
      <c r="C861" s="49"/>
      <c r="D861" s="49"/>
      <c r="E861" s="49"/>
      <c r="F861" s="49"/>
      <c r="G861" s="49"/>
      <c r="I861" s="42"/>
      <c r="J861" s="43"/>
    </row>
    <row r="862" spans="1:12" x14ac:dyDescent="0.2">
      <c r="A862" s="93"/>
      <c r="B862" s="49"/>
      <c r="C862" s="49"/>
      <c r="D862" s="49"/>
      <c r="E862" s="49"/>
      <c r="F862" s="49"/>
      <c r="G862" s="49"/>
      <c r="H862" s="49"/>
      <c r="I862" s="38"/>
    </row>
    <row r="863" spans="1:12" x14ac:dyDescent="0.2">
      <c r="A863" s="93"/>
      <c r="B863" s="93"/>
      <c r="C863" s="93"/>
      <c r="D863" s="93"/>
      <c r="E863" s="93"/>
      <c r="F863" s="93"/>
      <c r="G863" s="93"/>
      <c r="H863" s="93"/>
      <c r="K863" s="42"/>
    </row>
    <row r="864" spans="1:12" x14ac:dyDescent="0.2">
      <c r="B864" s="76"/>
      <c r="C864" s="76"/>
      <c r="D864" s="76"/>
      <c r="E864" s="76"/>
      <c r="F864" s="76"/>
      <c r="G864" s="76"/>
      <c r="H864" s="88"/>
      <c r="I864" s="76"/>
      <c r="J864" s="76"/>
    </row>
    <row r="865" spans="1:12" x14ac:dyDescent="0.2">
      <c r="B865" s="76"/>
      <c r="C865" s="76"/>
      <c r="D865" s="76"/>
      <c r="E865" s="76"/>
      <c r="F865" s="76"/>
      <c r="G865" s="76"/>
      <c r="H865" s="88"/>
      <c r="I865" s="76"/>
      <c r="J865" s="76"/>
    </row>
    <row r="866" spans="1:12" ht="12" x14ac:dyDescent="0.25">
      <c r="A866" s="117" t="s">
        <v>239</v>
      </c>
      <c r="B866" s="117"/>
      <c r="C866" s="117"/>
      <c r="D866" s="117"/>
      <c r="E866" s="117"/>
      <c r="F866" s="117"/>
      <c r="G866" s="117"/>
      <c r="H866" s="117"/>
      <c r="I866" s="117"/>
      <c r="J866" s="117"/>
      <c r="K866" s="117"/>
    </row>
    <row r="867" spans="1:12" ht="10.199999999999999" x14ac:dyDescent="0.2">
      <c r="A867" s="116" t="s">
        <v>0</v>
      </c>
      <c r="B867" s="116"/>
      <c r="C867" s="116"/>
      <c r="D867" s="116"/>
      <c r="E867" s="116"/>
      <c r="F867" s="116"/>
      <c r="G867" s="116"/>
      <c r="H867" s="116"/>
      <c r="I867" s="116"/>
      <c r="J867" s="116"/>
      <c r="K867" s="116"/>
    </row>
    <row r="868" spans="1:12" x14ac:dyDescent="0.2">
      <c r="A868" s="45"/>
      <c r="B868" s="45"/>
      <c r="C868" s="45"/>
      <c r="D868" s="45"/>
      <c r="E868" s="45"/>
      <c r="F868" s="45"/>
      <c r="G868" s="45"/>
      <c r="H868" s="45"/>
      <c r="I868" s="94"/>
      <c r="J868" s="90"/>
      <c r="K868" s="44"/>
    </row>
    <row r="869" spans="1:12" x14ac:dyDescent="0.2">
      <c r="A869" s="45"/>
      <c r="B869" s="45"/>
      <c r="C869" s="45"/>
      <c r="D869" s="45"/>
      <c r="E869" s="45"/>
      <c r="F869" s="45"/>
      <c r="G869" s="45"/>
      <c r="H869" s="45"/>
      <c r="I869" s="94"/>
      <c r="J869" s="90"/>
      <c r="K869" s="44"/>
    </row>
    <row r="870" spans="1:12" x14ac:dyDescent="0.2">
      <c r="A870" s="46" t="s">
        <v>1</v>
      </c>
      <c r="B870" s="46">
        <v>2007</v>
      </c>
      <c r="C870" s="46">
        <v>2008</v>
      </c>
      <c r="D870" s="47">
        <v>2009</v>
      </c>
      <c r="E870" s="48">
        <v>2010</v>
      </c>
      <c r="F870" s="46">
        <v>2011</v>
      </c>
      <c r="G870" s="47">
        <v>2012</v>
      </c>
      <c r="H870" s="46">
        <v>2013</v>
      </c>
      <c r="I870" s="46">
        <v>2014</v>
      </c>
      <c r="J870" s="46">
        <v>2015</v>
      </c>
      <c r="K870" s="46">
        <v>2016</v>
      </c>
      <c r="L870" s="46">
        <v>2017</v>
      </c>
    </row>
    <row r="871" spans="1:12" x14ac:dyDescent="0.2">
      <c r="A871" s="45"/>
      <c r="B871" s="45"/>
      <c r="C871" s="45"/>
      <c r="D871" s="44"/>
      <c r="E871" s="90"/>
      <c r="F871" s="45"/>
      <c r="G871" s="44"/>
      <c r="H871" s="45"/>
      <c r="I871" s="45"/>
      <c r="J871" s="45"/>
      <c r="K871" s="45"/>
      <c r="L871" s="45"/>
    </row>
    <row r="872" spans="1:12" x14ac:dyDescent="0.2">
      <c r="A872" s="46" t="s">
        <v>193</v>
      </c>
      <c r="B872" s="53">
        <f>SUM(B873:B876)</f>
        <v>804185</v>
      </c>
      <c r="C872" s="53">
        <f>SUM(C873:C876)</f>
        <v>870845</v>
      </c>
      <c r="D872" s="53">
        <f>SUM(D873:D876)</f>
        <v>758013</v>
      </c>
      <c r="E872" s="53">
        <f>SUM(E873:E876)</f>
        <v>713241</v>
      </c>
      <c r="F872" s="53">
        <v>969577</v>
      </c>
      <c r="G872" s="53">
        <v>1105231</v>
      </c>
      <c r="H872" s="53">
        <v>1064138</v>
      </c>
      <c r="I872" s="53">
        <f>SUM(I873:I876)</f>
        <v>1214439</v>
      </c>
      <c r="J872" s="53">
        <v>1191947</v>
      </c>
      <c r="K872" s="53">
        <v>1050117</v>
      </c>
      <c r="L872" s="53">
        <v>1219739</v>
      </c>
    </row>
    <row r="873" spans="1:12" x14ac:dyDescent="0.2">
      <c r="A873" s="38" t="s">
        <v>194</v>
      </c>
      <c r="B873" s="32">
        <v>26387</v>
      </c>
      <c r="C873" s="32">
        <v>27703</v>
      </c>
      <c r="D873" s="76">
        <v>88193</v>
      </c>
      <c r="E873" s="76">
        <v>12179</v>
      </c>
      <c r="F873" s="76">
        <v>14535</v>
      </c>
      <c r="G873" s="43">
        <v>10634</v>
      </c>
      <c r="H873" s="76">
        <v>12521</v>
      </c>
      <c r="I873" s="76">
        <v>12836</v>
      </c>
      <c r="J873" s="76">
        <v>12573</v>
      </c>
      <c r="K873" s="43">
        <v>14863</v>
      </c>
      <c r="L873" s="43">
        <v>16799</v>
      </c>
    </row>
    <row r="874" spans="1:12" x14ac:dyDescent="0.2">
      <c r="A874" s="38" t="s">
        <v>195</v>
      </c>
      <c r="B874" s="32">
        <v>601215</v>
      </c>
      <c r="C874" s="32">
        <v>630932</v>
      </c>
      <c r="D874" s="76">
        <v>474495</v>
      </c>
      <c r="E874" s="76">
        <v>467156</v>
      </c>
      <c r="F874" s="76">
        <v>649744</v>
      </c>
      <c r="G874" s="43">
        <v>827203</v>
      </c>
      <c r="H874" s="76">
        <v>786201</v>
      </c>
      <c r="I874" s="76">
        <v>955182</v>
      </c>
      <c r="J874" s="76">
        <v>883106</v>
      </c>
      <c r="K874" s="43">
        <v>727812</v>
      </c>
      <c r="L874" s="43">
        <v>855351</v>
      </c>
    </row>
    <row r="875" spans="1:12" x14ac:dyDescent="0.2">
      <c r="A875" s="38" t="s">
        <v>196</v>
      </c>
      <c r="B875" s="32">
        <v>176582</v>
      </c>
      <c r="C875" s="32">
        <v>212210</v>
      </c>
      <c r="D875" s="76">
        <v>195325</v>
      </c>
      <c r="E875" s="76">
        <v>233906</v>
      </c>
      <c r="F875" s="76">
        <v>305298</v>
      </c>
      <c r="G875" s="43">
        <v>267394</v>
      </c>
      <c r="H875" s="76">
        <v>265416</v>
      </c>
      <c r="I875" s="76">
        <v>246421</v>
      </c>
      <c r="J875" s="76">
        <v>296268</v>
      </c>
      <c r="K875" s="43">
        <v>307442</v>
      </c>
      <c r="L875" s="43">
        <v>347589</v>
      </c>
    </row>
    <row r="876" spans="1:12" x14ac:dyDescent="0.2">
      <c r="A876" s="38" t="s">
        <v>186</v>
      </c>
      <c r="B876" s="32">
        <v>1</v>
      </c>
      <c r="C876" s="32" t="s">
        <v>213</v>
      </c>
      <c r="D876" s="76" t="s">
        <v>213</v>
      </c>
      <c r="E876" s="76" t="s">
        <v>213</v>
      </c>
      <c r="F876" s="76" t="s">
        <v>213</v>
      </c>
      <c r="G876" s="42" t="s">
        <v>213</v>
      </c>
      <c r="H876" s="76" t="s">
        <v>213</v>
      </c>
      <c r="I876" s="76" t="s">
        <v>213</v>
      </c>
      <c r="J876" s="76"/>
      <c r="K876" s="42" t="s">
        <v>213</v>
      </c>
      <c r="L876" s="42" t="s">
        <v>213</v>
      </c>
    </row>
    <row r="877" spans="1:12" x14ac:dyDescent="0.2">
      <c r="B877" s="43"/>
      <c r="C877" s="43"/>
      <c r="D877" s="43"/>
      <c r="E877" s="43"/>
      <c r="F877" s="43"/>
      <c r="G877" s="43"/>
      <c r="I877" s="42"/>
      <c r="J877" s="43"/>
    </row>
    <row r="878" spans="1:12" x14ac:dyDescent="0.2">
      <c r="F878" s="43"/>
    </row>
    <row r="879" spans="1:12" x14ac:dyDescent="0.2">
      <c r="F879" s="43"/>
    </row>
    <row r="880" spans="1:12" x14ac:dyDescent="0.2">
      <c r="F880" s="43"/>
    </row>
    <row r="881" spans="6:6" x14ac:dyDescent="0.2">
      <c r="F881" s="43"/>
    </row>
    <row r="882" spans="6:6" x14ac:dyDescent="0.2">
      <c r="F882" s="43"/>
    </row>
    <row r="883" spans="6:6" x14ac:dyDescent="0.2">
      <c r="F883" s="43"/>
    </row>
    <row r="884" spans="6:6" x14ac:dyDescent="0.2">
      <c r="F884" s="43"/>
    </row>
    <row r="885" spans="6:6" x14ac:dyDescent="0.2">
      <c r="F885" s="43"/>
    </row>
    <row r="886" spans="6:6" x14ac:dyDescent="0.2">
      <c r="F886" s="43"/>
    </row>
    <row r="887" spans="6:6" x14ac:dyDescent="0.2">
      <c r="F887" s="43"/>
    </row>
    <row r="888" spans="6:6" x14ac:dyDescent="0.2">
      <c r="F888" s="43"/>
    </row>
    <row r="889" spans="6:6" x14ac:dyDescent="0.2">
      <c r="F889" s="43"/>
    </row>
    <row r="890" spans="6:6" x14ac:dyDescent="0.2">
      <c r="F890" s="43"/>
    </row>
    <row r="891" spans="6:6" x14ac:dyDescent="0.2">
      <c r="F891" s="43"/>
    </row>
    <row r="892" spans="6:6" x14ac:dyDescent="0.2">
      <c r="F892" s="43"/>
    </row>
    <row r="893" spans="6:6" x14ac:dyDescent="0.2">
      <c r="F893" s="43"/>
    </row>
    <row r="894" spans="6:6" x14ac:dyDescent="0.2">
      <c r="F894" s="43"/>
    </row>
    <row r="895" spans="6:6" x14ac:dyDescent="0.2">
      <c r="F895" s="43"/>
    </row>
    <row r="896" spans="6:6" x14ac:dyDescent="0.2">
      <c r="F896" s="43"/>
    </row>
    <row r="897" spans="1:12" x14ac:dyDescent="0.2">
      <c r="F897" s="43"/>
    </row>
    <row r="898" spans="1:12" x14ac:dyDescent="0.2">
      <c r="F898" s="43"/>
    </row>
    <row r="899" spans="1:12" x14ac:dyDescent="0.2">
      <c r="F899" s="43"/>
    </row>
    <row r="900" spans="1:12" x14ac:dyDescent="0.2">
      <c r="F900" s="43"/>
    </row>
    <row r="901" spans="1:12" x14ac:dyDescent="0.2">
      <c r="F901" s="43"/>
    </row>
    <row r="902" spans="1:12" x14ac:dyDescent="0.2">
      <c r="F902" s="43"/>
    </row>
    <row r="903" spans="1:12" x14ac:dyDescent="0.2">
      <c r="F903" s="43"/>
    </row>
    <row r="904" spans="1:12" x14ac:dyDescent="0.2">
      <c r="F904" s="43"/>
    </row>
    <row r="905" spans="1:12" x14ac:dyDescent="0.2">
      <c r="F905" s="43"/>
    </row>
    <row r="906" spans="1:12" x14ac:dyDescent="0.2">
      <c r="F906" s="43"/>
    </row>
    <row r="907" spans="1:12" x14ac:dyDescent="0.2">
      <c r="F907" s="43"/>
    </row>
    <row r="908" spans="1:12" ht="12" x14ac:dyDescent="0.25">
      <c r="A908" s="115" t="s">
        <v>240</v>
      </c>
      <c r="B908" s="115"/>
      <c r="C908" s="115"/>
      <c r="D908" s="115"/>
      <c r="E908" s="115"/>
      <c r="F908" s="115"/>
      <c r="G908" s="115"/>
      <c r="H908" s="115"/>
      <c r="I908" s="115"/>
      <c r="J908" s="115"/>
      <c r="K908" s="115"/>
    </row>
    <row r="909" spans="1:12" ht="10.199999999999999" x14ac:dyDescent="0.2">
      <c r="A909" s="118" t="s">
        <v>210</v>
      </c>
      <c r="B909" s="118"/>
      <c r="C909" s="118"/>
      <c r="D909" s="118"/>
      <c r="E909" s="118"/>
      <c r="F909" s="118"/>
      <c r="G909" s="118"/>
      <c r="H909" s="118"/>
      <c r="I909" s="118"/>
      <c r="J909" s="118"/>
      <c r="K909" s="118"/>
    </row>
    <row r="910" spans="1:12" x14ac:dyDescent="0.2">
      <c r="A910" s="7"/>
      <c r="B910" s="7"/>
      <c r="C910" s="7"/>
      <c r="D910" s="7"/>
      <c r="E910" s="7"/>
      <c r="F910" s="7"/>
      <c r="G910" s="7"/>
      <c r="H910" s="7"/>
      <c r="I910" s="19"/>
      <c r="J910" s="21"/>
      <c r="K910" s="16"/>
    </row>
    <row r="911" spans="1:12" x14ac:dyDescent="0.2">
      <c r="A911" s="7"/>
      <c r="B911" s="7"/>
      <c r="C911" s="7"/>
      <c r="D911" s="7"/>
      <c r="E911" s="7"/>
      <c r="F911" s="7"/>
      <c r="G911" s="7"/>
      <c r="H911" s="7"/>
      <c r="I911" s="19"/>
      <c r="J911" s="21"/>
      <c r="K911" s="16"/>
    </row>
    <row r="912" spans="1:12" x14ac:dyDescent="0.2">
      <c r="A912" s="5" t="s">
        <v>1</v>
      </c>
      <c r="B912" s="5">
        <v>2007</v>
      </c>
      <c r="C912" s="5">
        <v>2008</v>
      </c>
      <c r="D912" s="6">
        <v>2009</v>
      </c>
      <c r="E912" s="28">
        <v>2010</v>
      </c>
      <c r="F912" s="5">
        <v>2011</v>
      </c>
      <c r="G912" s="6">
        <v>2012</v>
      </c>
      <c r="H912" s="5">
        <v>2013</v>
      </c>
      <c r="I912" s="5">
        <v>2014</v>
      </c>
      <c r="J912" s="5">
        <v>2015</v>
      </c>
      <c r="K912" s="6">
        <v>2016</v>
      </c>
      <c r="L912" s="6">
        <v>2017</v>
      </c>
    </row>
    <row r="913" spans="1:12" x14ac:dyDescent="0.2">
      <c r="A913" s="7"/>
      <c r="B913" s="7"/>
      <c r="C913" s="7"/>
      <c r="D913" s="16"/>
      <c r="E913" s="21"/>
      <c r="F913" s="7"/>
      <c r="G913" s="16"/>
      <c r="H913" s="7"/>
      <c r="I913" s="7"/>
      <c r="J913" s="7"/>
      <c r="K913" s="19"/>
      <c r="L913" s="19"/>
    </row>
    <row r="914" spans="1:12" x14ac:dyDescent="0.2">
      <c r="A914" s="5" t="s">
        <v>2</v>
      </c>
      <c r="B914" s="10">
        <f t="shared" ref="B914:L914" si="0">SUM(B915:B991)</f>
        <v>76481499.099104181</v>
      </c>
      <c r="C914" s="10">
        <f t="shared" si="0"/>
        <v>75795589.372141138</v>
      </c>
      <c r="D914" s="10">
        <f t="shared" si="0"/>
        <v>67060611.400916472</v>
      </c>
      <c r="E914" s="10">
        <f t="shared" si="0"/>
        <v>52991578.544712454</v>
      </c>
      <c r="F914" s="10">
        <f t="shared" si="0"/>
        <v>64694623.414834417</v>
      </c>
      <c r="G914" s="10">
        <f t="shared" si="0"/>
        <v>56849748.789724216</v>
      </c>
      <c r="H914" s="10">
        <f t="shared" si="0"/>
        <v>66569426.009650245</v>
      </c>
      <c r="I914" s="10">
        <f t="shared" si="0"/>
        <v>76088325.273356825</v>
      </c>
      <c r="J914" s="10">
        <f t="shared" si="0"/>
        <v>80934337.4146422</v>
      </c>
      <c r="K914" s="10">
        <f t="shared" si="0"/>
        <v>85007451.896145195</v>
      </c>
      <c r="L914" s="10">
        <f t="shared" si="0"/>
        <v>111908487.76190476</v>
      </c>
    </row>
    <row r="915" spans="1:12" x14ac:dyDescent="0.2">
      <c r="A915" s="3" t="s">
        <v>3</v>
      </c>
      <c r="B915" s="29">
        <v>3375000</v>
      </c>
      <c r="C915" s="29">
        <v>3366666.6666666665</v>
      </c>
      <c r="D915" s="29">
        <v>4150000</v>
      </c>
      <c r="E915" s="29" t="s">
        <v>213</v>
      </c>
      <c r="F915" s="29">
        <v>3000000</v>
      </c>
      <c r="G915" s="18">
        <v>5666666.666666667</v>
      </c>
      <c r="H915" s="18">
        <v>3000000</v>
      </c>
      <c r="I915" s="18">
        <v>5000000</v>
      </c>
      <c r="J915" s="18" t="s">
        <v>213</v>
      </c>
      <c r="K915" s="18" t="s">
        <v>213</v>
      </c>
      <c r="L915" s="18">
        <v>7000000</v>
      </c>
    </row>
    <row r="916" spans="1:12" x14ac:dyDescent="0.2">
      <c r="A916" s="3" t="s">
        <v>4</v>
      </c>
      <c r="B916" s="29" t="s">
        <v>213</v>
      </c>
      <c r="C916" s="29" t="s">
        <v>213</v>
      </c>
      <c r="D916" s="29" t="s">
        <v>213</v>
      </c>
      <c r="E916" s="29" t="s">
        <v>213</v>
      </c>
      <c r="F916" s="29" t="s">
        <v>213</v>
      </c>
      <c r="G916" s="18" t="s">
        <v>213</v>
      </c>
      <c r="H916" s="18" t="s">
        <v>213</v>
      </c>
      <c r="I916" s="18" t="s">
        <v>213</v>
      </c>
      <c r="J916" s="18" t="s">
        <v>213</v>
      </c>
      <c r="K916" s="18" t="s">
        <v>213</v>
      </c>
      <c r="L916" s="18" t="s">
        <v>213</v>
      </c>
    </row>
    <row r="917" spans="1:12" x14ac:dyDescent="0.2">
      <c r="A917" s="3" t="s">
        <v>5</v>
      </c>
      <c r="B917" s="29">
        <v>3043478.2608695654</v>
      </c>
      <c r="C917" s="29">
        <v>2375000</v>
      </c>
      <c r="D917" s="29">
        <v>2108695.6521739131</v>
      </c>
      <c r="E917" s="29">
        <v>2717647.0588235296</v>
      </c>
      <c r="F917" s="34">
        <v>2412820.512820513</v>
      </c>
      <c r="G917" s="18">
        <v>2329901.9411764704</v>
      </c>
      <c r="H917" s="18">
        <v>2825806.4516129033</v>
      </c>
      <c r="I917" s="18">
        <v>2411052.6315789474</v>
      </c>
      <c r="J917" s="18">
        <v>2375862.0689655175</v>
      </c>
      <c r="K917" s="29">
        <v>2771612.9032258065</v>
      </c>
      <c r="L917" s="29">
        <v>2571429</v>
      </c>
    </row>
    <row r="918" spans="1:12" x14ac:dyDescent="0.2">
      <c r="A918" s="3" t="s">
        <v>6</v>
      </c>
      <c r="B918" s="29" t="s">
        <v>213</v>
      </c>
      <c r="C918" s="29" t="s">
        <v>213</v>
      </c>
      <c r="D918" s="29">
        <v>2900000</v>
      </c>
      <c r="E918" s="29" t="s">
        <v>213</v>
      </c>
      <c r="F918" s="34">
        <v>2050000</v>
      </c>
      <c r="G918" s="18">
        <v>808846.15384615387</v>
      </c>
      <c r="H918" s="18" t="s">
        <v>213</v>
      </c>
      <c r="I918" s="18" t="s">
        <v>213</v>
      </c>
      <c r="J918" s="18" t="s">
        <v>213</v>
      </c>
      <c r="K918" s="18" t="s">
        <v>213</v>
      </c>
      <c r="L918" s="18" t="s">
        <v>213</v>
      </c>
    </row>
    <row r="919" spans="1:12" x14ac:dyDescent="0.2">
      <c r="A919" s="3" t="s">
        <v>7</v>
      </c>
      <c r="B919" s="29">
        <v>52595</v>
      </c>
      <c r="C919" s="29">
        <v>52750</v>
      </c>
      <c r="D919" s="29">
        <v>80000</v>
      </c>
      <c r="E919" s="29" t="s">
        <v>213</v>
      </c>
      <c r="F919" s="34">
        <v>83080</v>
      </c>
      <c r="G919" s="18">
        <v>76333.333333333328</v>
      </c>
      <c r="H919" s="18">
        <v>94000</v>
      </c>
      <c r="I919" s="18">
        <v>94454.545454545456</v>
      </c>
      <c r="J919" s="18">
        <v>151454.54545454544</v>
      </c>
      <c r="K919" s="29">
        <v>120000</v>
      </c>
      <c r="L919" s="29">
        <v>121632</v>
      </c>
    </row>
    <row r="920" spans="1:12" x14ac:dyDescent="0.2">
      <c r="A920" s="3" t="s">
        <v>8</v>
      </c>
      <c r="B920" s="29" t="s">
        <v>213</v>
      </c>
      <c r="C920" s="29" t="s">
        <v>213</v>
      </c>
      <c r="D920" s="29" t="s">
        <v>213</v>
      </c>
      <c r="E920" s="29" t="s">
        <v>213</v>
      </c>
      <c r="F920" s="29" t="s">
        <v>213</v>
      </c>
      <c r="G920" s="18" t="s">
        <v>213</v>
      </c>
      <c r="H920" s="18" t="s">
        <v>213</v>
      </c>
      <c r="I920" s="18" t="s">
        <v>213</v>
      </c>
      <c r="J920" s="18" t="s">
        <v>213</v>
      </c>
      <c r="K920" s="18" t="s">
        <v>213</v>
      </c>
      <c r="L920" s="18" t="s">
        <v>213</v>
      </c>
    </row>
    <row r="921" spans="1:12" x14ac:dyDescent="0.2">
      <c r="A921" s="3" t="s">
        <v>9</v>
      </c>
      <c r="B921" s="29">
        <v>290000</v>
      </c>
      <c r="C921" s="29">
        <v>410000</v>
      </c>
      <c r="D921" s="29" t="s">
        <v>213</v>
      </c>
      <c r="E921" s="29" t="s">
        <v>213</v>
      </c>
      <c r="F921" s="34" t="s">
        <v>213</v>
      </c>
      <c r="G921" s="18" t="s">
        <v>213</v>
      </c>
      <c r="H921" s="18" t="s">
        <v>213</v>
      </c>
      <c r="I921" s="18" t="s">
        <v>213</v>
      </c>
      <c r="J921" s="18" t="s">
        <v>213</v>
      </c>
      <c r="K921" s="18" t="s">
        <v>213</v>
      </c>
      <c r="L921" s="18" t="s">
        <v>213</v>
      </c>
    </row>
    <row r="922" spans="1:12" x14ac:dyDescent="0.2">
      <c r="A922" s="3" t="s">
        <v>10</v>
      </c>
      <c r="B922" s="29">
        <v>1475000</v>
      </c>
      <c r="C922" s="29">
        <v>1717857.142857143</v>
      </c>
      <c r="D922" s="29">
        <v>1320000</v>
      </c>
      <c r="E922" s="29">
        <v>1800000</v>
      </c>
      <c r="F922" s="34">
        <v>1300000</v>
      </c>
      <c r="G922" s="18">
        <v>1667857.142857143</v>
      </c>
      <c r="H922" s="18">
        <v>691666.66666666663</v>
      </c>
      <c r="I922" s="18">
        <v>2382352.9411764704</v>
      </c>
      <c r="J922" s="18">
        <v>2376470.588235294</v>
      </c>
      <c r="K922" s="29">
        <v>2464705.8823529412</v>
      </c>
      <c r="L922" s="29">
        <v>3075000</v>
      </c>
    </row>
    <row r="923" spans="1:12" x14ac:dyDescent="0.2">
      <c r="A923" s="3" t="s">
        <v>11</v>
      </c>
      <c r="B923" s="29">
        <v>3762790.6976744188</v>
      </c>
      <c r="C923" s="29">
        <v>4000000</v>
      </c>
      <c r="D923" s="29" t="s">
        <v>213</v>
      </c>
      <c r="E923" s="29">
        <v>1800000</v>
      </c>
      <c r="F923" s="34">
        <v>1800000</v>
      </c>
      <c r="G923" s="18" t="s">
        <v>213</v>
      </c>
      <c r="H923" s="18" t="s">
        <v>213</v>
      </c>
      <c r="I923" s="18" t="s">
        <v>213</v>
      </c>
      <c r="J923" s="18">
        <v>1075000</v>
      </c>
      <c r="K923" s="29">
        <v>1200000</v>
      </c>
      <c r="L923" s="29">
        <v>1742857</v>
      </c>
    </row>
    <row r="924" spans="1:12" x14ac:dyDescent="0.2">
      <c r="A924" s="3" t="s">
        <v>12</v>
      </c>
      <c r="B924" s="29">
        <v>3200000</v>
      </c>
      <c r="C924" s="29" t="s">
        <v>213</v>
      </c>
      <c r="D924" s="29">
        <v>2000000</v>
      </c>
      <c r="E924" s="29" t="s">
        <v>213</v>
      </c>
      <c r="F924" s="34" t="s">
        <v>213</v>
      </c>
      <c r="G924" s="18" t="s">
        <v>213</v>
      </c>
      <c r="H924" s="18" t="s">
        <v>213</v>
      </c>
      <c r="I924" s="18" t="s">
        <v>213</v>
      </c>
      <c r="J924" s="18" t="s">
        <v>213</v>
      </c>
      <c r="K924" s="29">
        <v>1200000</v>
      </c>
      <c r="L924" s="18" t="s">
        <v>213</v>
      </c>
    </row>
    <row r="925" spans="1:12" x14ac:dyDescent="0.2">
      <c r="A925" s="3" t="s">
        <v>13</v>
      </c>
      <c r="B925" s="29">
        <v>3810344.8275862071</v>
      </c>
      <c r="C925" s="29">
        <v>4019230.769230769</v>
      </c>
      <c r="D925" s="29" t="s">
        <v>213</v>
      </c>
      <c r="E925" s="29" t="s">
        <v>213</v>
      </c>
      <c r="F925" s="29" t="s">
        <v>213</v>
      </c>
      <c r="G925" s="18" t="s">
        <v>213</v>
      </c>
      <c r="H925" s="18" t="s">
        <v>213</v>
      </c>
      <c r="I925" s="18">
        <v>1200000</v>
      </c>
      <c r="J925" s="18">
        <v>1200000</v>
      </c>
      <c r="K925" s="29" t="s">
        <v>213</v>
      </c>
      <c r="L925" s="18" t="s">
        <v>213</v>
      </c>
    </row>
    <row r="926" spans="1:12" x14ac:dyDescent="0.2">
      <c r="A926" s="3" t="s">
        <v>14</v>
      </c>
      <c r="B926" s="29">
        <v>986666.66666666663</v>
      </c>
      <c r="C926" s="29">
        <v>1419444.4444444445</v>
      </c>
      <c r="D926" s="29">
        <v>1487500</v>
      </c>
      <c r="E926" s="29" t="s">
        <v>213</v>
      </c>
      <c r="F926" s="34" t="s">
        <v>213</v>
      </c>
      <c r="G926" s="18" t="s">
        <v>213</v>
      </c>
      <c r="H926" s="18" t="s">
        <v>213</v>
      </c>
      <c r="I926" s="18" t="s">
        <v>213</v>
      </c>
      <c r="J926" s="18" t="s">
        <v>213</v>
      </c>
      <c r="K926" s="29" t="s">
        <v>213</v>
      </c>
      <c r="L926" s="18" t="s">
        <v>213</v>
      </c>
    </row>
    <row r="927" spans="1:12" x14ac:dyDescent="0.2">
      <c r="A927" s="3" t="s">
        <v>15</v>
      </c>
      <c r="B927" s="29">
        <v>755000</v>
      </c>
      <c r="C927" s="29">
        <v>1188888.888888889</v>
      </c>
      <c r="D927" s="29">
        <v>1457142.857142857</v>
      </c>
      <c r="E927" s="29">
        <v>833333.33333333337</v>
      </c>
      <c r="F927" s="34">
        <v>916666.66666666663</v>
      </c>
      <c r="G927" s="18">
        <v>1000000</v>
      </c>
      <c r="H927" s="18">
        <v>828571.42857142852</v>
      </c>
      <c r="I927" s="18">
        <v>1500000</v>
      </c>
      <c r="J927" s="18">
        <v>938888.88888888888</v>
      </c>
      <c r="K927" s="29">
        <v>1166666.6666666667</v>
      </c>
      <c r="L927" s="29">
        <v>1387500</v>
      </c>
    </row>
    <row r="928" spans="1:12" x14ac:dyDescent="0.2">
      <c r="A928" s="3" t="s">
        <v>16</v>
      </c>
      <c r="B928" s="29" t="s">
        <v>213</v>
      </c>
      <c r="C928" s="29" t="s">
        <v>213</v>
      </c>
      <c r="D928" s="29" t="s">
        <v>213</v>
      </c>
      <c r="E928" s="29" t="s">
        <v>213</v>
      </c>
      <c r="F928" s="34" t="s">
        <v>213</v>
      </c>
      <c r="G928" s="18" t="s">
        <v>213</v>
      </c>
      <c r="H928" s="18" t="s">
        <v>213</v>
      </c>
      <c r="I928" s="18" t="s">
        <v>213</v>
      </c>
      <c r="J928" s="18" t="s">
        <v>213</v>
      </c>
      <c r="K928" s="18" t="s">
        <v>213</v>
      </c>
      <c r="L928" s="18" t="s">
        <v>213</v>
      </c>
    </row>
    <row r="929" spans="1:12" x14ac:dyDescent="0.2">
      <c r="A929" s="3" t="s">
        <v>17</v>
      </c>
      <c r="B929" s="29" t="s">
        <v>213</v>
      </c>
      <c r="C929" s="29" t="s">
        <v>213</v>
      </c>
      <c r="D929" s="29" t="s">
        <v>213</v>
      </c>
      <c r="E929" s="29" t="s">
        <v>213</v>
      </c>
      <c r="F929" s="29" t="s">
        <v>213</v>
      </c>
      <c r="G929" s="18" t="s">
        <v>213</v>
      </c>
      <c r="H929" s="18" t="s">
        <v>213</v>
      </c>
      <c r="I929" s="18" t="s">
        <v>213</v>
      </c>
      <c r="J929" s="18" t="s">
        <v>213</v>
      </c>
      <c r="K929" s="18" t="s">
        <v>213</v>
      </c>
      <c r="L929" s="18" t="s">
        <v>213</v>
      </c>
    </row>
    <row r="930" spans="1:12" x14ac:dyDescent="0.2">
      <c r="A930" s="3" t="s">
        <v>18</v>
      </c>
      <c r="B930" s="29">
        <v>4376833.333333333</v>
      </c>
      <c r="C930" s="29">
        <v>4833333.333333333</v>
      </c>
      <c r="D930" s="29">
        <v>5066666.666666667</v>
      </c>
      <c r="E930" s="29">
        <v>4612500</v>
      </c>
      <c r="F930" s="34">
        <v>5641904.7619047621</v>
      </c>
      <c r="G930" s="18">
        <v>5879523.8095238097</v>
      </c>
      <c r="H930" s="18">
        <v>5781250</v>
      </c>
      <c r="I930" s="18">
        <v>6992166</v>
      </c>
      <c r="J930" s="18">
        <v>8785714.2857142854</v>
      </c>
      <c r="K930" s="29">
        <v>12366666.666666666</v>
      </c>
      <c r="L930" s="29">
        <v>11995455</v>
      </c>
    </row>
    <row r="931" spans="1:12" x14ac:dyDescent="0.2">
      <c r="A931" s="3" t="s">
        <v>19</v>
      </c>
      <c r="B931" s="29" t="s">
        <v>213</v>
      </c>
      <c r="C931" s="29" t="s">
        <v>213</v>
      </c>
      <c r="D931" s="29" t="s">
        <v>213</v>
      </c>
      <c r="E931" s="29" t="s">
        <v>213</v>
      </c>
      <c r="F931" s="34" t="s">
        <v>213</v>
      </c>
      <c r="G931" s="18" t="s">
        <v>213</v>
      </c>
      <c r="H931" s="18" t="s">
        <v>213</v>
      </c>
      <c r="I931" s="18" t="s">
        <v>213</v>
      </c>
      <c r="J931" s="18" t="s">
        <v>213</v>
      </c>
      <c r="K931" s="18" t="s">
        <v>213</v>
      </c>
      <c r="L931" s="18">
        <v>1066667</v>
      </c>
    </row>
    <row r="932" spans="1:12" x14ac:dyDescent="0.2">
      <c r="A932" s="3" t="s">
        <v>20</v>
      </c>
      <c r="B932" s="29">
        <v>928571.42857142852</v>
      </c>
      <c r="C932" s="29">
        <v>1301363.6363636365</v>
      </c>
      <c r="D932" s="29">
        <v>875710</v>
      </c>
      <c r="E932" s="29">
        <v>836600</v>
      </c>
      <c r="F932" s="34">
        <v>1222833.3333333333</v>
      </c>
      <c r="G932" s="18">
        <v>608000</v>
      </c>
      <c r="H932" s="18">
        <v>641538.4615384615</v>
      </c>
      <c r="I932" s="18">
        <v>508333.33333333331</v>
      </c>
      <c r="J932" s="18">
        <v>818750</v>
      </c>
      <c r="K932" s="18">
        <v>1250000</v>
      </c>
      <c r="L932" s="18">
        <v>2166667</v>
      </c>
    </row>
    <row r="933" spans="1:12" x14ac:dyDescent="0.2">
      <c r="A933" s="3" t="s">
        <v>21</v>
      </c>
      <c r="B933" s="29">
        <v>1000000</v>
      </c>
      <c r="C933" s="29">
        <v>1500000</v>
      </c>
      <c r="D933" s="29">
        <v>950000</v>
      </c>
      <c r="E933" s="29">
        <v>750000</v>
      </c>
      <c r="F933" s="34">
        <v>1833333.3333333333</v>
      </c>
      <c r="G933" s="18">
        <v>1171428.5714285714</v>
      </c>
      <c r="H933" s="18">
        <v>1500000</v>
      </c>
      <c r="I933" s="18">
        <v>3000000</v>
      </c>
      <c r="J933" s="18">
        <v>1361333.3333333333</v>
      </c>
      <c r="K933" s="18">
        <v>1417857.142857143</v>
      </c>
      <c r="L933" s="18">
        <v>1811111</v>
      </c>
    </row>
    <row r="934" spans="1:12" x14ac:dyDescent="0.2">
      <c r="A934" s="3" t="s">
        <v>22</v>
      </c>
      <c r="B934" s="29">
        <v>805769.23076923075</v>
      </c>
      <c r="C934" s="29">
        <v>964285.71428571432</v>
      </c>
      <c r="D934" s="29">
        <v>1250000</v>
      </c>
      <c r="E934" s="29">
        <v>1033333.3333333334</v>
      </c>
      <c r="F934" s="34">
        <v>1327777.7777777778</v>
      </c>
      <c r="G934" s="18">
        <v>1160000</v>
      </c>
      <c r="H934" s="18">
        <v>1476923.076923077</v>
      </c>
      <c r="I934" s="18">
        <v>1787500</v>
      </c>
      <c r="J934" s="18">
        <v>1315384.6153846155</v>
      </c>
      <c r="K934" s="29">
        <v>1680000</v>
      </c>
      <c r="L934" s="29">
        <v>1617647</v>
      </c>
    </row>
    <row r="935" spans="1:12" x14ac:dyDescent="0.2">
      <c r="A935" s="3" t="s">
        <v>23</v>
      </c>
      <c r="B935" s="29" t="s">
        <v>213</v>
      </c>
      <c r="C935" s="29" t="s">
        <v>213</v>
      </c>
      <c r="D935" s="29" t="s">
        <v>213</v>
      </c>
      <c r="E935" s="29" t="s">
        <v>213</v>
      </c>
      <c r="F935" s="34" t="s">
        <v>213</v>
      </c>
      <c r="G935" s="18" t="s">
        <v>213</v>
      </c>
      <c r="H935" s="18" t="s">
        <v>213</v>
      </c>
      <c r="I935" s="18" t="s">
        <v>213</v>
      </c>
      <c r="J935" s="18" t="s">
        <v>213</v>
      </c>
      <c r="K935" s="18" t="s">
        <v>213</v>
      </c>
      <c r="L935" s="18">
        <v>1216667</v>
      </c>
    </row>
    <row r="936" spans="1:12" x14ac:dyDescent="0.2">
      <c r="A936" s="3" t="s">
        <v>24</v>
      </c>
      <c r="B936" s="29">
        <v>441875</v>
      </c>
      <c r="C936" s="29">
        <v>240000</v>
      </c>
      <c r="D936" s="29">
        <v>435526.31578947371</v>
      </c>
      <c r="E936" s="29">
        <v>214285.71428571429</v>
      </c>
      <c r="F936" s="34">
        <v>1033333.3333333334</v>
      </c>
      <c r="G936" s="18">
        <v>677500</v>
      </c>
      <c r="H936" s="18">
        <v>1180000</v>
      </c>
      <c r="I936" s="18">
        <v>2100000</v>
      </c>
      <c r="J936" s="18" t="s">
        <v>213</v>
      </c>
      <c r="K936" s="29">
        <v>1150000</v>
      </c>
      <c r="L936" s="29">
        <v>1522414</v>
      </c>
    </row>
    <row r="937" spans="1:12" x14ac:dyDescent="0.2">
      <c r="A937" s="3" t="s">
        <v>25</v>
      </c>
      <c r="B937" s="29">
        <v>682000</v>
      </c>
      <c r="C937" s="29">
        <v>734615.38461538462</v>
      </c>
      <c r="D937" s="29">
        <v>805454.54545454541</v>
      </c>
      <c r="E937" s="29">
        <v>555000</v>
      </c>
      <c r="F937" s="34">
        <v>1147619.0476190476</v>
      </c>
      <c r="G937" s="18">
        <v>810000</v>
      </c>
      <c r="H937" s="18">
        <v>1338461.5384615385</v>
      </c>
      <c r="I937" s="18">
        <v>1445454.5454545454</v>
      </c>
      <c r="J937" s="18">
        <v>1312500</v>
      </c>
      <c r="K937" s="29">
        <v>1500000</v>
      </c>
      <c r="L937" s="29">
        <v>1409091</v>
      </c>
    </row>
    <row r="938" spans="1:12" x14ac:dyDescent="0.2">
      <c r="A938" s="3" t="s">
        <v>26</v>
      </c>
      <c r="B938" s="29">
        <v>1056923.076923077</v>
      </c>
      <c r="C938" s="29">
        <v>1373333.2264150945</v>
      </c>
      <c r="D938" s="29">
        <v>1079186.9512195121</v>
      </c>
      <c r="E938" s="29">
        <v>1490400</v>
      </c>
      <c r="F938" s="34">
        <v>1271451.6129032257</v>
      </c>
      <c r="G938" s="18">
        <v>1815909.0909090908</v>
      </c>
      <c r="H938" s="18">
        <v>1614000</v>
      </c>
      <c r="I938" s="18">
        <v>1368181.8181818181</v>
      </c>
      <c r="J938" s="18">
        <v>1605357.142857143</v>
      </c>
      <c r="K938" s="29">
        <v>1764000</v>
      </c>
      <c r="L938" s="18">
        <v>2079747</v>
      </c>
    </row>
    <row r="939" spans="1:12" x14ac:dyDescent="0.2">
      <c r="A939" s="3" t="s">
        <v>27</v>
      </c>
      <c r="B939" s="29" t="s">
        <v>213</v>
      </c>
      <c r="C939" s="29" t="s">
        <v>213</v>
      </c>
      <c r="D939" s="29" t="s">
        <v>213</v>
      </c>
      <c r="E939" s="29" t="s">
        <v>213</v>
      </c>
      <c r="F939" s="29" t="s">
        <v>213</v>
      </c>
      <c r="G939" s="18" t="s">
        <v>213</v>
      </c>
      <c r="H939" s="18" t="s">
        <v>213</v>
      </c>
      <c r="I939" s="18" t="s">
        <v>213</v>
      </c>
      <c r="J939" s="18" t="s">
        <v>213</v>
      </c>
      <c r="K939" s="18" t="s">
        <v>213</v>
      </c>
      <c r="L939" s="18" t="s">
        <v>213</v>
      </c>
    </row>
    <row r="940" spans="1:12" x14ac:dyDescent="0.2">
      <c r="A940" s="3" t="s">
        <v>28</v>
      </c>
      <c r="B940" s="29">
        <v>400000</v>
      </c>
      <c r="C940" s="29" t="s">
        <v>213</v>
      </c>
      <c r="D940" s="29" t="s">
        <v>213</v>
      </c>
      <c r="E940" s="29" t="s">
        <v>213</v>
      </c>
      <c r="F940" s="29" t="s">
        <v>213</v>
      </c>
      <c r="G940" s="18" t="s">
        <v>213</v>
      </c>
      <c r="H940" s="18" t="s">
        <v>213</v>
      </c>
      <c r="I940" s="18" t="s">
        <v>213</v>
      </c>
      <c r="J940" s="18" t="s">
        <v>213</v>
      </c>
      <c r="K940" s="18" t="s">
        <v>213</v>
      </c>
      <c r="L940" s="18" t="s">
        <v>213</v>
      </c>
    </row>
    <row r="941" spans="1:12" x14ac:dyDescent="0.2">
      <c r="A941" s="3" t="s">
        <v>29</v>
      </c>
      <c r="B941" s="29" t="s">
        <v>213</v>
      </c>
      <c r="C941" s="29" t="s">
        <v>213</v>
      </c>
      <c r="D941" s="29">
        <v>2000000</v>
      </c>
      <c r="E941" s="29" t="s">
        <v>213</v>
      </c>
      <c r="F941" s="34" t="s">
        <v>213</v>
      </c>
      <c r="G941" s="18" t="s">
        <v>213</v>
      </c>
      <c r="H941" s="18" t="s">
        <v>213</v>
      </c>
      <c r="I941" s="18">
        <v>825000</v>
      </c>
      <c r="J941" s="18" t="s">
        <v>213</v>
      </c>
      <c r="K941" s="18" t="s">
        <v>213</v>
      </c>
      <c r="L941" s="18" t="s">
        <v>213</v>
      </c>
    </row>
    <row r="942" spans="1:12" x14ac:dyDescent="0.2">
      <c r="A942" s="3" t="s">
        <v>30</v>
      </c>
      <c r="B942" s="29" t="s">
        <v>213</v>
      </c>
      <c r="C942" s="29" t="s">
        <v>213</v>
      </c>
      <c r="D942" s="29" t="s">
        <v>213</v>
      </c>
      <c r="E942" s="29" t="s">
        <v>213</v>
      </c>
      <c r="F942" s="29" t="s">
        <v>213</v>
      </c>
      <c r="G942" s="18" t="s">
        <v>213</v>
      </c>
      <c r="H942" s="18" t="s">
        <v>213</v>
      </c>
      <c r="I942" s="18" t="s">
        <v>213</v>
      </c>
      <c r="J942" s="18" t="s">
        <v>213</v>
      </c>
      <c r="K942" s="18" t="s">
        <v>213</v>
      </c>
      <c r="L942" s="18" t="s">
        <v>213</v>
      </c>
    </row>
    <row r="943" spans="1:12" x14ac:dyDescent="0.2">
      <c r="A943" s="3" t="s">
        <v>31</v>
      </c>
      <c r="B943" s="29">
        <v>1992666.6666666667</v>
      </c>
      <c r="C943" s="29">
        <v>2295454.5454545454</v>
      </c>
      <c r="D943" s="29">
        <v>1734642.857142857</v>
      </c>
      <c r="E943" s="29">
        <v>1859444.4444444445</v>
      </c>
      <c r="F943" s="29">
        <v>1879591.836734694</v>
      </c>
      <c r="G943" s="18">
        <v>1953030.303030303</v>
      </c>
      <c r="H943" s="18">
        <v>1934821.4285714286</v>
      </c>
      <c r="I943" s="18">
        <v>2557894.7368421052</v>
      </c>
      <c r="J943" s="18">
        <v>1858060.606060606</v>
      </c>
      <c r="K943" s="29">
        <v>2121428.5714285714</v>
      </c>
      <c r="L943" s="29">
        <v>2381250</v>
      </c>
    </row>
    <row r="944" spans="1:12" x14ac:dyDescent="0.2">
      <c r="A944" s="3" t="s">
        <v>32</v>
      </c>
      <c r="B944" s="29">
        <v>1914473.6842105263</v>
      </c>
      <c r="C944" s="29">
        <v>1900569.3430656935</v>
      </c>
      <c r="D944" s="29">
        <v>1887212.2448979593</v>
      </c>
      <c r="E944" s="29">
        <v>1890769.2307692308</v>
      </c>
      <c r="F944" s="34">
        <v>2242320</v>
      </c>
      <c r="G944" s="18">
        <v>2291369.8630136987</v>
      </c>
      <c r="H944" s="18">
        <v>2501230.769230769</v>
      </c>
      <c r="I944" s="18">
        <v>2552916.6666666665</v>
      </c>
      <c r="J944" s="18">
        <v>3010000</v>
      </c>
      <c r="K944" s="29">
        <v>3086904.7619047621</v>
      </c>
      <c r="L944" s="29">
        <v>3425610</v>
      </c>
    </row>
    <row r="945" spans="1:12" x14ac:dyDescent="0.2">
      <c r="A945" s="3" t="s">
        <v>33</v>
      </c>
      <c r="B945" s="29">
        <v>1074876.5432098766</v>
      </c>
      <c r="C945" s="29">
        <v>969469.27374301676</v>
      </c>
      <c r="D945" s="29">
        <v>846973.68421052629</v>
      </c>
      <c r="E945" s="29">
        <v>944603.17460317456</v>
      </c>
      <c r="F945" s="34">
        <v>943239.43661971833</v>
      </c>
      <c r="G945" s="18">
        <v>783103.44827586203</v>
      </c>
      <c r="H945" s="18">
        <v>1228947.3684210526</v>
      </c>
      <c r="I945" s="18">
        <v>1028125</v>
      </c>
      <c r="J945" s="18">
        <v>1231282.0512820513</v>
      </c>
      <c r="K945" s="29">
        <v>1293103.448275862</v>
      </c>
      <c r="L945" s="29">
        <v>1683193</v>
      </c>
    </row>
    <row r="946" spans="1:12" x14ac:dyDescent="0.2">
      <c r="A946" s="3" t="s">
        <v>34</v>
      </c>
      <c r="B946" s="29">
        <v>1600000</v>
      </c>
      <c r="C946" s="29">
        <v>1360727.2727272727</v>
      </c>
      <c r="D946" s="29">
        <v>1244279.4117647058</v>
      </c>
      <c r="E946" s="29">
        <v>1162857.142857143</v>
      </c>
      <c r="F946" s="34">
        <v>1334590.1639344261</v>
      </c>
      <c r="G946" s="18">
        <v>1326891.8918918918</v>
      </c>
      <c r="H946" s="18">
        <v>1467142.857142857</v>
      </c>
      <c r="I946" s="18">
        <v>1602888.888888889</v>
      </c>
      <c r="J946" s="18">
        <v>1656666.6666666667</v>
      </c>
      <c r="K946" s="29">
        <v>1497058.8235294118</v>
      </c>
      <c r="L946" s="29">
        <v>2512000</v>
      </c>
    </row>
    <row r="947" spans="1:12" x14ac:dyDescent="0.2">
      <c r="A947" s="3" t="s">
        <v>35</v>
      </c>
      <c r="B947" s="29">
        <v>1707692.3076923077</v>
      </c>
      <c r="C947" s="29">
        <v>1625535.7142857143</v>
      </c>
      <c r="D947" s="29">
        <v>1467910.4477611941</v>
      </c>
      <c r="E947" s="29">
        <v>1580862.0689655172</v>
      </c>
      <c r="F947" s="34">
        <v>2046451.6129032257</v>
      </c>
      <c r="G947" s="18">
        <v>2054827.5862068965</v>
      </c>
      <c r="H947" s="18">
        <v>1870172.4137931035</v>
      </c>
      <c r="I947" s="18">
        <v>2046440.6779661018</v>
      </c>
      <c r="J947" s="18">
        <v>2469558.8235294116</v>
      </c>
      <c r="K947" s="29">
        <v>2531250</v>
      </c>
      <c r="L947" s="29">
        <v>2295082</v>
      </c>
    </row>
    <row r="948" spans="1:12" x14ac:dyDescent="0.2">
      <c r="A948" s="3" t="s">
        <v>36</v>
      </c>
      <c r="B948" s="29">
        <v>1463157.894736842</v>
      </c>
      <c r="C948" s="29">
        <v>2211538.4615384615</v>
      </c>
      <c r="D948" s="29">
        <v>1953846.1538461538</v>
      </c>
      <c r="E948" s="29">
        <v>1941666.6666666667</v>
      </c>
      <c r="F948" s="29">
        <v>1809090.9090909092</v>
      </c>
      <c r="G948" s="18">
        <v>2137500</v>
      </c>
      <c r="H948" s="18">
        <v>1990909.0909090908</v>
      </c>
      <c r="I948" s="18">
        <v>2566666.6666666665</v>
      </c>
      <c r="J948" s="18">
        <v>2674418.6046511629</v>
      </c>
      <c r="K948" s="29">
        <v>2461261.2432432431</v>
      </c>
      <c r="L948" s="29">
        <v>2347170</v>
      </c>
    </row>
    <row r="949" spans="1:12" x14ac:dyDescent="0.2">
      <c r="A949" s="3" t="s">
        <v>37</v>
      </c>
      <c r="B949" s="29" t="s">
        <v>213</v>
      </c>
      <c r="C949" s="29" t="s">
        <v>213</v>
      </c>
      <c r="D949" s="29" t="s">
        <v>213</v>
      </c>
      <c r="E949" s="29" t="s">
        <v>213</v>
      </c>
      <c r="F949" s="29" t="s">
        <v>213</v>
      </c>
      <c r="G949" s="18" t="s">
        <v>213</v>
      </c>
      <c r="H949" s="18" t="s">
        <v>213</v>
      </c>
      <c r="I949" s="18" t="s">
        <v>213</v>
      </c>
      <c r="J949" s="18" t="s">
        <v>213</v>
      </c>
      <c r="K949" s="18" t="s">
        <v>213</v>
      </c>
      <c r="L949" s="18" t="s">
        <v>213</v>
      </c>
    </row>
    <row r="950" spans="1:12" x14ac:dyDescent="0.2">
      <c r="A950" s="3" t="s">
        <v>38</v>
      </c>
      <c r="B950" s="29" t="s">
        <v>213</v>
      </c>
      <c r="C950" s="29" t="s">
        <v>213</v>
      </c>
      <c r="D950" s="29" t="s">
        <v>213</v>
      </c>
      <c r="E950" s="29" t="s">
        <v>213</v>
      </c>
      <c r="F950" s="29" t="s">
        <v>213</v>
      </c>
      <c r="G950" s="18" t="s">
        <v>213</v>
      </c>
      <c r="H950" s="18" t="s">
        <v>213</v>
      </c>
      <c r="I950" s="18" t="s">
        <v>213</v>
      </c>
      <c r="J950" s="18" t="s">
        <v>213</v>
      </c>
      <c r="K950" s="18" t="s">
        <v>213</v>
      </c>
      <c r="L950" s="18" t="s">
        <v>213</v>
      </c>
    </row>
    <row r="951" spans="1:12" x14ac:dyDescent="0.2">
      <c r="A951" s="3" t="s">
        <v>39</v>
      </c>
      <c r="B951" s="29">
        <v>800000</v>
      </c>
      <c r="C951" s="29">
        <v>1500000</v>
      </c>
      <c r="D951" s="29">
        <v>2000000</v>
      </c>
      <c r="E951" s="29">
        <v>2000000</v>
      </c>
      <c r="F951" s="34">
        <v>850000</v>
      </c>
      <c r="G951" s="18" t="s">
        <v>213</v>
      </c>
      <c r="H951" s="18">
        <v>1000000</v>
      </c>
      <c r="I951" s="18">
        <v>1733333.3333333333</v>
      </c>
      <c r="J951" s="18">
        <v>1250000</v>
      </c>
      <c r="K951" s="18" t="s">
        <v>213</v>
      </c>
      <c r="L951" s="18">
        <v>1750000</v>
      </c>
    </row>
    <row r="952" spans="1:12" x14ac:dyDescent="0.2">
      <c r="A952" s="3" t="s">
        <v>40</v>
      </c>
      <c r="B952" s="29">
        <v>785606.6276595745</v>
      </c>
      <c r="C952" s="29">
        <v>779607.93650793645</v>
      </c>
      <c r="D952" s="29">
        <v>809387.67123287672</v>
      </c>
      <c r="E952" s="29">
        <v>520603.77358490566</v>
      </c>
      <c r="F952" s="34">
        <v>686474.31192660553</v>
      </c>
      <c r="G952" s="18">
        <v>880901.63934426231</v>
      </c>
      <c r="H952" s="18">
        <v>1309777.7777777778</v>
      </c>
      <c r="I952" s="18">
        <v>1983684.2105263157</v>
      </c>
      <c r="J952" s="18">
        <v>897428.57142857148</v>
      </c>
      <c r="K952" s="29">
        <v>602941.17647058819</v>
      </c>
      <c r="L952" s="29">
        <v>1285905</v>
      </c>
    </row>
    <row r="953" spans="1:12" x14ac:dyDescent="0.2">
      <c r="A953" s="3" t="s">
        <v>41</v>
      </c>
      <c r="B953" s="29">
        <v>3012500</v>
      </c>
      <c r="C953" s="29">
        <v>3024242.4242424243</v>
      </c>
      <c r="D953" s="29">
        <v>2852413.7931034481</v>
      </c>
      <c r="E953" s="29">
        <v>3188636.3636363638</v>
      </c>
      <c r="F953" s="34">
        <v>2917600</v>
      </c>
      <c r="G953" s="18">
        <v>2393281.25</v>
      </c>
      <c r="H953" s="18">
        <v>2171388.888888889</v>
      </c>
      <c r="I953" s="18">
        <v>2935689.6551724137</v>
      </c>
      <c r="J953" s="18">
        <v>3908695.6521739131</v>
      </c>
      <c r="K953" s="29">
        <v>4225131.5789473681</v>
      </c>
      <c r="L953" s="29">
        <v>3796666.6666666665</v>
      </c>
    </row>
    <row r="954" spans="1:12" x14ac:dyDescent="0.2">
      <c r="A954" s="3" t="s">
        <v>42</v>
      </c>
      <c r="B954" s="29">
        <v>1457142.857142857</v>
      </c>
      <c r="C954" s="29">
        <v>1200000</v>
      </c>
      <c r="D954" s="29">
        <v>1301666.6666666667</v>
      </c>
      <c r="E954" s="29">
        <v>875000</v>
      </c>
      <c r="F954" s="34">
        <v>1370000</v>
      </c>
      <c r="G954" s="18">
        <v>943333.33333333337</v>
      </c>
      <c r="H954" s="18">
        <v>1625000</v>
      </c>
      <c r="I954" s="18">
        <v>1500000</v>
      </c>
      <c r="J954" s="18">
        <v>1366666.6666666667</v>
      </c>
      <c r="K954" s="29">
        <v>1400000</v>
      </c>
      <c r="L954" s="29">
        <v>1963636</v>
      </c>
    </row>
    <row r="955" spans="1:12" x14ac:dyDescent="0.2">
      <c r="A955" s="3" t="s">
        <v>43</v>
      </c>
      <c r="B955" s="29" t="s">
        <v>213</v>
      </c>
      <c r="C955" s="29" t="s">
        <v>213</v>
      </c>
      <c r="D955" s="29" t="s">
        <v>213</v>
      </c>
      <c r="E955" s="29" t="s">
        <v>213</v>
      </c>
      <c r="F955" s="34" t="s">
        <v>213</v>
      </c>
      <c r="G955" s="18" t="s">
        <v>213</v>
      </c>
      <c r="H955" s="18">
        <v>500000</v>
      </c>
      <c r="I955" s="18" t="s">
        <v>213</v>
      </c>
      <c r="J955" s="18" t="s">
        <v>213</v>
      </c>
      <c r="K955" s="18" t="s">
        <v>213</v>
      </c>
      <c r="L955" s="18" t="s">
        <v>213</v>
      </c>
    </row>
    <row r="956" spans="1:12" x14ac:dyDescent="0.2">
      <c r="A956" s="3" t="s">
        <v>44</v>
      </c>
      <c r="B956" s="29" t="s">
        <v>213</v>
      </c>
      <c r="C956" s="29" t="s">
        <v>213</v>
      </c>
      <c r="D956" s="29" t="s">
        <v>213</v>
      </c>
      <c r="E956" s="29" t="s">
        <v>213</v>
      </c>
      <c r="F956" s="34" t="s">
        <v>213</v>
      </c>
      <c r="G956" s="18" t="s">
        <v>213</v>
      </c>
      <c r="H956" s="18" t="s">
        <v>213</v>
      </c>
      <c r="I956" s="18" t="s">
        <v>213</v>
      </c>
      <c r="J956" s="18">
        <v>900000</v>
      </c>
      <c r="K956" s="18" t="s">
        <v>213</v>
      </c>
      <c r="L956" s="18">
        <v>2150000</v>
      </c>
    </row>
    <row r="957" spans="1:12" x14ac:dyDescent="0.2">
      <c r="A957" s="3" t="s">
        <v>45</v>
      </c>
      <c r="B957" s="29">
        <v>1501315.7894736843</v>
      </c>
      <c r="C957" s="29">
        <v>1440000</v>
      </c>
      <c r="D957" s="29">
        <v>2027272.7272727273</v>
      </c>
      <c r="E957" s="29">
        <v>2200000</v>
      </c>
      <c r="F957" s="34">
        <v>2148275.8620689656</v>
      </c>
      <c r="G957" s="18">
        <v>1764285.7142857143</v>
      </c>
      <c r="H957" s="18">
        <v>1522222.2222222222</v>
      </c>
      <c r="I957" s="18">
        <v>1775000</v>
      </c>
      <c r="J957" s="18">
        <v>1640000</v>
      </c>
      <c r="K957" s="18" t="s">
        <v>213</v>
      </c>
      <c r="L957" s="18">
        <v>1873684</v>
      </c>
    </row>
    <row r="958" spans="1:12" x14ac:dyDescent="0.2">
      <c r="A958" s="3" t="s">
        <v>46</v>
      </c>
      <c r="B958" s="29">
        <v>945893.33</v>
      </c>
      <c r="C958" s="29">
        <v>748256.39285714284</v>
      </c>
      <c r="D958" s="29">
        <v>871221.64480874315</v>
      </c>
      <c r="E958" s="29">
        <v>569915.73333333328</v>
      </c>
      <c r="F958" s="34">
        <v>615050.78925619833</v>
      </c>
      <c r="G958" s="18">
        <v>698397.47651006712</v>
      </c>
      <c r="H958" s="18">
        <v>998973.94736842101</v>
      </c>
      <c r="I958" s="18">
        <v>957821.69811320759</v>
      </c>
      <c r="J958" s="18">
        <v>730098.5273972603</v>
      </c>
      <c r="K958" s="29">
        <v>633735.77</v>
      </c>
      <c r="L958" s="29">
        <v>1011058</v>
      </c>
    </row>
    <row r="959" spans="1:12" x14ac:dyDescent="0.2">
      <c r="A959" s="3" t="s">
        <v>47</v>
      </c>
      <c r="B959" s="29" t="s">
        <v>213</v>
      </c>
      <c r="C959" s="29" t="s">
        <v>213</v>
      </c>
      <c r="D959" s="29" t="s">
        <v>213</v>
      </c>
      <c r="E959" s="29" t="s">
        <v>213</v>
      </c>
      <c r="F959" s="34" t="s">
        <v>213</v>
      </c>
      <c r="G959" s="18" t="s">
        <v>213</v>
      </c>
      <c r="H959" s="18" t="s">
        <v>213</v>
      </c>
      <c r="I959" s="18" t="s">
        <v>213</v>
      </c>
      <c r="J959" s="18" t="s">
        <v>213</v>
      </c>
      <c r="K959" s="18" t="s">
        <v>213</v>
      </c>
      <c r="L959" s="18"/>
    </row>
    <row r="960" spans="1:12" x14ac:dyDescent="0.2">
      <c r="A960" s="3" t="s">
        <v>48</v>
      </c>
      <c r="B960" s="29" t="s">
        <v>213</v>
      </c>
      <c r="C960" s="29" t="s">
        <v>213</v>
      </c>
      <c r="D960" s="29" t="s">
        <v>213</v>
      </c>
      <c r="E960" s="29" t="s">
        <v>213</v>
      </c>
      <c r="F960" s="34" t="s">
        <v>213</v>
      </c>
      <c r="G960" s="18" t="s">
        <v>213</v>
      </c>
      <c r="H960" s="18" t="s">
        <v>213</v>
      </c>
      <c r="I960" s="18" t="s">
        <v>213</v>
      </c>
      <c r="J960" s="18" t="s">
        <v>213</v>
      </c>
      <c r="K960" s="18" t="s">
        <v>213</v>
      </c>
      <c r="L960" s="18" t="s">
        <v>213</v>
      </c>
    </row>
    <row r="961" spans="1:12" x14ac:dyDescent="0.2">
      <c r="A961" s="3" t="s">
        <v>49</v>
      </c>
      <c r="B961" s="29">
        <v>1181279.0697674418</v>
      </c>
      <c r="C961" s="29">
        <v>1119960.5263157894</v>
      </c>
      <c r="D961" s="29">
        <v>1029250</v>
      </c>
      <c r="E961" s="29">
        <v>1043100</v>
      </c>
      <c r="F961" s="34">
        <v>861774.19354838715</v>
      </c>
      <c r="G961" s="18">
        <v>893773.58490566036</v>
      </c>
      <c r="H961" s="18">
        <v>862790.69767441857</v>
      </c>
      <c r="I961" s="18">
        <v>979692.30769230775</v>
      </c>
      <c r="J961" s="18">
        <v>1106382.9787234042</v>
      </c>
      <c r="K961" s="29">
        <v>1178965.5172413792</v>
      </c>
      <c r="L961" s="29">
        <v>1204878</v>
      </c>
    </row>
    <row r="962" spans="1:12" x14ac:dyDescent="0.2">
      <c r="A962" s="3" t="s">
        <v>50</v>
      </c>
      <c r="B962" s="29">
        <v>3277777.777777778</v>
      </c>
      <c r="C962" s="29" t="s">
        <v>213</v>
      </c>
      <c r="D962" s="29" t="s">
        <v>213</v>
      </c>
      <c r="E962" s="29" t="s">
        <v>213</v>
      </c>
      <c r="F962" s="29" t="s">
        <v>213</v>
      </c>
      <c r="G962" s="18" t="s">
        <v>213</v>
      </c>
      <c r="H962" s="18" t="s">
        <v>213</v>
      </c>
      <c r="I962" s="18" t="s">
        <v>213</v>
      </c>
      <c r="J962" s="18" t="s">
        <v>213</v>
      </c>
      <c r="K962" s="18" t="s">
        <v>213</v>
      </c>
      <c r="L962" s="18" t="s">
        <v>213</v>
      </c>
    </row>
    <row r="963" spans="1:12" x14ac:dyDescent="0.2">
      <c r="A963" s="3" t="s">
        <v>51</v>
      </c>
      <c r="B963" s="29" t="s">
        <v>213</v>
      </c>
      <c r="C963" s="29" t="s">
        <v>213</v>
      </c>
      <c r="D963" s="29" t="s">
        <v>213</v>
      </c>
      <c r="E963" s="29" t="s">
        <v>213</v>
      </c>
      <c r="F963" s="29" t="s">
        <v>213</v>
      </c>
      <c r="G963" s="18" t="s">
        <v>213</v>
      </c>
      <c r="H963" s="18" t="s">
        <v>213</v>
      </c>
      <c r="I963" s="18" t="s">
        <v>213</v>
      </c>
      <c r="J963" s="18" t="s">
        <v>213</v>
      </c>
      <c r="K963" s="18" t="s">
        <v>213</v>
      </c>
      <c r="L963" s="18" t="s">
        <v>213</v>
      </c>
    </row>
    <row r="964" spans="1:12" x14ac:dyDescent="0.2">
      <c r="A964" s="3" t="s">
        <v>52</v>
      </c>
      <c r="B964" s="29" t="s">
        <v>213</v>
      </c>
      <c r="C964" s="29" t="s">
        <v>213</v>
      </c>
      <c r="D964" s="29" t="s">
        <v>213</v>
      </c>
      <c r="E964" s="29" t="s">
        <v>213</v>
      </c>
      <c r="F964" s="34" t="s">
        <v>213</v>
      </c>
      <c r="G964" s="18" t="s">
        <v>213</v>
      </c>
      <c r="H964" s="18" t="s">
        <v>213</v>
      </c>
      <c r="I964" s="18" t="s">
        <v>213</v>
      </c>
      <c r="J964" s="18" t="s">
        <v>213</v>
      </c>
      <c r="K964" s="18" t="s">
        <v>213</v>
      </c>
      <c r="L964" s="18" t="s">
        <v>213</v>
      </c>
    </row>
    <row r="965" spans="1:12" x14ac:dyDescent="0.2">
      <c r="A965" s="3" t="s">
        <v>53</v>
      </c>
      <c r="B965" s="29">
        <v>996000</v>
      </c>
      <c r="C965" s="29">
        <v>624703.70370370371</v>
      </c>
      <c r="D965" s="29">
        <v>513254.3859649123</v>
      </c>
      <c r="E965" s="29">
        <v>473988.76404494385</v>
      </c>
      <c r="F965" s="34">
        <v>588369.56521739135</v>
      </c>
      <c r="G965" s="18">
        <v>866923.07692307688</v>
      </c>
      <c r="H965" s="18">
        <v>868102.04081632651</v>
      </c>
      <c r="I965" s="18">
        <v>906545.45454545459</v>
      </c>
      <c r="J965" s="18">
        <v>847500</v>
      </c>
      <c r="K965" s="29">
        <v>906250</v>
      </c>
      <c r="L965" s="29">
        <v>1113000</v>
      </c>
    </row>
    <row r="966" spans="1:12" x14ac:dyDescent="0.2">
      <c r="A966" s="3" t="s">
        <v>54</v>
      </c>
      <c r="B966" s="29">
        <v>1337500</v>
      </c>
      <c r="C966" s="29">
        <v>1523809.5238095238</v>
      </c>
      <c r="D966" s="29">
        <v>1025000</v>
      </c>
      <c r="E966" s="29">
        <v>1285714.2857142857</v>
      </c>
      <c r="F966" s="34">
        <v>1669230.7692307692</v>
      </c>
      <c r="G966" s="18">
        <v>4280000</v>
      </c>
      <c r="H966" s="18">
        <v>2540000</v>
      </c>
      <c r="I966" s="18">
        <v>2277777.777777778</v>
      </c>
      <c r="J966" s="18">
        <v>2557142.8571428573</v>
      </c>
      <c r="K966" s="29">
        <v>2714285.7142857141</v>
      </c>
      <c r="L966" s="29">
        <v>3968750</v>
      </c>
    </row>
    <row r="967" spans="1:12" x14ac:dyDescent="0.2">
      <c r="A967" s="3" t="s">
        <v>55</v>
      </c>
      <c r="B967" s="29" t="s">
        <v>213</v>
      </c>
      <c r="C967" s="29" t="s">
        <v>213</v>
      </c>
      <c r="D967" s="29" t="s">
        <v>213</v>
      </c>
      <c r="E967" s="29" t="s">
        <v>213</v>
      </c>
      <c r="F967" s="34" t="s">
        <v>213</v>
      </c>
      <c r="G967" s="18" t="s">
        <v>213</v>
      </c>
      <c r="H967" s="18" t="s">
        <v>213</v>
      </c>
      <c r="I967" s="18" t="s">
        <v>213</v>
      </c>
      <c r="J967" s="18" t="s">
        <v>213</v>
      </c>
      <c r="K967" s="18" t="s">
        <v>213</v>
      </c>
      <c r="L967" s="18" t="s">
        <v>213</v>
      </c>
    </row>
    <row r="968" spans="1:12" x14ac:dyDescent="0.2">
      <c r="A968" s="3" t="s">
        <v>56</v>
      </c>
      <c r="B968" s="29">
        <v>791833.33333333337</v>
      </c>
      <c r="C968" s="29">
        <v>849184.21052631584</v>
      </c>
      <c r="D968" s="29">
        <v>787862.06896551722</v>
      </c>
      <c r="E968" s="29">
        <v>452317.07317073172</v>
      </c>
      <c r="F968" s="34">
        <v>782105.26315789472</v>
      </c>
      <c r="G968" s="18">
        <v>700192.30769230775</v>
      </c>
      <c r="H968" s="18">
        <v>717291.66666666663</v>
      </c>
      <c r="I968" s="18">
        <v>845869.56521739135</v>
      </c>
      <c r="J968" s="18">
        <v>1128125</v>
      </c>
      <c r="K968" s="29">
        <v>1272222.2222222222</v>
      </c>
      <c r="L968" s="29">
        <v>1260000</v>
      </c>
    </row>
    <row r="969" spans="1:12" x14ac:dyDescent="0.2">
      <c r="A969" s="3" t="s">
        <v>57</v>
      </c>
      <c r="B969" s="29">
        <v>800000</v>
      </c>
      <c r="C969" s="29">
        <v>1000000</v>
      </c>
      <c r="D969" s="29" t="s">
        <v>213</v>
      </c>
      <c r="E969" s="29">
        <v>1200000</v>
      </c>
      <c r="F969" s="29">
        <v>2250000</v>
      </c>
      <c r="G969" s="18" t="s">
        <v>213</v>
      </c>
      <c r="H969" s="18" t="s">
        <v>213</v>
      </c>
      <c r="I969" s="18" t="s">
        <v>213</v>
      </c>
      <c r="J969" s="18" t="s">
        <v>213</v>
      </c>
      <c r="K969" s="18" t="s">
        <v>213</v>
      </c>
      <c r="L969" s="18">
        <v>2000000</v>
      </c>
    </row>
    <row r="970" spans="1:12" x14ac:dyDescent="0.2">
      <c r="A970" s="3" t="s">
        <v>204</v>
      </c>
      <c r="B970" s="29" t="s">
        <v>213</v>
      </c>
      <c r="C970" s="29" t="s">
        <v>213</v>
      </c>
      <c r="D970" s="29" t="s">
        <v>213</v>
      </c>
      <c r="E970" s="29" t="s">
        <v>213</v>
      </c>
      <c r="F970" s="34" t="s">
        <v>213</v>
      </c>
      <c r="G970" s="18" t="s">
        <v>213</v>
      </c>
      <c r="H970" s="18" t="s">
        <v>213</v>
      </c>
      <c r="I970" s="18" t="s">
        <v>213</v>
      </c>
      <c r="J970" s="18" t="s">
        <v>213</v>
      </c>
      <c r="K970" s="18" t="s">
        <v>213</v>
      </c>
      <c r="L970" s="18" t="s">
        <v>213</v>
      </c>
    </row>
    <row r="971" spans="1:12" x14ac:dyDescent="0.2">
      <c r="A971" s="3" t="s">
        <v>58</v>
      </c>
      <c r="B971" s="29" t="s">
        <v>213</v>
      </c>
      <c r="C971" s="29" t="s">
        <v>213</v>
      </c>
      <c r="D971" s="29" t="s">
        <v>213</v>
      </c>
      <c r="E971" s="29" t="s">
        <v>213</v>
      </c>
      <c r="F971" s="29" t="s">
        <v>213</v>
      </c>
      <c r="G971" s="18" t="s">
        <v>213</v>
      </c>
      <c r="H971" s="18" t="s">
        <v>213</v>
      </c>
      <c r="I971" s="18" t="s">
        <v>213</v>
      </c>
      <c r="J971" s="18">
        <v>8000000</v>
      </c>
      <c r="K971" s="29">
        <v>8500000</v>
      </c>
      <c r="L971" s="29">
        <v>8500000</v>
      </c>
    </row>
    <row r="972" spans="1:12" x14ac:dyDescent="0.2">
      <c r="A972" s="3" t="s">
        <v>59</v>
      </c>
      <c r="B972" s="29">
        <v>941500</v>
      </c>
      <c r="C972" s="29">
        <v>1012729.7297297297</v>
      </c>
      <c r="D972" s="29">
        <v>969101.1235955056</v>
      </c>
      <c r="E972" s="29">
        <v>978070.42253521131</v>
      </c>
      <c r="F972" s="29">
        <v>1023195.1219512195</v>
      </c>
      <c r="G972" s="18">
        <v>853333.33333333337</v>
      </c>
      <c r="H972" s="18">
        <v>1007407.4074074074</v>
      </c>
      <c r="I972" s="18">
        <v>975000</v>
      </c>
      <c r="J972" s="18">
        <v>966666.66666666663</v>
      </c>
      <c r="K972" s="29">
        <v>1573684.2105263157</v>
      </c>
      <c r="L972" s="29">
        <v>1666666.6666666667</v>
      </c>
    </row>
    <row r="973" spans="1:12" x14ac:dyDescent="0.2">
      <c r="A973" s="3" t="s">
        <v>60</v>
      </c>
      <c r="B973" s="29">
        <v>1529411.7647058824</v>
      </c>
      <c r="C973" s="29">
        <v>1140909.0909090908</v>
      </c>
      <c r="D973" s="29">
        <v>931805.5555555555</v>
      </c>
      <c r="E973" s="29">
        <v>546250</v>
      </c>
      <c r="F973" s="34">
        <v>711142.85714285716</v>
      </c>
      <c r="G973" s="18">
        <v>696095.61290322582</v>
      </c>
      <c r="H973" s="18">
        <v>1016388.8888888889</v>
      </c>
      <c r="I973" s="18">
        <v>860793.65079365077</v>
      </c>
      <c r="J973" s="18">
        <v>1134594.5945945946</v>
      </c>
      <c r="K973" s="29">
        <v>1094666.6666666667</v>
      </c>
      <c r="L973" s="29">
        <v>1892987</v>
      </c>
    </row>
    <row r="974" spans="1:12" x14ac:dyDescent="0.2">
      <c r="A974" s="3" t="s">
        <v>61</v>
      </c>
      <c r="B974" s="29">
        <v>3500000</v>
      </c>
      <c r="C974" s="29">
        <v>3773584.9056603773</v>
      </c>
      <c r="D974" s="29" t="s">
        <v>213</v>
      </c>
      <c r="E974" s="29" t="s">
        <v>213</v>
      </c>
      <c r="F974" s="29" t="s">
        <v>213</v>
      </c>
      <c r="G974" s="18" t="s">
        <v>213</v>
      </c>
      <c r="H974" s="18" t="s">
        <v>213</v>
      </c>
      <c r="I974" s="18" t="s">
        <v>213</v>
      </c>
      <c r="J974" s="18" t="s">
        <v>213</v>
      </c>
      <c r="K974" s="18" t="s">
        <v>213</v>
      </c>
      <c r="L974" s="18" t="s">
        <v>213</v>
      </c>
    </row>
    <row r="975" spans="1:12" x14ac:dyDescent="0.2">
      <c r="A975" s="3" t="s">
        <v>62</v>
      </c>
      <c r="B975" s="29">
        <v>996296.29629629629</v>
      </c>
      <c r="C975" s="29">
        <v>915306.12244897964</v>
      </c>
      <c r="D975" s="29">
        <v>840869.56521739135</v>
      </c>
      <c r="E975" s="29">
        <v>680208.33333333337</v>
      </c>
      <c r="F975" s="34">
        <v>1038000</v>
      </c>
      <c r="G975" s="18" t="s">
        <v>213</v>
      </c>
      <c r="H975" s="18">
        <v>648571.42857142852</v>
      </c>
      <c r="I975" s="18">
        <v>863979.59183673467</v>
      </c>
      <c r="J975" s="18">
        <v>1286521.7391304348</v>
      </c>
      <c r="K975" s="29">
        <v>966956.52173913049</v>
      </c>
      <c r="L975" s="29">
        <v>847297</v>
      </c>
    </row>
    <row r="976" spans="1:12" x14ac:dyDescent="0.2">
      <c r="A976" s="3" t="s">
        <v>63</v>
      </c>
      <c r="B976" s="29">
        <v>600000</v>
      </c>
      <c r="C976" s="29">
        <v>1250000</v>
      </c>
      <c r="D976" s="29">
        <v>1480000</v>
      </c>
      <c r="E976" s="29">
        <v>1600000</v>
      </c>
      <c r="F976" s="34">
        <v>785714.28571428568</v>
      </c>
      <c r="G976" s="18">
        <v>1233333.3333333333</v>
      </c>
      <c r="H976" s="18">
        <v>1416666.6666666667</v>
      </c>
      <c r="I976" s="18">
        <v>1670000</v>
      </c>
      <c r="J976" s="18">
        <v>1625000</v>
      </c>
      <c r="K976" s="29">
        <v>1500000</v>
      </c>
      <c r="L976" s="29">
        <v>1700000</v>
      </c>
    </row>
    <row r="977" spans="1:12" x14ac:dyDescent="0.2">
      <c r="A977" s="3" t="s">
        <v>64</v>
      </c>
      <c r="B977" s="29">
        <v>1036190.4761904762</v>
      </c>
      <c r="C977" s="29">
        <v>917686.90476190473</v>
      </c>
      <c r="D977" s="29">
        <v>1292857.142857143</v>
      </c>
      <c r="E977" s="29">
        <v>942857.14285714284</v>
      </c>
      <c r="F977" s="34">
        <v>1171500</v>
      </c>
      <c r="G977" s="18">
        <v>1016666.6666666666</v>
      </c>
      <c r="H977" s="18">
        <v>1562500</v>
      </c>
      <c r="I977" s="18">
        <v>1140000</v>
      </c>
      <c r="J977" s="18">
        <v>2333333.3333333335</v>
      </c>
      <c r="K977" s="29">
        <v>1660000</v>
      </c>
      <c r="L977" s="29">
        <v>2076923</v>
      </c>
    </row>
    <row r="978" spans="1:12" x14ac:dyDescent="0.2">
      <c r="A978" s="3" t="s">
        <v>65</v>
      </c>
      <c r="B978" s="29">
        <v>421428.57142857142</v>
      </c>
      <c r="C978" s="29">
        <v>780769.23076923075</v>
      </c>
      <c r="D978" s="29">
        <v>783333.33333333337</v>
      </c>
      <c r="E978" s="29">
        <v>964705.8823529412</v>
      </c>
      <c r="F978" s="34">
        <v>755000</v>
      </c>
      <c r="G978" s="18">
        <v>1175000</v>
      </c>
      <c r="H978" s="18">
        <v>1533333.3333333333</v>
      </c>
      <c r="I978" s="18">
        <v>2000000</v>
      </c>
      <c r="J978" s="18">
        <v>1000000</v>
      </c>
      <c r="K978" s="29">
        <v>1425000</v>
      </c>
      <c r="L978" s="29">
        <v>1383333</v>
      </c>
    </row>
    <row r="979" spans="1:12" x14ac:dyDescent="0.2">
      <c r="A979" s="3" t="s">
        <v>70</v>
      </c>
      <c r="B979" s="29">
        <v>84000</v>
      </c>
      <c r="C979" s="29" t="s">
        <v>213</v>
      </c>
      <c r="D979" s="29">
        <v>130000</v>
      </c>
      <c r="E979" s="29" t="s">
        <v>213</v>
      </c>
      <c r="F979" s="20">
        <v>900000</v>
      </c>
      <c r="G979" s="18" t="s">
        <v>213</v>
      </c>
      <c r="H979" s="18" t="s">
        <v>213</v>
      </c>
      <c r="I979" s="18" t="s">
        <v>213</v>
      </c>
      <c r="J979" s="18" t="s">
        <v>213</v>
      </c>
      <c r="K979" s="18" t="s">
        <v>213</v>
      </c>
      <c r="L979" s="18" t="s">
        <v>213</v>
      </c>
    </row>
    <row r="980" spans="1:12" x14ac:dyDescent="0.2">
      <c r="A980" s="3" t="s">
        <v>71</v>
      </c>
      <c r="B980" s="29" t="s">
        <v>213</v>
      </c>
      <c r="C980" s="29" t="s">
        <v>213</v>
      </c>
      <c r="D980" s="29" t="s">
        <v>213</v>
      </c>
      <c r="E980" s="29" t="s">
        <v>213</v>
      </c>
      <c r="F980" s="34" t="s">
        <v>213</v>
      </c>
      <c r="G980" s="18" t="s">
        <v>213</v>
      </c>
      <c r="H980" s="18" t="s">
        <v>213</v>
      </c>
      <c r="I980" s="18">
        <v>51428.571428571428</v>
      </c>
      <c r="J980" s="18">
        <v>50000</v>
      </c>
      <c r="K980" s="29">
        <v>50000</v>
      </c>
      <c r="L980" s="29">
        <v>56800</v>
      </c>
    </row>
    <row r="981" spans="1:12" x14ac:dyDescent="0.2">
      <c r="A981" s="3" t="s">
        <v>72</v>
      </c>
      <c r="B981" s="29">
        <v>350000</v>
      </c>
      <c r="C981" s="29">
        <v>96800</v>
      </c>
      <c r="D981" s="29">
        <v>166666.66666666666</v>
      </c>
      <c r="E981" s="29" t="s">
        <v>213</v>
      </c>
      <c r="F981" s="34">
        <v>83000</v>
      </c>
      <c r="G981" s="18">
        <v>77333.333333333328</v>
      </c>
      <c r="H981" s="18">
        <v>246400</v>
      </c>
      <c r="I981" s="18">
        <v>353076.92307692306</v>
      </c>
      <c r="J981" s="18">
        <v>151454.54545454544</v>
      </c>
      <c r="K981" s="29">
        <v>112500</v>
      </c>
      <c r="L981" s="29">
        <v>111400</v>
      </c>
    </row>
    <row r="982" spans="1:12" x14ac:dyDescent="0.2">
      <c r="A982" s="3" t="s">
        <v>73</v>
      </c>
      <c r="B982" s="29">
        <v>1077600</v>
      </c>
      <c r="C982" s="29">
        <v>992941.17647058819</v>
      </c>
      <c r="D982" s="29">
        <v>1000000</v>
      </c>
      <c r="E982" s="29">
        <v>1033333.3333333334</v>
      </c>
      <c r="F982" s="34">
        <v>1210000</v>
      </c>
      <c r="G982" s="18">
        <v>600000</v>
      </c>
      <c r="H982" s="18">
        <v>1500000</v>
      </c>
      <c r="I982" s="18">
        <v>3055555.5555555555</v>
      </c>
      <c r="J982" s="18">
        <v>2300000</v>
      </c>
      <c r="K982" s="29">
        <v>1225000</v>
      </c>
      <c r="L982" s="29">
        <v>2137500</v>
      </c>
    </row>
    <row r="983" spans="1:12" x14ac:dyDescent="0.2">
      <c r="A983" s="3" t="s">
        <v>74</v>
      </c>
      <c r="B983" s="29">
        <v>1524827.7078651686</v>
      </c>
      <c r="C983" s="29">
        <v>2043937.1913043477</v>
      </c>
      <c r="D983" s="29">
        <v>1167901.2676056337</v>
      </c>
      <c r="E983" s="29">
        <v>891353.04651162785</v>
      </c>
      <c r="F983" s="34">
        <v>606203.70370370371</v>
      </c>
      <c r="G983" s="18">
        <v>593208.32499999995</v>
      </c>
      <c r="H983" s="18">
        <v>517169.49152542371</v>
      </c>
      <c r="I983" s="18">
        <v>609204.08163265302</v>
      </c>
      <c r="J983" s="18">
        <v>854568.62745098036</v>
      </c>
      <c r="K983" s="29">
        <v>927763.15789473685</v>
      </c>
      <c r="L983" s="29">
        <v>729556</v>
      </c>
    </row>
    <row r="984" spans="1:12" x14ac:dyDescent="0.2">
      <c r="A984" s="3" t="s">
        <v>75</v>
      </c>
      <c r="B984" s="29">
        <v>1166666.6666666667</v>
      </c>
      <c r="C984" s="29">
        <v>719090.90909090906</v>
      </c>
      <c r="D984" s="29">
        <v>3000000</v>
      </c>
      <c r="E984" s="29">
        <v>800000</v>
      </c>
      <c r="F984" s="34">
        <v>1400000</v>
      </c>
      <c r="G984" s="18" t="s">
        <v>213</v>
      </c>
      <c r="H984" s="18">
        <v>1540000</v>
      </c>
      <c r="I984" s="18">
        <v>844444.4444444445</v>
      </c>
      <c r="J984" s="18">
        <v>950000</v>
      </c>
      <c r="K984" s="29">
        <v>1000000</v>
      </c>
      <c r="L984" s="29">
        <v>1122857</v>
      </c>
    </row>
    <row r="985" spans="1:12" x14ac:dyDescent="0.2">
      <c r="A985" s="3" t="s">
        <v>203</v>
      </c>
      <c r="B985" s="29" t="s">
        <v>213</v>
      </c>
      <c r="C985" s="29" t="s">
        <v>213</v>
      </c>
      <c r="D985" s="29" t="s">
        <v>213</v>
      </c>
      <c r="E985" s="29" t="s">
        <v>213</v>
      </c>
      <c r="F985" s="34" t="s">
        <v>213</v>
      </c>
      <c r="G985" s="18" t="s">
        <v>213</v>
      </c>
      <c r="H985" s="18" t="s">
        <v>213</v>
      </c>
      <c r="I985" s="18" t="s">
        <v>213</v>
      </c>
      <c r="J985" s="18" t="s">
        <v>213</v>
      </c>
      <c r="K985" s="18" t="s">
        <v>213</v>
      </c>
      <c r="L985" s="18" t="s">
        <v>213</v>
      </c>
    </row>
    <row r="986" spans="1:12" x14ac:dyDescent="0.2">
      <c r="A986" s="3" t="s">
        <v>76</v>
      </c>
      <c r="B986" s="29">
        <v>1116666.6666666667</v>
      </c>
      <c r="C986" s="29">
        <v>1100000</v>
      </c>
      <c r="D986" s="29">
        <v>500000</v>
      </c>
      <c r="E986" s="29">
        <v>2000000</v>
      </c>
      <c r="F986" s="29">
        <v>2920000</v>
      </c>
      <c r="G986" s="18">
        <v>1625000</v>
      </c>
      <c r="H986" s="18">
        <v>3900000</v>
      </c>
      <c r="I986" s="18" t="s">
        <v>213</v>
      </c>
      <c r="J986" s="18">
        <v>2250000</v>
      </c>
      <c r="K986" s="29">
        <v>2000000</v>
      </c>
      <c r="L986" s="29">
        <v>4000000</v>
      </c>
    </row>
    <row r="987" spans="1:12" x14ac:dyDescent="0.2">
      <c r="A987" s="3" t="s">
        <v>77</v>
      </c>
      <c r="B987" s="29" t="s">
        <v>213</v>
      </c>
      <c r="C987" s="29" t="s">
        <v>213</v>
      </c>
      <c r="D987" s="29" t="s">
        <v>213</v>
      </c>
      <c r="E987" s="29" t="s">
        <v>213</v>
      </c>
      <c r="F987" s="34" t="s">
        <v>213</v>
      </c>
      <c r="G987" s="18" t="s">
        <v>213</v>
      </c>
      <c r="H987" s="18" t="s">
        <v>213</v>
      </c>
      <c r="I987" s="18" t="s">
        <v>213</v>
      </c>
      <c r="J987" s="18" t="s">
        <v>213</v>
      </c>
      <c r="K987" s="18" t="s">
        <v>213</v>
      </c>
      <c r="L987" s="18" t="s">
        <v>213</v>
      </c>
    </row>
    <row r="988" spans="1:12" x14ac:dyDescent="0.2">
      <c r="A988" s="3" t="s">
        <v>78</v>
      </c>
      <c r="B988" s="29" t="s">
        <v>213</v>
      </c>
      <c r="C988" s="29" t="s">
        <v>213</v>
      </c>
      <c r="D988" s="29" t="s">
        <v>213</v>
      </c>
      <c r="E988" s="29" t="s">
        <v>213</v>
      </c>
      <c r="F988" s="34" t="s">
        <v>213</v>
      </c>
      <c r="G988" s="18" t="s">
        <v>213</v>
      </c>
      <c r="H988" s="18" t="s">
        <v>213</v>
      </c>
      <c r="I988" s="18" t="s">
        <v>213</v>
      </c>
      <c r="J988" s="18" t="s">
        <v>213</v>
      </c>
      <c r="K988" s="18" t="s">
        <v>213</v>
      </c>
      <c r="L988" s="18" t="s">
        <v>213</v>
      </c>
    </row>
    <row r="989" spans="1:12" x14ac:dyDescent="0.2">
      <c r="A989" s="23" t="s">
        <v>79</v>
      </c>
      <c r="B989" s="29">
        <v>722500</v>
      </c>
      <c r="C989" s="29">
        <v>2698437.5</v>
      </c>
      <c r="D989" s="29">
        <v>1760000</v>
      </c>
      <c r="E989" s="29">
        <v>1255555.5555555555</v>
      </c>
      <c r="F989" s="34" t="s">
        <v>213</v>
      </c>
      <c r="G989" s="18" t="s">
        <v>213</v>
      </c>
      <c r="H989" s="18">
        <v>3000000</v>
      </c>
      <c r="I989" s="18">
        <v>1800000</v>
      </c>
      <c r="J989" s="18">
        <v>1844444.4444444445</v>
      </c>
      <c r="K989" s="29">
        <v>1845833.25</v>
      </c>
      <c r="L989" s="29">
        <v>1885000</v>
      </c>
    </row>
    <row r="990" spans="1:12" x14ac:dyDescent="0.2">
      <c r="A990" s="3" t="s">
        <v>80</v>
      </c>
      <c r="B990" s="29">
        <v>1352777.7777777778</v>
      </c>
      <c r="C990" s="29">
        <v>1616666.6666666667</v>
      </c>
      <c r="D990" s="29">
        <v>1420000</v>
      </c>
      <c r="E990" s="29">
        <v>1466666.6666666667</v>
      </c>
      <c r="F990" s="34">
        <v>1805882.3529411764</v>
      </c>
      <c r="G990" s="18">
        <v>1340000</v>
      </c>
      <c r="H990" s="18">
        <v>2600000</v>
      </c>
      <c r="I990" s="18">
        <v>3000000</v>
      </c>
      <c r="J990" s="18">
        <v>2346153.846153846</v>
      </c>
      <c r="K990" s="29">
        <v>3250000</v>
      </c>
      <c r="L990" s="29">
        <v>3063830</v>
      </c>
    </row>
    <row r="991" spans="1:12" x14ac:dyDescent="0.2">
      <c r="A991" s="12" t="s">
        <v>81</v>
      </c>
      <c r="B991" s="29">
        <v>2979069.7674418604</v>
      </c>
      <c r="C991" s="29">
        <v>3066901.4084507041</v>
      </c>
      <c r="D991" s="29">
        <v>1300000</v>
      </c>
      <c r="E991" s="29" t="s">
        <v>213</v>
      </c>
      <c r="F991" s="30">
        <v>250000</v>
      </c>
      <c r="G991" s="18" t="s">
        <v>213</v>
      </c>
      <c r="H991" s="18" t="s">
        <v>213</v>
      </c>
      <c r="I991" s="18" t="s">
        <v>213</v>
      </c>
      <c r="J991" s="18">
        <v>1292857.142857143</v>
      </c>
      <c r="K991" s="29">
        <v>1900000</v>
      </c>
      <c r="L991" s="29">
        <v>1928571.4285714286</v>
      </c>
    </row>
    <row r="992" spans="1:12" x14ac:dyDescent="0.2">
      <c r="A992" s="12"/>
      <c r="B992" s="12"/>
      <c r="C992" s="12"/>
      <c r="D992" s="12"/>
      <c r="E992" s="12"/>
      <c r="F992" s="12"/>
      <c r="G992" s="12"/>
      <c r="H992" s="3"/>
      <c r="I992" s="4"/>
      <c r="J992" s="18"/>
      <c r="K992" s="11"/>
    </row>
    <row r="993" spans="1:12" x14ac:dyDescent="0.2">
      <c r="A993" s="12"/>
      <c r="B993" s="12"/>
      <c r="C993" s="12"/>
      <c r="D993" s="12"/>
      <c r="E993" s="12"/>
      <c r="F993" s="12"/>
      <c r="G993" s="12"/>
      <c r="H993" s="3"/>
      <c r="I993" s="4"/>
      <c r="J993" s="18"/>
      <c r="K993" s="11"/>
    </row>
    <row r="994" spans="1:12" x14ac:dyDescent="0.2">
      <c r="A994" s="12"/>
      <c r="B994" s="12"/>
      <c r="C994" s="12"/>
      <c r="D994" s="12"/>
      <c r="E994" s="12"/>
      <c r="F994" s="12"/>
      <c r="G994" s="12"/>
      <c r="H994" s="3"/>
      <c r="I994" s="4"/>
      <c r="J994" s="18"/>
      <c r="K994" s="11"/>
    </row>
    <row r="995" spans="1:12" x14ac:dyDescent="0.2">
      <c r="A995" s="12"/>
      <c r="B995" s="12"/>
      <c r="C995" s="12"/>
      <c r="D995" s="12"/>
      <c r="E995" s="12"/>
      <c r="F995" s="12"/>
      <c r="G995" s="12"/>
      <c r="H995" s="3"/>
      <c r="I995" s="4"/>
      <c r="J995" s="18"/>
      <c r="K995" s="11"/>
    </row>
    <row r="996" spans="1:12" x14ac:dyDescent="0.2">
      <c r="A996" s="12"/>
      <c r="B996" s="12"/>
      <c r="C996" s="12"/>
      <c r="D996" s="12"/>
      <c r="E996" s="12"/>
      <c r="F996" s="12"/>
      <c r="G996" s="12"/>
      <c r="H996" s="3"/>
      <c r="I996" s="4"/>
      <c r="J996" s="18"/>
      <c r="K996" s="11"/>
    </row>
    <row r="997" spans="1:12" x14ac:dyDescent="0.2">
      <c r="A997" s="12"/>
      <c r="B997" s="12"/>
      <c r="C997" s="12"/>
      <c r="D997" s="12"/>
      <c r="E997" s="12"/>
      <c r="F997" s="12"/>
      <c r="G997" s="12"/>
      <c r="H997" s="3"/>
      <c r="I997" s="4"/>
      <c r="J997" s="18"/>
      <c r="K997" s="11"/>
    </row>
    <row r="998" spans="1:12" x14ac:dyDescent="0.2">
      <c r="A998" s="12"/>
      <c r="B998" s="12"/>
      <c r="C998" s="12"/>
      <c r="D998" s="12"/>
      <c r="E998" s="12"/>
      <c r="F998" s="12"/>
      <c r="G998" s="12"/>
      <c r="H998" s="3"/>
      <c r="I998" s="4"/>
      <c r="J998" s="18"/>
      <c r="K998" s="11"/>
    </row>
    <row r="999" spans="1:12" x14ac:dyDescent="0.2">
      <c r="A999" s="12"/>
      <c r="B999" s="12"/>
      <c r="C999" s="12"/>
      <c r="D999" s="12"/>
      <c r="E999" s="12"/>
      <c r="F999" s="12"/>
      <c r="G999" s="12"/>
      <c r="H999" s="3"/>
      <c r="I999" s="4"/>
      <c r="J999" s="18"/>
      <c r="K999" s="11"/>
    </row>
    <row r="1000" spans="1:12" x14ac:dyDescent="0.2">
      <c r="A1000" s="12"/>
      <c r="B1000" s="12"/>
      <c r="C1000" s="12"/>
      <c r="D1000" s="12"/>
      <c r="E1000" s="12"/>
      <c r="F1000" s="12"/>
      <c r="G1000" s="12"/>
      <c r="H1000" s="3"/>
      <c r="I1000" s="4"/>
      <c r="J1000" s="18"/>
      <c r="K1000" s="11"/>
    </row>
    <row r="1001" spans="1:12" x14ac:dyDescent="0.2">
      <c r="A1001" s="12"/>
      <c r="B1001" s="12"/>
      <c r="C1001" s="12"/>
      <c r="D1001" s="12"/>
      <c r="E1001" s="12"/>
      <c r="F1001" s="12"/>
      <c r="G1001" s="12"/>
      <c r="H1001" s="3"/>
      <c r="I1001" s="4"/>
      <c r="J1001" s="18"/>
      <c r="K1001" s="11"/>
    </row>
    <row r="1002" spans="1:12" x14ac:dyDescent="0.2">
      <c r="A1002" s="12"/>
      <c r="B1002" s="12"/>
      <c r="C1002" s="12"/>
      <c r="D1002" s="12"/>
      <c r="E1002" s="12"/>
      <c r="F1002" s="12"/>
      <c r="G1002" s="12"/>
      <c r="H1002" s="3"/>
      <c r="I1002" s="4"/>
      <c r="J1002" s="18"/>
      <c r="K1002" s="11"/>
    </row>
    <row r="1003" spans="1:12" x14ac:dyDescent="0.2">
      <c r="A1003" s="12"/>
      <c r="B1003" s="12"/>
      <c r="C1003" s="12"/>
      <c r="D1003" s="12"/>
      <c r="E1003" s="12"/>
      <c r="F1003" s="12"/>
      <c r="G1003" s="12"/>
      <c r="H1003" s="3"/>
      <c r="I1003" s="4"/>
      <c r="J1003" s="18"/>
      <c r="K1003" s="11"/>
    </row>
    <row r="1004" spans="1:12" x14ac:dyDescent="0.2">
      <c r="A1004" s="12"/>
      <c r="B1004" s="12"/>
      <c r="C1004" s="12"/>
      <c r="D1004" s="12"/>
      <c r="E1004" s="12"/>
      <c r="F1004" s="12"/>
      <c r="G1004" s="12"/>
      <c r="H1004" s="3"/>
      <c r="I1004" s="4"/>
      <c r="J1004" s="18"/>
      <c r="K1004" s="11"/>
    </row>
    <row r="1005" spans="1:12" ht="12" x14ac:dyDescent="0.25">
      <c r="A1005" s="115" t="s">
        <v>241</v>
      </c>
      <c r="B1005" s="115"/>
      <c r="C1005" s="115"/>
      <c r="D1005" s="115"/>
      <c r="E1005" s="115"/>
      <c r="F1005" s="115"/>
      <c r="G1005" s="115"/>
      <c r="H1005" s="115"/>
      <c r="I1005" s="115"/>
      <c r="J1005" s="115"/>
      <c r="K1005" s="25"/>
    </row>
    <row r="1006" spans="1:12" ht="10.199999999999999" x14ac:dyDescent="0.2">
      <c r="A1006" s="118" t="s">
        <v>210</v>
      </c>
      <c r="B1006" s="118"/>
      <c r="C1006" s="118"/>
      <c r="D1006" s="118"/>
      <c r="E1006" s="118"/>
      <c r="F1006" s="118"/>
      <c r="G1006" s="118"/>
      <c r="H1006" s="118"/>
      <c r="I1006" s="118"/>
      <c r="J1006" s="118"/>
      <c r="K1006" s="118"/>
    </row>
    <row r="1007" spans="1:12" x14ac:dyDescent="0.2">
      <c r="A1007" s="3"/>
      <c r="B1007" s="3"/>
      <c r="C1007" s="3"/>
      <c r="D1007" s="3"/>
      <c r="E1007" s="3"/>
      <c r="F1007" s="3"/>
      <c r="G1007" s="3"/>
      <c r="H1007" s="3"/>
      <c r="I1007" s="4"/>
      <c r="J1007" s="18"/>
      <c r="K1007" s="11"/>
    </row>
    <row r="1008" spans="1:12" x14ac:dyDescent="0.2">
      <c r="A1008" s="5" t="s">
        <v>1</v>
      </c>
      <c r="B1008" s="6">
        <v>2007</v>
      </c>
      <c r="C1008" s="6">
        <v>2008</v>
      </c>
      <c r="D1008" s="5">
        <v>2009</v>
      </c>
      <c r="E1008" s="28">
        <v>2010</v>
      </c>
      <c r="F1008" s="28">
        <v>2011</v>
      </c>
      <c r="G1008" s="6">
        <v>2012</v>
      </c>
      <c r="H1008" s="6">
        <v>2013</v>
      </c>
      <c r="I1008" s="6">
        <v>2014</v>
      </c>
      <c r="J1008" s="6">
        <v>2015</v>
      </c>
      <c r="K1008" s="6">
        <v>2016</v>
      </c>
      <c r="L1008" s="6">
        <v>2017</v>
      </c>
    </row>
    <row r="1009" spans="1:12" x14ac:dyDescent="0.2">
      <c r="A1009" s="3"/>
      <c r="B1009" s="4"/>
      <c r="C1009" s="4"/>
      <c r="D1009" s="3"/>
      <c r="E1009" s="18"/>
      <c r="F1009" s="18"/>
      <c r="G1009" s="11"/>
      <c r="H1009" s="11"/>
      <c r="I1009" s="11"/>
      <c r="J1009" s="11"/>
      <c r="K1009" s="4"/>
      <c r="L1009" s="4"/>
    </row>
    <row r="1010" spans="1:12" x14ac:dyDescent="0.2">
      <c r="A1010" s="8" t="s">
        <v>82</v>
      </c>
      <c r="B1010" s="9">
        <f t="shared" ref="B1010:J1010" si="1">SUM(B1011:B1033)</f>
        <v>26418509.717183404</v>
      </c>
      <c r="C1010" s="9">
        <f t="shared" si="1"/>
        <v>28378047.756410256</v>
      </c>
      <c r="D1010" s="9">
        <f t="shared" si="1"/>
        <v>11568293.923406208</v>
      </c>
      <c r="E1010" s="9">
        <f t="shared" si="1"/>
        <v>9520811.6213683225</v>
      </c>
      <c r="F1010" s="9">
        <f t="shared" si="1"/>
        <v>13916387.246058647</v>
      </c>
      <c r="G1010" s="9">
        <f t="shared" si="1"/>
        <v>8531158.9317051601</v>
      </c>
      <c r="H1010" s="9">
        <f t="shared" si="1"/>
        <v>9356097.1380471382</v>
      </c>
      <c r="I1010" s="9">
        <f t="shared" si="1"/>
        <v>9569149.6686300952</v>
      </c>
      <c r="J1010" s="9">
        <f t="shared" si="1"/>
        <v>8744655.2454762794</v>
      </c>
      <c r="K1010" s="9">
        <f>SUM(K1011:K1033)</f>
        <v>8058428.6195286196</v>
      </c>
      <c r="L1010" s="9">
        <f>SUM(L1011:L1033)</f>
        <v>10953082</v>
      </c>
    </row>
    <row r="1011" spans="1:12" x14ac:dyDescent="0.2">
      <c r="A1011" s="3" t="s">
        <v>83</v>
      </c>
      <c r="B1011" s="29" t="s">
        <v>213</v>
      </c>
      <c r="C1011" s="29" t="s">
        <v>213</v>
      </c>
      <c r="D1011" s="29" t="s">
        <v>213</v>
      </c>
      <c r="E1011" s="29" t="s">
        <v>213</v>
      </c>
      <c r="F1011" s="29" t="s">
        <v>213</v>
      </c>
      <c r="G1011" s="18" t="s">
        <v>213</v>
      </c>
      <c r="H1011" s="18" t="s">
        <v>213</v>
      </c>
      <c r="I1011" s="18" t="s">
        <v>213</v>
      </c>
      <c r="J1011" s="18" t="s">
        <v>213</v>
      </c>
      <c r="K1011" s="18" t="s">
        <v>213</v>
      </c>
      <c r="L1011" s="18" t="s">
        <v>213</v>
      </c>
    </row>
    <row r="1012" spans="1:12" x14ac:dyDescent="0.2">
      <c r="A1012" s="3" t="s">
        <v>84</v>
      </c>
      <c r="B1012" s="29">
        <v>660300</v>
      </c>
      <c r="C1012" s="29">
        <v>1833000</v>
      </c>
      <c r="D1012" s="29">
        <v>462000</v>
      </c>
      <c r="E1012" s="29">
        <v>300000</v>
      </c>
      <c r="F1012" s="29">
        <v>855142.85714285716</v>
      </c>
      <c r="G1012" s="18" t="s">
        <v>213</v>
      </c>
      <c r="H1012" s="18" t="s">
        <v>213</v>
      </c>
      <c r="I1012" s="18" t="s">
        <v>213</v>
      </c>
      <c r="J1012" s="18" t="s">
        <v>213</v>
      </c>
      <c r="K1012" s="18" t="s">
        <v>213</v>
      </c>
      <c r="L1012" s="18" t="s">
        <v>213</v>
      </c>
    </row>
    <row r="1013" spans="1:12" x14ac:dyDescent="0.2">
      <c r="A1013" s="3" t="s">
        <v>85</v>
      </c>
      <c r="B1013" s="29" t="s">
        <v>213</v>
      </c>
      <c r="C1013" s="29" t="s">
        <v>213</v>
      </c>
      <c r="D1013" s="29" t="s">
        <v>213</v>
      </c>
      <c r="E1013" s="29" t="s">
        <v>213</v>
      </c>
      <c r="F1013" s="29" t="s">
        <v>213</v>
      </c>
      <c r="G1013" s="18" t="s">
        <v>213</v>
      </c>
      <c r="H1013" s="18" t="s">
        <v>213</v>
      </c>
      <c r="I1013" s="18" t="s">
        <v>213</v>
      </c>
      <c r="J1013" s="18" t="s">
        <v>213</v>
      </c>
      <c r="K1013" s="18" t="s">
        <v>213</v>
      </c>
      <c r="L1013" s="18" t="s">
        <v>213</v>
      </c>
    </row>
    <row r="1014" spans="1:12" x14ac:dyDescent="0.2">
      <c r="A1014" s="3" t="s">
        <v>202</v>
      </c>
      <c r="B1014" s="29">
        <v>550000</v>
      </c>
      <c r="C1014" s="29">
        <v>531250</v>
      </c>
      <c r="D1014" s="29">
        <v>495652.17391304346</v>
      </c>
      <c r="E1014" s="29" t="s">
        <v>213</v>
      </c>
      <c r="F1014" s="29">
        <v>258520.35714285713</v>
      </c>
      <c r="G1014" s="18">
        <v>342000</v>
      </c>
      <c r="H1014" s="18" t="s">
        <v>213</v>
      </c>
      <c r="I1014" s="18" t="s">
        <v>213</v>
      </c>
      <c r="J1014" s="18" t="s">
        <v>213</v>
      </c>
      <c r="K1014" s="18" t="s">
        <v>213</v>
      </c>
      <c r="L1014" s="18" t="s">
        <v>213</v>
      </c>
    </row>
    <row r="1015" spans="1:12" x14ac:dyDescent="0.2">
      <c r="A1015" s="3" t="s">
        <v>86</v>
      </c>
      <c r="B1015" s="29">
        <v>2568280.7017543861</v>
      </c>
      <c r="C1015" s="29">
        <v>2800276.923076923</v>
      </c>
      <c r="D1015" s="29">
        <v>2151129.0322580645</v>
      </c>
      <c r="E1015" s="29">
        <v>2995363.6363636362</v>
      </c>
      <c r="F1015" s="29">
        <v>3379196.7213114756</v>
      </c>
      <c r="G1015" s="18">
        <v>2229039.2156862747</v>
      </c>
      <c r="H1015" s="18">
        <v>2449814.8148148148</v>
      </c>
      <c r="I1015" s="18">
        <v>3513066.6666666665</v>
      </c>
      <c r="J1015" s="18">
        <v>3124931.506849315</v>
      </c>
      <c r="K1015" s="29">
        <v>2482454.5454545454</v>
      </c>
      <c r="L1015" s="29">
        <v>4833300</v>
      </c>
    </row>
    <row r="1016" spans="1:12" x14ac:dyDescent="0.2">
      <c r="A1016" s="3" t="s">
        <v>87</v>
      </c>
      <c r="B1016" s="29" t="s">
        <v>213</v>
      </c>
      <c r="C1016" s="29" t="s">
        <v>213</v>
      </c>
      <c r="D1016" s="29" t="s">
        <v>213</v>
      </c>
      <c r="E1016" s="29" t="s">
        <v>213</v>
      </c>
      <c r="F1016" s="29" t="s">
        <v>213</v>
      </c>
      <c r="G1016" s="18" t="s">
        <v>213</v>
      </c>
      <c r="H1016" s="18" t="s">
        <v>213</v>
      </c>
      <c r="I1016" s="18" t="s">
        <v>213</v>
      </c>
      <c r="J1016" s="18" t="s">
        <v>213</v>
      </c>
      <c r="K1016" s="18" t="s">
        <v>213</v>
      </c>
      <c r="L1016" s="18" t="s">
        <v>213</v>
      </c>
    </row>
    <row r="1017" spans="1:12" x14ac:dyDescent="0.2">
      <c r="A1017" s="3" t="s">
        <v>88</v>
      </c>
      <c r="B1017" s="29">
        <v>593076.92307692312</v>
      </c>
      <c r="C1017" s="29">
        <v>581333.33333333337</v>
      </c>
      <c r="D1017" s="29">
        <v>531034.48275862064</v>
      </c>
      <c r="E1017" s="29">
        <v>499090.90909090912</v>
      </c>
      <c r="F1017" s="29">
        <v>602962.96296296292</v>
      </c>
      <c r="G1017" s="18">
        <v>560000</v>
      </c>
      <c r="H1017" s="18">
        <v>556250</v>
      </c>
      <c r="I1017" s="18">
        <v>585294.1176470588</v>
      </c>
      <c r="J1017" s="18">
        <v>615384.61538461538</v>
      </c>
      <c r="K1017" s="29">
        <v>652333.33333333337</v>
      </c>
      <c r="L1017" s="29">
        <v>745000</v>
      </c>
    </row>
    <row r="1018" spans="1:12" x14ac:dyDescent="0.2">
      <c r="A1018" s="3" t="s">
        <v>89</v>
      </c>
      <c r="B1018" s="29">
        <v>800000</v>
      </c>
      <c r="C1018" s="29" t="s">
        <v>213</v>
      </c>
      <c r="D1018" s="29" t="s">
        <v>213</v>
      </c>
      <c r="E1018" s="29" t="s">
        <v>213</v>
      </c>
      <c r="F1018" s="29" t="s">
        <v>213</v>
      </c>
      <c r="G1018" s="18" t="s">
        <v>213</v>
      </c>
      <c r="H1018" s="18" t="s">
        <v>213</v>
      </c>
      <c r="I1018" s="18" t="s">
        <v>213</v>
      </c>
      <c r="J1018" s="18" t="s">
        <v>213</v>
      </c>
      <c r="K1018" s="18" t="s">
        <v>213</v>
      </c>
      <c r="L1018" s="18" t="s">
        <v>213</v>
      </c>
    </row>
    <row r="1019" spans="1:12" x14ac:dyDescent="0.2">
      <c r="A1019" s="3" t="s">
        <v>90</v>
      </c>
      <c r="B1019" s="29">
        <v>621000</v>
      </c>
      <c r="C1019" s="29">
        <v>379687.5</v>
      </c>
      <c r="D1019" s="29">
        <v>511428.57142857142</v>
      </c>
      <c r="E1019" s="29">
        <v>700000</v>
      </c>
      <c r="F1019" s="29">
        <v>500285.71428571426</v>
      </c>
      <c r="G1019" s="18">
        <v>1337500</v>
      </c>
      <c r="H1019" s="18">
        <v>1175454.5454545454</v>
      </c>
      <c r="I1019" s="18">
        <v>1083333.3333333333</v>
      </c>
      <c r="J1019" s="18" t="s">
        <v>213</v>
      </c>
      <c r="K1019" s="18" t="s">
        <v>213</v>
      </c>
      <c r="L1019" s="18" t="s">
        <v>213</v>
      </c>
    </row>
    <row r="1020" spans="1:12" x14ac:dyDescent="0.2">
      <c r="A1020" s="3" t="s">
        <v>91</v>
      </c>
      <c r="B1020" s="29" t="s">
        <v>213</v>
      </c>
      <c r="C1020" s="29">
        <v>1080000</v>
      </c>
      <c r="D1020" s="29">
        <v>1611111.111111111</v>
      </c>
      <c r="E1020" s="29">
        <v>1500000</v>
      </c>
      <c r="F1020" s="29">
        <v>1250000</v>
      </c>
      <c r="G1020" s="18" t="s">
        <v>213</v>
      </c>
      <c r="H1020" s="18">
        <v>785000</v>
      </c>
      <c r="I1020" s="18">
        <v>864285.71428571432</v>
      </c>
      <c r="J1020" s="18">
        <v>950000</v>
      </c>
      <c r="K1020" s="29">
        <v>981250</v>
      </c>
      <c r="L1020" s="29">
        <v>977778</v>
      </c>
    </row>
    <row r="1021" spans="1:12" x14ac:dyDescent="0.2">
      <c r="A1021" s="3" t="s">
        <v>92</v>
      </c>
      <c r="B1021" s="29">
        <v>570750</v>
      </c>
      <c r="C1021" s="29">
        <v>662045.45454545459</v>
      </c>
      <c r="D1021" s="29">
        <v>381328.35820895521</v>
      </c>
      <c r="E1021" s="29">
        <v>218175.25773195876</v>
      </c>
      <c r="F1021" s="29">
        <v>265443.03797468357</v>
      </c>
      <c r="G1021" s="18">
        <v>329782.60869565216</v>
      </c>
      <c r="H1021" s="18">
        <v>517361.11111111112</v>
      </c>
      <c r="I1021" s="18">
        <v>589847.45762711868</v>
      </c>
      <c r="J1021" s="18">
        <v>502903.22580645164</v>
      </c>
      <c r="K1021" s="29">
        <v>500740.74074074073</v>
      </c>
      <c r="L1021" s="29">
        <v>282222</v>
      </c>
    </row>
    <row r="1022" spans="1:12" x14ac:dyDescent="0.2">
      <c r="A1022" s="3" t="s">
        <v>93</v>
      </c>
      <c r="B1022" s="29">
        <v>727272.72727272729</v>
      </c>
      <c r="C1022" s="29">
        <v>828750</v>
      </c>
      <c r="D1022" s="29">
        <v>1009090.9090909091</v>
      </c>
      <c r="E1022" s="29">
        <v>753333.33333333337</v>
      </c>
      <c r="F1022" s="29">
        <v>1057142.857142857</v>
      </c>
      <c r="G1022" s="18">
        <v>631875</v>
      </c>
      <c r="H1022" s="18">
        <v>1491666.6666666667</v>
      </c>
      <c r="I1022" s="18" t="s">
        <v>213</v>
      </c>
      <c r="J1022" s="18">
        <v>300000</v>
      </c>
      <c r="K1022" s="29">
        <v>300000</v>
      </c>
      <c r="L1022" s="29">
        <v>890000</v>
      </c>
    </row>
    <row r="1023" spans="1:12" x14ac:dyDescent="0.2">
      <c r="A1023" s="3" t="s">
        <v>95</v>
      </c>
      <c r="B1023" s="29" t="s">
        <v>213</v>
      </c>
      <c r="C1023" s="29">
        <v>600000</v>
      </c>
      <c r="D1023" s="29">
        <v>700000</v>
      </c>
      <c r="E1023" s="29" t="s">
        <v>213</v>
      </c>
      <c r="F1023" s="29">
        <v>227500</v>
      </c>
      <c r="G1023" s="18" t="s">
        <v>213</v>
      </c>
      <c r="H1023" s="18" t="s">
        <v>213</v>
      </c>
      <c r="I1023" s="18" t="s">
        <v>213</v>
      </c>
      <c r="J1023" s="18" t="s">
        <v>213</v>
      </c>
      <c r="K1023" s="18" t="s">
        <v>213</v>
      </c>
      <c r="L1023" s="18" t="s">
        <v>213</v>
      </c>
    </row>
    <row r="1024" spans="1:12" x14ac:dyDescent="0.2">
      <c r="A1024" s="3" t="s">
        <v>96</v>
      </c>
      <c r="B1024" s="29">
        <v>541638.88888888888</v>
      </c>
      <c r="C1024" s="29">
        <v>727916.66666666663</v>
      </c>
      <c r="D1024" s="29">
        <v>869230.76923076925</v>
      </c>
      <c r="E1024" s="29">
        <v>583333.33333333337</v>
      </c>
      <c r="F1024" s="29">
        <v>612138.83333333337</v>
      </c>
      <c r="G1024" s="18">
        <v>1134545.4545454546</v>
      </c>
      <c r="H1024" s="18">
        <v>713750</v>
      </c>
      <c r="I1024" s="18">
        <v>901028.57142857148</v>
      </c>
      <c r="J1024" s="11">
        <v>977435.89743589738</v>
      </c>
      <c r="K1024" s="29">
        <v>950400</v>
      </c>
      <c r="L1024" s="29">
        <v>1043429</v>
      </c>
    </row>
    <row r="1025" spans="1:12" x14ac:dyDescent="0.2">
      <c r="A1025" s="3" t="s">
        <v>97</v>
      </c>
      <c r="B1025" s="29">
        <v>520000</v>
      </c>
      <c r="C1025" s="29">
        <v>110000</v>
      </c>
      <c r="D1025" s="29">
        <v>100000</v>
      </c>
      <c r="E1025" s="29">
        <v>255000</v>
      </c>
      <c r="F1025" s="29">
        <v>686800</v>
      </c>
      <c r="G1025" s="18">
        <v>765638.875</v>
      </c>
      <c r="H1025" s="18">
        <v>640000</v>
      </c>
      <c r="I1025" s="18">
        <v>890333.33333333337</v>
      </c>
      <c r="J1025" s="18">
        <v>980000</v>
      </c>
      <c r="K1025" s="29">
        <v>965000</v>
      </c>
      <c r="L1025" s="29">
        <v>980000</v>
      </c>
    </row>
    <row r="1026" spans="1:12" x14ac:dyDescent="0.2">
      <c r="A1026" s="3" t="s">
        <v>98</v>
      </c>
      <c r="B1026" s="29">
        <v>341666.66666666669</v>
      </c>
      <c r="C1026" s="29">
        <v>998333.33333333337</v>
      </c>
      <c r="D1026" s="29">
        <v>795764.70588235289</v>
      </c>
      <c r="E1026" s="29">
        <v>583181.81818181823</v>
      </c>
      <c r="F1026" s="29">
        <v>767571.42857142852</v>
      </c>
      <c r="G1026" s="18">
        <v>819444.4444444445</v>
      </c>
      <c r="H1026" s="18">
        <v>570800</v>
      </c>
      <c r="I1026" s="18">
        <v>732869.56521739135</v>
      </c>
      <c r="J1026" s="18">
        <v>820000</v>
      </c>
      <c r="K1026" s="29">
        <v>820000</v>
      </c>
      <c r="L1026" s="29">
        <v>820000</v>
      </c>
    </row>
    <row r="1027" spans="1:12" x14ac:dyDescent="0.2">
      <c r="A1027" s="3" t="s">
        <v>100</v>
      </c>
      <c r="B1027" s="29" t="s">
        <v>213</v>
      </c>
      <c r="C1027" s="29" t="s">
        <v>213</v>
      </c>
      <c r="D1027" s="29" t="s">
        <v>213</v>
      </c>
      <c r="E1027" s="29" t="s">
        <v>213</v>
      </c>
      <c r="F1027" s="29" t="s">
        <v>213</v>
      </c>
      <c r="G1027" s="18" t="s">
        <v>213</v>
      </c>
      <c r="H1027" s="18" t="s">
        <v>213</v>
      </c>
      <c r="I1027" s="18" t="s">
        <v>213</v>
      </c>
      <c r="J1027" s="18" t="s">
        <v>213</v>
      </c>
      <c r="K1027" s="18" t="s">
        <v>213</v>
      </c>
      <c r="L1027" s="18" t="s">
        <v>213</v>
      </c>
    </row>
    <row r="1028" spans="1:12" x14ac:dyDescent="0.2">
      <c r="A1028" s="3" t="s">
        <v>101</v>
      </c>
      <c r="B1028" s="29" t="s">
        <v>213</v>
      </c>
      <c r="C1028" s="29" t="s">
        <v>213</v>
      </c>
      <c r="D1028" s="29" t="s">
        <v>213</v>
      </c>
      <c r="E1028" s="29" t="s">
        <v>213</v>
      </c>
      <c r="F1028" s="29" t="s">
        <v>213</v>
      </c>
      <c r="G1028" s="18" t="s">
        <v>213</v>
      </c>
      <c r="H1028" s="18" t="s">
        <v>213</v>
      </c>
      <c r="I1028" s="18" t="s">
        <v>213</v>
      </c>
      <c r="J1028" s="18" t="s">
        <v>213</v>
      </c>
      <c r="K1028" s="18" t="s">
        <v>213</v>
      </c>
      <c r="L1028" s="18" t="s">
        <v>213</v>
      </c>
    </row>
    <row r="1029" spans="1:12" x14ac:dyDescent="0.2">
      <c r="A1029" s="3" t="s">
        <v>102</v>
      </c>
      <c r="B1029" s="29">
        <v>582857.14285714284</v>
      </c>
      <c r="C1029" s="29">
        <v>467000</v>
      </c>
      <c r="D1029" s="29">
        <v>462000</v>
      </c>
      <c r="E1029" s="29">
        <v>225000</v>
      </c>
      <c r="F1029" s="29">
        <v>314000</v>
      </c>
      <c r="G1029" s="18" t="s">
        <v>213</v>
      </c>
      <c r="H1029" s="18" t="s">
        <v>213</v>
      </c>
      <c r="I1029" s="18" t="s">
        <v>213</v>
      </c>
      <c r="J1029" s="18" t="s">
        <v>213</v>
      </c>
      <c r="K1029" s="18" t="s">
        <v>213</v>
      </c>
      <c r="L1029" s="18" t="s">
        <v>213</v>
      </c>
    </row>
    <row r="1030" spans="1:12" x14ac:dyDescent="0.2">
      <c r="A1030" s="3" t="s">
        <v>103</v>
      </c>
      <c r="B1030" s="29">
        <v>375000</v>
      </c>
      <c r="C1030" s="29">
        <v>233000</v>
      </c>
      <c r="D1030" s="29">
        <v>470666.66666666669</v>
      </c>
      <c r="E1030" s="29">
        <v>225000</v>
      </c>
      <c r="F1030" s="29">
        <v>2500000</v>
      </c>
      <c r="G1030" s="18" t="s">
        <v>213</v>
      </c>
      <c r="H1030" s="18" t="s">
        <v>213</v>
      </c>
      <c r="I1030" s="18" t="s">
        <v>213</v>
      </c>
      <c r="J1030" s="18" t="s">
        <v>213</v>
      </c>
      <c r="K1030" s="18" t="s">
        <v>213</v>
      </c>
      <c r="L1030" s="18" t="s">
        <v>213</v>
      </c>
    </row>
    <row r="1031" spans="1:12" x14ac:dyDescent="0.2">
      <c r="A1031" s="3" t="s">
        <v>104</v>
      </c>
      <c r="B1031" s="29" t="s">
        <v>213</v>
      </c>
      <c r="C1031" s="29" t="s">
        <v>213</v>
      </c>
      <c r="D1031" s="29" t="s">
        <v>213</v>
      </c>
      <c r="E1031" s="29" t="s">
        <v>213</v>
      </c>
      <c r="F1031" s="29" t="s">
        <v>213</v>
      </c>
      <c r="G1031" s="18" t="s">
        <v>213</v>
      </c>
      <c r="H1031" s="18" t="s">
        <v>213</v>
      </c>
      <c r="I1031" s="18" t="s">
        <v>213</v>
      </c>
      <c r="J1031" s="18" t="s">
        <v>213</v>
      </c>
      <c r="K1031" s="18" t="s">
        <v>213</v>
      </c>
      <c r="L1031" s="18" t="s">
        <v>213</v>
      </c>
    </row>
    <row r="1032" spans="1:12" x14ac:dyDescent="0.2">
      <c r="A1032" s="3" t="s">
        <v>105</v>
      </c>
      <c r="B1032" s="29">
        <v>300000</v>
      </c>
      <c r="C1032" s="29">
        <v>1545454.5454545454</v>
      </c>
      <c r="D1032" s="29">
        <v>1017857.1428571428</v>
      </c>
      <c r="E1032" s="29">
        <v>683333.33333333337</v>
      </c>
      <c r="F1032" s="29">
        <v>639682.47619047621</v>
      </c>
      <c r="G1032" s="18">
        <v>381333.33333333331</v>
      </c>
      <c r="H1032" s="18">
        <v>456000</v>
      </c>
      <c r="I1032" s="18">
        <v>409090.90909090912</v>
      </c>
      <c r="J1032" s="18">
        <v>474000</v>
      </c>
      <c r="K1032" s="29">
        <v>406250</v>
      </c>
      <c r="L1032" s="29">
        <v>381353</v>
      </c>
    </row>
    <row r="1033" spans="1:12" x14ac:dyDescent="0.2">
      <c r="A1033" s="3" t="s">
        <v>206</v>
      </c>
      <c r="B1033" s="29">
        <v>16666666.666666666</v>
      </c>
      <c r="C1033" s="29">
        <v>15000000</v>
      </c>
      <c r="D1033" s="29" t="s">
        <v>213</v>
      </c>
      <c r="E1033" s="29" t="s">
        <v>213</v>
      </c>
      <c r="F1033" s="29" t="s">
        <v>213</v>
      </c>
      <c r="G1033" s="18" t="s">
        <v>213</v>
      </c>
      <c r="H1033" s="18" t="s">
        <v>213</v>
      </c>
      <c r="I1033" s="18" t="s">
        <v>213</v>
      </c>
      <c r="J1033" s="18" t="s">
        <v>213</v>
      </c>
      <c r="K1033" s="18" t="s">
        <v>213</v>
      </c>
      <c r="L1033" s="18" t="s">
        <v>213</v>
      </c>
    </row>
    <row r="1034" spans="1:12" x14ac:dyDescent="0.2">
      <c r="A1034" s="3"/>
      <c r="B1034" s="3"/>
      <c r="C1034" s="3"/>
      <c r="D1034" s="3"/>
      <c r="E1034" s="3"/>
      <c r="F1034" s="3"/>
      <c r="G1034" s="3"/>
      <c r="H1034" s="3"/>
      <c r="I1034" s="4"/>
      <c r="J1034" s="18"/>
      <c r="K1034" s="11"/>
    </row>
    <row r="1035" spans="1:12" x14ac:dyDescent="0.2">
      <c r="A1035" s="3"/>
      <c r="B1035" s="3"/>
      <c r="C1035" s="3"/>
      <c r="D1035" s="3"/>
      <c r="E1035" s="3"/>
      <c r="F1035" s="3"/>
      <c r="G1035" s="3"/>
      <c r="H1035" s="3"/>
      <c r="I1035" s="4"/>
      <c r="J1035" s="18"/>
      <c r="K1035" s="11"/>
    </row>
    <row r="1036" spans="1:12" x14ac:dyDescent="0.2">
      <c r="A1036" s="3"/>
      <c r="B1036" s="3"/>
      <c r="C1036" s="3"/>
      <c r="D1036" s="3"/>
      <c r="E1036" s="3"/>
      <c r="F1036" s="3"/>
      <c r="G1036" s="3"/>
      <c r="H1036" s="3"/>
      <c r="I1036" s="4"/>
      <c r="J1036" s="18"/>
      <c r="K1036" s="11"/>
    </row>
    <row r="1037" spans="1:12" x14ac:dyDescent="0.2">
      <c r="A1037" s="3"/>
      <c r="B1037" s="3"/>
      <c r="C1037" s="3"/>
      <c r="D1037" s="3"/>
      <c r="E1037" s="3"/>
      <c r="F1037" s="3"/>
      <c r="G1037" s="3"/>
      <c r="H1037" s="3"/>
      <c r="I1037" s="4"/>
      <c r="J1037" s="18"/>
      <c r="K1037" s="11"/>
    </row>
    <row r="1038" spans="1:12" ht="12" x14ac:dyDescent="0.25">
      <c r="A1038" s="115" t="s">
        <v>242</v>
      </c>
      <c r="B1038" s="115"/>
      <c r="C1038" s="115"/>
      <c r="D1038" s="115"/>
      <c r="E1038" s="115"/>
      <c r="F1038" s="115"/>
      <c r="G1038" s="115"/>
      <c r="H1038" s="115"/>
      <c r="I1038" s="115"/>
      <c r="J1038" s="115"/>
      <c r="K1038" s="26"/>
    </row>
    <row r="1039" spans="1:12" ht="10.199999999999999" x14ac:dyDescent="0.2">
      <c r="A1039" s="118" t="s">
        <v>210</v>
      </c>
      <c r="B1039" s="118"/>
      <c r="C1039" s="118"/>
      <c r="D1039" s="118"/>
      <c r="E1039" s="118"/>
      <c r="F1039" s="118"/>
      <c r="G1039" s="118"/>
      <c r="H1039" s="118"/>
      <c r="I1039" s="118"/>
      <c r="J1039" s="118"/>
      <c r="K1039" s="118"/>
    </row>
    <row r="1040" spans="1:12" x14ac:dyDescent="0.2">
      <c r="A1040" s="3"/>
      <c r="B1040" s="3"/>
      <c r="C1040" s="3"/>
      <c r="D1040" s="3"/>
      <c r="E1040" s="3"/>
      <c r="F1040" s="3"/>
      <c r="G1040" s="3"/>
      <c r="H1040" s="3"/>
      <c r="I1040" s="4"/>
      <c r="J1040" s="18"/>
      <c r="K1040" s="11"/>
    </row>
    <row r="1041" spans="1:12" x14ac:dyDescent="0.2">
      <c r="A1041" s="5" t="s">
        <v>1</v>
      </c>
      <c r="B1041" s="6">
        <v>2007</v>
      </c>
      <c r="C1041" s="6">
        <v>2008</v>
      </c>
      <c r="D1041" s="5">
        <v>2009</v>
      </c>
      <c r="E1041" s="28">
        <v>2010</v>
      </c>
      <c r="F1041" s="28">
        <v>2011</v>
      </c>
      <c r="G1041" s="6">
        <v>2012</v>
      </c>
      <c r="H1041" s="6">
        <v>2013</v>
      </c>
      <c r="I1041" s="6">
        <v>2014</v>
      </c>
      <c r="J1041" s="6">
        <v>2015</v>
      </c>
      <c r="K1041" s="6">
        <v>2016</v>
      </c>
      <c r="L1041" s="6">
        <v>2017</v>
      </c>
    </row>
    <row r="1042" spans="1:12" x14ac:dyDescent="0.2">
      <c r="A1042" s="3"/>
      <c r="B1042" s="4"/>
      <c r="C1042" s="4"/>
      <c r="D1042" s="3"/>
      <c r="E1042" s="18"/>
      <c r="F1042" s="18"/>
      <c r="G1042" s="11"/>
      <c r="H1042" s="11"/>
      <c r="I1042" s="11"/>
      <c r="J1042" s="11"/>
      <c r="K1042" s="4"/>
      <c r="L1042" s="4"/>
    </row>
    <row r="1043" spans="1:12" x14ac:dyDescent="0.2">
      <c r="A1043" s="8" t="s">
        <v>107</v>
      </c>
      <c r="B1043" s="9">
        <f t="shared" ref="B1043:J1043" si="2">SUM(B1044:B1080)</f>
        <v>11676323.430283152</v>
      </c>
      <c r="C1043" s="9">
        <f t="shared" si="2"/>
        <v>13028678.079139862</v>
      </c>
      <c r="D1043" s="9">
        <f t="shared" si="2"/>
        <v>10169442.185554715</v>
      </c>
      <c r="E1043" s="9">
        <f t="shared" si="2"/>
        <v>10672673.806711195</v>
      </c>
      <c r="F1043" s="9">
        <f t="shared" si="2"/>
        <v>12993882.881037928</v>
      </c>
      <c r="G1043" s="9">
        <f t="shared" si="2"/>
        <v>12279298.313359598</v>
      </c>
      <c r="H1043" s="9">
        <f t="shared" si="2"/>
        <v>14022799.897402259</v>
      </c>
      <c r="I1043" s="9">
        <f t="shared" si="2"/>
        <v>8414746.2243410461</v>
      </c>
      <c r="J1043" s="9">
        <f t="shared" si="2"/>
        <v>14087392.159884617</v>
      </c>
      <c r="K1043" s="9">
        <f>SUM(K1044:K1080)</f>
        <v>14016069.508726569</v>
      </c>
      <c r="L1043" s="9">
        <f>SUM(L1044:L1080)</f>
        <v>10561495</v>
      </c>
    </row>
    <row r="1044" spans="1:12" x14ac:dyDescent="0.2">
      <c r="A1044" s="3" t="s">
        <v>108</v>
      </c>
      <c r="B1044" s="30" t="s">
        <v>213</v>
      </c>
      <c r="C1044" s="29" t="s">
        <v>213</v>
      </c>
      <c r="D1044" s="31" t="s">
        <v>213</v>
      </c>
      <c r="E1044" s="29" t="s">
        <v>213</v>
      </c>
      <c r="F1044" s="29" t="s">
        <v>213</v>
      </c>
      <c r="G1044" s="18" t="s">
        <v>213</v>
      </c>
      <c r="H1044" s="18" t="s">
        <v>213</v>
      </c>
      <c r="I1044" s="18" t="s">
        <v>213</v>
      </c>
      <c r="J1044" s="18" t="s">
        <v>213</v>
      </c>
      <c r="K1044" s="18" t="s">
        <v>213</v>
      </c>
      <c r="L1044" s="18" t="s">
        <v>213</v>
      </c>
    </row>
    <row r="1045" spans="1:12" x14ac:dyDescent="0.2">
      <c r="A1045" s="3" t="s">
        <v>109</v>
      </c>
      <c r="B1045" s="29" t="s">
        <v>213</v>
      </c>
      <c r="C1045" s="29" t="s">
        <v>213</v>
      </c>
      <c r="D1045" s="29" t="s">
        <v>213</v>
      </c>
      <c r="E1045" s="29" t="s">
        <v>213</v>
      </c>
      <c r="F1045" s="29" t="s">
        <v>213</v>
      </c>
      <c r="G1045" s="18">
        <v>305000</v>
      </c>
      <c r="H1045" s="18" t="s">
        <v>213</v>
      </c>
      <c r="I1045" s="18" t="s">
        <v>213</v>
      </c>
      <c r="J1045" s="18" t="s">
        <v>213</v>
      </c>
      <c r="K1045" s="18" t="s">
        <v>213</v>
      </c>
      <c r="L1045" s="18" t="s">
        <v>213</v>
      </c>
    </row>
    <row r="1046" spans="1:12" x14ac:dyDescent="0.2">
      <c r="A1046" s="3" t="s">
        <v>110</v>
      </c>
      <c r="B1046" s="29">
        <v>587404.04040404037</v>
      </c>
      <c r="C1046" s="29">
        <v>481180.76923076925</v>
      </c>
      <c r="D1046" s="29">
        <v>297439.12315270933</v>
      </c>
      <c r="E1046" s="29">
        <v>281193.10344827588</v>
      </c>
      <c r="F1046" s="29">
        <v>292450.98039215687</v>
      </c>
      <c r="G1046" s="18">
        <v>541980.39215686277</v>
      </c>
      <c r="H1046" s="18">
        <v>371072.11650485435</v>
      </c>
      <c r="I1046" s="18">
        <v>605491.52542372886</v>
      </c>
      <c r="J1046" s="18">
        <v>508095.23809523811</v>
      </c>
      <c r="K1046" s="29">
        <v>682705.8823529412</v>
      </c>
      <c r="L1046" s="29">
        <v>477676</v>
      </c>
    </row>
    <row r="1047" spans="1:12" x14ac:dyDescent="0.2">
      <c r="A1047" s="3" t="s">
        <v>111</v>
      </c>
      <c r="B1047" s="29">
        <v>700000</v>
      </c>
      <c r="C1047" s="29" t="s">
        <v>213</v>
      </c>
      <c r="D1047" s="29">
        <v>1000000</v>
      </c>
      <c r="E1047" s="29" t="s">
        <v>213</v>
      </c>
      <c r="F1047" s="29" t="s">
        <v>213</v>
      </c>
      <c r="G1047" s="18" t="s">
        <v>213</v>
      </c>
      <c r="H1047" s="18" t="s">
        <v>213</v>
      </c>
      <c r="I1047" s="18" t="s">
        <v>213</v>
      </c>
      <c r="J1047" s="18" t="s">
        <v>213</v>
      </c>
      <c r="K1047" s="18" t="s">
        <v>213</v>
      </c>
      <c r="L1047" s="18" t="s">
        <v>213</v>
      </c>
    </row>
    <row r="1048" spans="1:12" x14ac:dyDescent="0.2">
      <c r="A1048" s="3" t="s">
        <v>113</v>
      </c>
      <c r="B1048" s="29">
        <v>199285.71428571429</v>
      </c>
      <c r="C1048" s="29">
        <v>212500</v>
      </c>
      <c r="D1048" s="29" t="s">
        <v>213</v>
      </c>
      <c r="E1048" s="29" t="s">
        <v>213</v>
      </c>
      <c r="F1048" s="29" t="s">
        <v>213</v>
      </c>
      <c r="G1048" s="18">
        <v>145000</v>
      </c>
      <c r="H1048" s="18" t="s">
        <v>213</v>
      </c>
      <c r="I1048" s="18">
        <v>600000</v>
      </c>
      <c r="J1048" s="18">
        <v>2060000</v>
      </c>
      <c r="K1048" s="18" t="s">
        <v>213</v>
      </c>
      <c r="L1048" s="18">
        <v>130000</v>
      </c>
    </row>
    <row r="1049" spans="1:12" x14ac:dyDescent="0.2">
      <c r="A1049" s="3" t="s">
        <v>114</v>
      </c>
      <c r="B1049" s="29" t="s">
        <v>213</v>
      </c>
      <c r="C1049" s="29">
        <v>200000</v>
      </c>
      <c r="D1049" s="29" t="s">
        <v>213</v>
      </c>
      <c r="E1049" s="29" t="s">
        <v>213</v>
      </c>
      <c r="F1049" s="29" t="s">
        <v>213</v>
      </c>
      <c r="G1049" s="18" t="s">
        <v>213</v>
      </c>
      <c r="H1049" s="18" t="s">
        <v>213</v>
      </c>
      <c r="I1049" s="18" t="s">
        <v>213</v>
      </c>
      <c r="J1049" s="18" t="s">
        <v>213</v>
      </c>
      <c r="K1049" s="18" t="s">
        <v>213</v>
      </c>
      <c r="L1049" s="18">
        <v>216667</v>
      </c>
    </row>
    <row r="1050" spans="1:12" x14ac:dyDescent="0.2">
      <c r="A1050" s="3" t="s">
        <v>115</v>
      </c>
      <c r="B1050" s="29" t="s">
        <v>213</v>
      </c>
      <c r="C1050" s="29">
        <v>250000</v>
      </c>
      <c r="D1050" s="29">
        <v>200000</v>
      </c>
      <c r="E1050" s="29" t="s">
        <v>213</v>
      </c>
      <c r="F1050" s="29">
        <v>200000</v>
      </c>
      <c r="G1050" s="18">
        <v>200000</v>
      </c>
      <c r="H1050" s="18" t="s">
        <v>213</v>
      </c>
      <c r="I1050" s="18" t="s">
        <v>213</v>
      </c>
      <c r="J1050" s="18" t="s">
        <v>213</v>
      </c>
      <c r="K1050" s="18" t="s">
        <v>213</v>
      </c>
      <c r="L1050" s="18" t="s">
        <v>213</v>
      </c>
    </row>
    <row r="1051" spans="1:12" x14ac:dyDescent="0.2">
      <c r="A1051" s="3" t="s">
        <v>116</v>
      </c>
      <c r="B1051" s="29" t="s">
        <v>213</v>
      </c>
      <c r="C1051" s="29">
        <v>400000</v>
      </c>
      <c r="D1051" s="29" t="s">
        <v>213</v>
      </c>
      <c r="E1051" s="29">
        <v>410000</v>
      </c>
      <c r="F1051" s="29" t="s">
        <v>213</v>
      </c>
      <c r="G1051" s="18" t="s">
        <v>213</v>
      </c>
      <c r="H1051" s="18" t="s">
        <v>213</v>
      </c>
      <c r="I1051" s="18" t="s">
        <v>213</v>
      </c>
      <c r="J1051" s="18" t="s">
        <v>213</v>
      </c>
      <c r="K1051" s="18" t="s">
        <v>213</v>
      </c>
      <c r="L1051" s="18" t="s">
        <v>213</v>
      </c>
    </row>
    <row r="1052" spans="1:12" x14ac:dyDescent="0.2">
      <c r="A1052" s="3" t="s">
        <v>117</v>
      </c>
      <c r="B1052" s="29">
        <v>200000</v>
      </c>
      <c r="C1052" s="29">
        <v>200000</v>
      </c>
      <c r="D1052" s="29" t="s">
        <v>213</v>
      </c>
      <c r="E1052" s="29">
        <v>100000</v>
      </c>
      <c r="F1052" s="29" t="s">
        <v>213</v>
      </c>
      <c r="G1052" s="18" t="s">
        <v>213</v>
      </c>
      <c r="H1052" s="18" t="s">
        <v>213</v>
      </c>
      <c r="I1052" s="18" t="s">
        <v>213</v>
      </c>
      <c r="J1052" s="18" t="s">
        <v>213</v>
      </c>
      <c r="K1052" s="18" t="s">
        <v>213</v>
      </c>
      <c r="L1052" s="18" t="s">
        <v>213</v>
      </c>
    </row>
    <row r="1053" spans="1:12" x14ac:dyDescent="0.2">
      <c r="A1053" s="3" t="s">
        <v>118</v>
      </c>
      <c r="B1053" s="29">
        <v>167500</v>
      </c>
      <c r="C1053" s="29">
        <v>325000</v>
      </c>
      <c r="D1053" s="29">
        <v>450000</v>
      </c>
      <c r="E1053" s="29">
        <v>308333.33333333331</v>
      </c>
      <c r="F1053" s="29">
        <v>400000</v>
      </c>
      <c r="G1053" s="18">
        <v>325000</v>
      </c>
      <c r="H1053" s="18">
        <v>250000</v>
      </c>
      <c r="I1053" s="18" t="s">
        <v>213</v>
      </c>
      <c r="J1053" s="18">
        <v>375000</v>
      </c>
      <c r="K1053" s="29">
        <v>500000</v>
      </c>
      <c r="L1053" s="29">
        <v>265000</v>
      </c>
    </row>
    <row r="1054" spans="1:12" x14ac:dyDescent="0.2">
      <c r="A1054" s="3" t="s">
        <v>119</v>
      </c>
      <c r="B1054" s="29">
        <v>350000</v>
      </c>
      <c r="C1054" s="29">
        <v>515384.61538461538</v>
      </c>
      <c r="D1054" s="29">
        <v>350000</v>
      </c>
      <c r="E1054" s="29">
        <v>465000</v>
      </c>
      <c r="F1054" s="29" t="s">
        <v>213</v>
      </c>
      <c r="G1054" s="18" t="s">
        <v>213</v>
      </c>
      <c r="H1054" s="18" t="s">
        <v>213</v>
      </c>
      <c r="I1054" s="18" t="s">
        <v>213</v>
      </c>
      <c r="J1054" s="18" t="s">
        <v>213</v>
      </c>
      <c r="K1054" s="18" t="s">
        <v>213</v>
      </c>
      <c r="L1054" s="18" t="s">
        <v>213</v>
      </c>
    </row>
    <row r="1055" spans="1:12" x14ac:dyDescent="0.2">
      <c r="A1055" s="3" t="s">
        <v>120</v>
      </c>
      <c r="B1055" s="29">
        <v>450000</v>
      </c>
      <c r="C1055" s="29">
        <v>660000</v>
      </c>
      <c r="D1055" s="29">
        <v>418750</v>
      </c>
      <c r="E1055" s="29" t="s">
        <v>213</v>
      </c>
      <c r="F1055" s="29" t="s">
        <v>213</v>
      </c>
      <c r="G1055" s="18" t="s">
        <v>213</v>
      </c>
      <c r="H1055" s="18" t="s">
        <v>213</v>
      </c>
      <c r="I1055" s="18">
        <v>300000</v>
      </c>
      <c r="J1055" s="18">
        <v>167000</v>
      </c>
      <c r="K1055" s="18" t="s">
        <v>213</v>
      </c>
      <c r="L1055" s="18">
        <v>400000</v>
      </c>
    </row>
    <row r="1056" spans="1:12" x14ac:dyDescent="0.2">
      <c r="A1056" s="3" t="s">
        <v>121</v>
      </c>
      <c r="B1056" s="29" t="s">
        <v>213</v>
      </c>
      <c r="C1056" s="29" t="s">
        <v>213</v>
      </c>
      <c r="D1056" s="29" t="s">
        <v>213</v>
      </c>
      <c r="E1056" s="29" t="s">
        <v>213</v>
      </c>
      <c r="F1056" s="29" t="s">
        <v>213</v>
      </c>
      <c r="G1056" s="18" t="s">
        <v>213</v>
      </c>
      <c r="H1056" s="18" t="s">
        <v>213</v>
      </c>
      <c r="I1056" s="18" t="s">
        <v>213</v>
      </c>
      <c r="J1056" s="18" t="s">
        <v>213</v>
      </c>
      <c r="K1056" s="18" t="s">
        <v>213</v>
      </c>
      <c r="L1056" s="18" t="s">
        <v>213</v>
      </c>
    </row>
    <row r="1057" spans="1:12" x14ac:dyDescent="0.2">
      <c r="A1057" s="3" t="s">
        <v>122</v>
      </c>
      <c r="B1057" s="29" t="s">
        <v>213</v>
      </c>
      <c r="C1057" s="29">
        <v>250000</v>
      </c>
      <c r="D1057" s="29" t="s">
        <v>213</v>
      </c>
      <c r="E1057" s="29">
        <v>625000</v>
      </c>
      <c r="F1057" s="29">
        <v>300000</v>
      </c>
      <c r="G1057" s="18">
        <v>633333.33333333337</v>
      </c>
      <c r="H1057" s="18" t="s">
        <v>213</v>
      </c>
      <c r="I1057" s="18" t="s">
        <v>213</v>
      </c>
      <c r="J1057" s="18" t="s">
        <v>213</v>
      </c>
      <c r="K1057" s="18" t="s">
        <v>213</v>
      </c>
      <c r="L1057" s="18" t="s">
        <v>213</v>
      </c>
    </row>
    <row r="1058" spans="1:12" x14ac:dyDescent="0.2">
      <c r="A1058" s="3" t="s">
        <v>123</v>
      </c>
      <c r="B1058" s="29">
        <v>377588.23529411765</v>
      </c>
      <c r="C1058" s="29">
        <v>483954.47727272729</v>
      </c>
      <c r="D1058" s="29">
        <v>420020.12820512819</v>
      </c>
      <c r="E1058" s="29">
        <v>396632.6530612245</v>
      </c>
      <c r="F1058" s="29">
        <v>713747.57499999995</v>
      </c>
      <c r="G1058" s="18">
        <v>701500</v>
      </c>
      <c r="H1058" s="18">
        <v>547779.75</v>
      </c>
      <c r="I1058" s="18">
        <v>654324.32432432438</v>
      </c>
      <c r="J1058" s="18">
        <v>417000</v>
      </c>
      <c r="K1058" s="29">
        <v>420535.71428571426</v>
      </c>
      <c r="L1058" s="29">
        <v>209205</v>
      </c>
    </row>
    <row r="1059" spans="1:12" x14ac:dyDescent="0.2">
      <c r="A1059" s="3" t="s">
        <v>124</v>
      </c>
      <c r="B1059" s="29">
        <v>260454.54545454544</v>
      </c>
      <c r="C1059" s="29">
        <v>258723.40425531915</v>
      </c>
      <c r="D1059" s="29">
        <v>265813.95348837209</v>
      </c>
      <c r="E1059" s="29">
        <v>267575.75757575757</v>
      </c>
      <c r="F1059" s="29">
        <v>74000</v>
      </c>
      <c r="G1059" s="18" t="s">
        <v>213</v>
      </c>
      <c r="H1059" s="18">
        <v>190000</v>
      </c>
      <c r="I1059" s="18">
        <v>190000</v>
      </c>
      <c r="J1059" s="18">
        <v>176185</v>
      </c>
      <c r="K1059" s="29">
        <v>195000</v>
      </c>
      <c r="L1059" s="29">
        <v>254839</v>
      </c>
    </row>
    <row r="1060" spans="1:12" x14ac:dyDescent="0.2">
      <c r="A1060" s="3" t="s">
        <v>125</v>
      </c>
      <c r="B1060" s="29">
        <v>397719.29824561405</v>
      </c>
      <c r="C1060" s="29">
        <v>336595.74468085106</v>
      </c>
      <c r="D1060" s="29">
        <v>452500</v>
      </c>
      <c r="E1060" s="29">
        <v>337656.25</v>
      </c>
      <c r="F1060" s="29">
        <v>258333.33333333334</v>
      </c>
      <c r="G1060" s="18">
        <v>605833.33333333337</v>
      </c>
      <c r="H1060" s="18">
        <v>1050000</v>
      </c>
      <c r="I1060" s="18">
        <v>752777.77777777775</v>
      </c>
      <c r="J1060" s="18">
        <v>311551.16279069765</v>
      </c>
      <c r="K1060" s="29">
        <v>612380.95238095243</v>
      </c>
      <c r="L1060" s="29">
        <v>286509</v>
      </c>
    </row>
    <row r="1061" spans="1:12" x14ac:dyDescent="0.2">
      <c r="A1061" s="3" t="s">
        <v>126</v>
      </c>
      <c r="B1061" s="29">
        <v>351800</v>
      </c>
      <c r="C1061" s="29">
        <v>405000</v>
      </c>
      <c r="D1061" s="29">
        <v>334500</v>
      </c>
      <c r="E1061" s="29">
        <v>365000</v>
      </c>
      <c r="F1061" s="29">
        <v>315454.54545454547</v>
      </c>
      <c r="G1061" s="18">
        <v>356666.66666666669</v>
      </c>
      <c r="H1061" s="18">
        <v>467142.85714285716</v>
      </c>
      <c r="I1061" s="18">
        <v>470000</v>
      </c>
      <c r="J1061" s="18">
        <v>270370.37037037039</v>
      </c>
      <c r="K1061" s="29">
        <v>264285.71428571426</v>
      </c>
      <c r="L1061" s="29">
        <v>296250</v>
      </c>
    </row>
    <row r="1062" spans="1:12" x14ac:dyDescent="0.2">
      <c r="A1062" s="3" t="s">
        <v>127</v>
      </c>
      <c r="B1062" s="29">
        <v>863571.42857142852</v>
      </c>
      <c r="C1062" s="29">
        <v>845757.5757575758</v>
      </c>
      <c r="D1062" s="29">
        <v>561585.36585365853</v>
      </c>
      <c r="E1062" s="29">
        <v>848500</v>
      </c>
      <c r="F1062" s="29">
        <v>647000</v>
      </c>
      <c r="G1062" s="18">
        <v>742517.24137931038</v>
      </c>
      <c r="H1062" s="18">
        <v>709000</v>
      </c>
      <c r="I1062" s="18">
        <v>713061.22448979598</v>
      </c>
      <c r="J1062" s="18">
        <v>841875</v>
      </c>
      <c r="K1062" s="29">
        <v>828240</v>
      </c>
      <c r="L1062" s="29">
        <v>835441</v>
      </c>
    </row>
    <row r="1063" spans="1:12" x14ac:dyDescent="0.2">
      <c r="A1063" s="3" t="s">
        <v>128</v>
      </c>
      <c r="B1063" s="29">
        <v>125785.71428571429</v>
      </c>
      <c r="C1063" s="29">
        <v>139900</v>
      </c>
      <c r="D1063" s="29">
        <v>31818.18181818182</v>
      </c>
      <c r="E1063" s="29">
        <v>68823.529411764699</v>
      </c>
      <c r="F1063" s="29">
        <v>119482.75862068965</v>
      </c>
      <c r="G1063" s="18">
        <v>115021.27659574468</v>
      </c>
      <c r="H1063" s="18">
        <v>137289.47368421053</v>
      </c>
      <c r="I1063" s="18">
        <v>141981.13207547169</v>
      </c>
      <c r="J1063" s="18">
        <v>342571.42857142858</v>
      </c>
      <c r="K1063" s="29">
        <v>357000</v>
      </c>
      <c r="L1063" s="29">
        <v>285286</v>
      </c>
    </row>
    <row r="1064" spans="1:12" x14ac:dyDescent="0.2">
      <c r="A1064" s="3" t="s">
        <v>129</v>
      </c>
      <c r="B1064" s="29" t="s">
        <v>213</v>
      </c>
      <c r="C1064" s="29" t="s">
        <v>213</v>
      </c>
      <c r="D1064" s="29">
        <v>100000</v>
      </c>
      <c r="E1064" s="29">
        <v>136739.13043478262</v>
      </c>
      <c r="F1064" s="29">
        <v>119210.52631578948</v>
      </c>
      <c r="G1064" s="18">
        <v>78888.888888888891</v>
      </c>
      <c r="H1064" s="18">
        <v>134285.71428571429</v>
      </c>
      <c r="I1064" s="18" t="s">
        <v>213</v>
      </c>
      <c r="J1064" s="18">
        <v>150000</v>
      </c>
      <c r="K1064" s="29">
        <v>170000</v>
      </c>
      <c r="L1064" s="29">
        <v>177789</v>
      </c>
    </row>
    <row r="1065" spans="1:12" x14ac:dyDescent="0.2">
      <c r="A1065" s="3" t="s">
        <v>130</v>
      </c>
      <c r="B1065" s="29">
        <v>850091.743119266</v>
      </c>
      <c r="C1065" s="29">
        <v>781168.83116883121</v>
      </c>
      <c r="D1065" s="29">
        <v>673692.76470588241</v>
      </c>
      <c r="E1065" s="29">
        <v>840140.84507042251</v>
      </c>
      <c r="F1065" s="29">
        <v>1091686.5119047619</v>
      </c>
      <c r="G1065" s="18">
        <v>887068.96551724139</v>
      </c>
      <c r="H1065" s="18">
        <v>1044375</v>
      </c>
      <c r="I1065" s="18">
        <v>826470.5882352941</v>
      </c>
      <c r="J1065" s="18" t="s">
        <v>213</v>
      </c>
      <c r="K1065" s="18" t="s">
        <v>213</v>
      </c>
      <c r="L1065" s="18">
        <v>100000</v>
      </c>
    </row>
    <row r="1066" spans="1:12" x14ac:dyDescent="0.2">
      <c r="A1066" s="3" t="s">
        <v>131</v>
      </c>
      <c r="B1066" s="29" t="s">
        <v>213</v>
      </c>
      <c r="C1066" s="29" t="s">
        <v>213</v>
      </c>
      <c r="D1066" s="29" t="s">
        <v>213</v>
      </c>
      <c r="E1066" s="29" t="s">
        <v>213</v>
      </c>
      <c r="F1066" s="29" t="s">
        <v>213</v>
      </c>
      <c r="G1066" s="18">
        <v>1000000</v>
      </c>
      <c r="H1066" s="18">
        <v>1100000</v>
      </c>
      <c r="I1066" s="18">
        <v>553333.33333333337</v>
      </c>
      <c r="J1066" s="18">
        <v>769912.28070175438</v>
      </c>
      <c r="K1066" s="29">
        <v>912857.14285714284</v>
      </c>
      <c r="L1066" s="29">
        <v>926316</v>
      </c>
    </row>
    <row r="1067" spans="1:12" x14ac:dyDescent="0.2">
      <c r="A1067" s="3" t="s">
        <v>132</v>
      </c>
      <c r="B1067" s="29" t="s">
        <v>213</v>
      </c>
      <c r="C1067" s="29" t="s">
        <v>213</v>
      </c>
      <c r="D1067" s="29" t="s">
        <v>213</v>
      </c>
      <c r="E1067" s="29" t="s">
        <v>213</v>
      </c>
      <c r="F1067" s="29" t="s">
        <v>213</v>
      </c>
      <c r="G1067" s="18" t="s">
        <v>213</v>
      </c>
      <c r="H1067" s="18" t="s">
        <v>213</v>
      </c>
      <c r="I1067" s="18" t="s">
        <v>213</v>
      </c>
      <c r="J1067" s="18" t="s">
        <v>213</v>
      </c>
      <c r="K1067" s="18" t="s">
        <v>213</v>
      </c>
      <c r="L1067" s="18" t="s">
        <v>213</v>
      </c>
    </row>
    <row r="1068" spans="1:12" x14ac:dyDescent="0.2">
      <c r="A1068" s="3" t="s">
        <v>133</v>
      </c>
      <c r="B1068" s="29" t="s">
        <v>213</v>
      </c>
      <c r="C1068" s="29" t="s">
        <v>213</v>
      </c>
      <c r="D1068" s="29" t="s">
        <v>213</v>
      </c>
      <c r="E1068" s="29" t="s">
        <v>213</v>
      </c>
      <c r="F1068" s="29" t="s">
        <v>213</v>
      </c>
      <c r="G1068" s="18" t="s">
        <v>213</v>
      </c>
      <c r="H1068" s="18" t="s">
        <v>213</v>
      </c>
      <c r="I1068" s="18" t="s">
        <v>213</v>
      </c>
      <c r="J1068" s="18" t="s">
        <v>213</v>
      </c>
      <c r="K1068" s="18" t="s">
        <v>213</v>
      </c>
      <c r="L1068" s="18" t="s">
        <v>213</v>
      </c>
    </row>
    <row r="1069" spans="1:12" x14ac:dyDescent="0.2">
      <c r="A1069" s="3" t="s">
        <v>134</v>
      </c>
      <c r="B1069" s="29">
        <v>1823785.7142857143</v>
      </c>
      <c r="C1069" s="29">
        <v>2844314.5</v>
      </c>
      <c r="D1069" s="29">
        <v>1381538.4615384615</v>
      </c>
      <c r="E1069" s="29">
        <v>2753750</v>
      </c>
      <c r="F1069" s="29">
        <v>5228333.333333333</v>
      </c>
      <c r="G1069" s="18">
        <v>2685000</v>
      </c>
      <c r="H1069" s="18">
        <v>4736666.666666667</v>
      </c>
      <c r="I1069" s="18" t="s">
        <v>213</v>
      </c>
      <c r="J1069" s="18">
        <v>3318905</v>
      </c>
      <c r="K1069" s="29">
        <v>5272000</v>
      </c>
      <c r="L1069" s="29">
        <v>2150750</v>
      </c>
    </row>
    <row r="1070" spans="1:12" x14ac:dyDescent="0.2">
      <c r="A1070" s="3" t="s">
        <v>135</v>
      </c>
      <c r="B1070" s="29">
        <v>1416666.6666666667</v>
      </c>
      <c r="C1070" s="29">
        <v>743333.33333333337</v>
      </c>
      <c r="D1070" s="29">
        <v>481250</v>
      </c>
      <c r="E1070" s="29">
        <v>150000</v>
      </c>
      <c r="F1070" s="29">
        <v>143809.52380952382</v>
      </c>
      <c r="G1070" s="18">
        <v>300000</v>
      </c>
      <c r="H1070" s="18">
        <v>745454.54545454541</v>
      </c>
      <c r="I1070" s="18" t="s">
        <v>213</v>
      </c>
      <c r="J1070" s="18">
        <v>1191675</v>
      </c>
      <c r="K1070" s="29">
        <v>1100000</v>
      </c>
      <c r="L1070" s="18" t="s">
        <v>213</v>
      </c>
    </row>
    <row r="1071" spans="1:12" x14ac:dyDescent="0.2">
      <c r="A1071" s="3" t="s">
        <v>136</v>
      </c>
      <c r="B1071" s="29">
        <v>489285.71428571426</v>
      </c>
      <c r="C1071" s="29">
        <v>575561.79775280901</v>
      </c>
      <c r="D1071" s="29">
        <v>584147.63025210088</v>
      </c>
      <c r="E1071" s="29">
        <v>432924.52830188681</v>
      </c>
      <c r="F1071" s="29">
        <v>371477.27272727271</v>
      </c>
      <c r="G1071" s="18">
        <v>574351.8518518518</v>
      </c>
      <c r="H1071" s="18">
        <v>564113.63636363635</v>
      </c>
      <c r="I1071" s="18">
        <v>556538.4615384615</v>
      </c>
      <c r="J1071" s="18">
        <v>655862.06896551722</v>
      </c>
      <c r="K1071" s="29">
        <v>622500</v>
      </c>
      <c r="L1071" s="29">
        <v>556074</v>
      </c>
    </row>
    <row r="1072" spans="1:12" x14ac:dyDescent="0.2">
      <c r="A1072" s="3" t="s">
        <v>137</v>
      </c>
      <c r="B1072" s="29" t="s">
        <v>213</v>
      </c>
      <c r="C1072" s="29" t="s">
        <v>213</v>
      </c>
      <c r="D1072" s="29" t="s">
        <v>213</v>
      </c>
      <c r="E1072" s="29" t="s">
        <v>213</v>
      </c>
      <c r="F1072" s="29" t="s">
        <v>213</v>
      </c>
      <c r="G1072" s="18" t="s">
        <v>213</v>
      </c>
      <c r="H1072" s="18" t="s">
        <v>213</v>
      </c>
      <c r="I1072" s="18" t="s">
        <v>213</v>
      </c>
      <c r="J1072" s="18" t="s">
        <v>213</v>
      </c>
      <c r="K1072" s="18" t="s">
        <v>213</v>
      </c>
      <c r="L1072" s="18" t="s">
        <v>213</v>
      </c>
    </row>
    <row r="1073" spans="1:12" x14ac:dyDescent="0.2">
      <c r="A1073" s="3" t="s">
        <v>138</v>
      </c>
      <c r="B1073" s="29" t="s">
        <v>213</v>
      </c>
      <c r="C1073" s="29" t="s">
        <v>213</v>
      </c>
      <c r="D1073" s="29">
        <v>502000</v>
      </c>
      <c r="E1073" s="29">
        <v>533000</v>
      </c>
      <c r="F1073" s="29">
        <v>489428.57142857142</v>
      </c>
      <c r="G1073" s="18">
        <v>480000</v>
      </c>
      <c r="H1073" s="18">
        <v>520000</v>
      </c>
      <c r="I1073" s="18">
        <v>782142.85714285716</v>
      </c>
      <c r="J1073" s="18">
        <v>775000</v>
      </c>
      <c r="K1073" s="29">
        <v>694333.33333333337</v>
      </c>
      <c r="L1073" s="29">
        <v>578000</v>
      </c>
    </row>
    <row r="1074" spans="1:12" x14ac:dyDescent="0.2">
      <c r="A1074" s="3" t="s">
        <v>139</v>
      </c>
      <c r="B1074" s="29" t="s">
        <v>213</v>
      </c>
      <c r="C1074" s="29" t="s">
        <v>213</v>
      </c>
      <c r="D1074" s="29" t="s">
        <v>213</v>
      </c>
      <c r="E1074" s="29" t="s">
        <v>213</v>
      </c>
      <c r="F1074" s="29" t="s">
        <v>213</v>
      </c>
      <c r="G1074" s="18" t="s">
        <v>213</v>
      </c>
      <c r="H1074" s="18" t="s">
        <v>213</v>
      </c>
      <c r="I1074" s="18" t="s">
        <v>213</v>
      </c>
      <c r="J1074" s="18" t="s">
        <v>213</v>
      </c>
      <c r="K1074" s="18" t="s">
        <v>213</v>
      </c>
      <c r="L1074" s="18" t="s">
        <v>213</v>
      </c>
    </row>
    <row r="1075" spans="1:12" x14ac:dyDescent="0.2">
      <c r="A1075" s="3" t="s">
        <v>140</v>
      </c>
      <c r="B1075" s="29" t="s">
        <v>213</v>
      </c>
      <c r="C1075" s="29" t="s">
        <v>213</v>
      </c>
      <c r="D1075" s="29">
        <v>622222.22222222225</v>
      </c>
      <c r="E1075" s="29" t="s">
        <v>213</v>
      </c>
      <c r="F1075" s="29">
        <v>500000</v>
      </c>
      <c r="G1075" s="18" t="s">
        <v>213</v>
      </c>
      <c r="H1075" s="18" t="s">
        <v>213</v>
      </c>
      <c r="I1075" s="18" t="s">
        <v>213</v>
      </c>
      <c r="J1075" s="18" t="s">
        <v>213</v>
      </c>
      <c r="K1075" s="18" t="s">
        <v>213</v>
      </c>
      <c r="L1075" s="18" t="s">
        <v>213</v>
      </c>
    </row>
    <row r="1076" spans="1:12" x14ac:dyDescent="0.2">
      <c r="A1076" s="3" t="s">
        <v>141</v>
      </c>
      <c r="B1076" s="29" t="s">
        <v>213</v>
      </c>
      <c r="C1076" s="29" t="s">
        <v>213</v>
      </c>
      <c r="D1076" s="29" t="s">
        <v>213</v>
      </c>
      <c r="E1076" s="29" t="s">
        <v>213</v>
      </c>
      <c r="F1076" s="29" t="s">
        <v>213</v>
      </c>
      <c r="G1076" s="18" t="s">
        <v>213</v>
      </c>
      <c r="H1076" s="18" t="s">
        <v>213</v>
      </c>
      <c r="I1076" s="18" t="s">
        <v>213</v>
      </c>
      <c r="J1076" s="18" t="s">
        <v>213</v>
      </c>
      <c r="K1076" s="18" t="s">
        <v>213</v>
      </c>
      <c r="L1076" s="18" t="s">
        <v>213</v>
      </c>
    </row>
    <row r="1077" spans="1:12" x14ac:dyDescent="0.2">
      <c r="A1077" s="3" t="s">
        <v>142</v>
      </c>
      <c r="B1077" s="29">
        <v>1315384.6153846155</v>
      </c>
      <c r="C1077" s="29">
        <v>1198484.8484848484</v>
      </c>
      <c r="D1077" s="29">
        <v>608354.83050847461</v>
      </c>
      <c r="E1077" s="29">
        <v>953013.69863013702</v>
      </c>
      <c r="F1077" s="29">
        <v>1512884.6153846155</v>
      </c>
      <c r="G1077" s="18">
        <v>1259545.4545454546</v>
      </c>
      <c r="H1077" s="18">
        <v>1026315.7894736842</v>
      </c>
      <c r="I1077" s="18">
        <v>1170000</v>
      </c>
      <c r="J1077" s="18">
        <v>1399571.4285714286</v>
      </c>
      <c r="K1077" s="29">
        <v>1219230.7692307692</v>
      </c>
      <c r="L1077" s="29">
        <v>1913600</v>
      </c>
    </row>
    <row r="1078" spans="1:12" x14ac:dyDescent="0.2">
      <c r="A1078" s="3" t="s">
        <v>143</v>
      </c>
      <c r="B1078" s="29" t="s">
        <v>213</v>
      </c>
      <c r="C1078" s="29" t="s">
        <v>213</v>
      </c>
      <c r="D1078" s="29" t="s">
        <v>213</v>
      </c>
      <c r="E1078" s="29">
        <v>105105.26315789473</v>
      </c>
      <c r="F1078" s="29">
        <v>110750</v>
      </c>
      <c r="G1078" s="18">
        <v>152590.90909090909</v>
      </c>
      <c r="H1078" s="18">
        <v>94304.34782608696</v>
      </c>
      <c r="I1078" s="18">
        <v>98625</v>
      </c>
      <c r="J1078" s="18">
        <v>141818.18181818182</v>
      </c>
      <c r="K1078" s="29">
        <v>165000</v>
      </c>
      <c r="L1078" s="29">
        <v>283522</v>
      </c>
    </row>
    <row r="1079" spans="1:12" x14ac:dyDescent="0.2">
      <c r="A1079" s="3" t="s">
        <v>144</v>
      </c>
      <c r="B1079" s="29">
        <v>750000</v>
      </c>
      <c r="C1079" s="29">
        <v>921818.18181818177</v>
      </c>
      <c r="D1079" s="29">
        <v>433809.52380952379</v>
      </c>
      <c r="E1079" s="29">
        <v>294285.71428571426</v>
      </c>
      <c r="F1079" s="29">
        <v>105833.33333333333</v>
      </c>
      <c r="G1079" s="18">
        <v>190000</v>
      </c>
      <c r="H1079" s="18">
        <v>335000</v>
      </c>
      <c r="I1079" s="18" t="s">
        <v>213</v>
      </c>
      <c r="J1079" s="18">
        <v>215000</v>
      </c>
      <c r="K1079" s="29" t="s">
        <v>213</v>
      </c>
      <c r="L1079" s="29">
        <v>218571</v>
      </c>
    </row>
    <row r="1080" spans="1:12" x14ac:dyDescent="0.2">
      <c r="A1080" s="3" t="s">
        <v>145</v>
      </c>
      <c r="B1080" s="29" t="s">
        <v>213</v>
      </c>
      <c r="C1080" s="29" t="s">
        <v>213</v>
      </c>
      <c r="D1080" s="29" t="s">
        <v>213</v>
      </c>
      <c r="E1080" s="29" t="s">
        <v>213</v>
      </c>
      <c r="F1080" s="29" t="s">
        <v>213</v>
      </c>
      <c r="G1080" s="18" t="s">
        <v>213</v>
      </c>
      <c r="H1080" s="18" t="s">
        <v>213</v>
      </c>
      <c r="I1080" s="18" t="s">
        <v>213</v>
      </c>
      <c r="J1080" s="18" t="s">
        <v>213</v>
      </c>
      <c r="K1080" s="18" t="s">
        <v>213</v>
      </c>
      <c r="L1080" s="18" t="s">
        <v>213</v>
      </c>
    </row>
    <row r="1081" spans="1:12" x14ac:dyDescent="0.2">
      <c r="A1081" s="3"/>
      <c r="B1081" s="11"/>
      <c r="C1081" s="11"/>
      <c r="D1081" s="11"/>
      <c r="E1081" s="11"/>
      <c r="F1081" s="11"/>
      <c r="G1081" s="11"/>
      <c r="H1081" s="11"/>
      <c r="I1081" s="3"/>
      <c r="J1081" s="18"/>
      <c r="K1081" s="11"/>
    </row>
    <row r="1082" spans="1:12" x14ac:dyDescent="0.2">
      <c r="A1082" s="3"/>
      <c r="B1082" s="3"/>
      <c r="C1082" s="3"/>
      <c r="D1082" s="3"/>
      <c r="E1082" s="3"/>
      <c r="F1082" s="3"/>
      <c r="G1082" s="3"/>
      <c r="H1082" s="3"/>
      <c r="I1082" s="4"/>
      <c r="J1082" s="18"/>
      <c r="K1082" s="11"/>
    </row>
    <row r="1083" spans="1:12" ht="12" x14ac:dyDescent="0.25">
      <c r="A1083" s="115" t="s">
        <v>243</v>
      </c>
      <c r="B1083" s="115"/>
      <c r="C1083" s="115"/>
      <c r="D1083" s="115"/>
      <c r="E1083" s="115"/>
      <c r="F1083" s="115"/>
      <c r="G1083" s="115"/>
      <c r="H1083" s="115"/>
      <c r="I1083" s="115"/>
      <c r="J1083" s="115"/>
      <c r="K1083" s="25"/>
    </row>
    <row r="1084" spans="1:12" ht="10.199999999999999" x14ac:dyDescent="0.2">
      <c r="A1084" s="118" t="s">
        <v>210</v>
      </c>
      <c r="B1084" s="118"/>
      <c r="C1084" s="118"/>
      <c r="D1084" s="118"/>
      <c r="E1084" s="118"/>
      <c r="F1084" s="118"/>
      <c r="G1084" s="118"/>
      <c r="H1084" s="118"/>
      <c r="I1084" s="118"/>
      <c r="J1084" s="118"/>
      <c r="K1084" s="118"/>
    </row>
    <row r="1085" spans="1:12" x14ac:dyDescent="0.2">
      <c r="A1085" s="3"/>
      <c r="B1085" s="3"/>
      <c r="C1085" s="3"/>
      <c r="D1085" s="3"/>
      <c r="E1085" s="3"/>
      <c r="F1085" s="3"/>
      <c r="G1085" s="3"/>
      <c r="H1085" s="3"/>
      <c r="I1085" s="4"/>
      <c r="J1085" s="18"/>
      <c r="K1085" s="11"/>
    </row>
    <row r="1086" spans="1:12" x14ac:dyDescent="0.2">
      <c r="A1086" s="5" t="s">
        <v>1</v>
      </c>
      <c r="B1086" s="6">
        <v>2007</v>
      </c>
      <c r="C1086" s="6">
        <v>2008</v>
      </c>
      <c r="D1086" s="6">
        <v>2009</v>
      </c>
      <c r="E1086" s="28">
        <v>2010</v>
      </c>
      <c r="F1086" s="28">
        <v>2011</v>
      </c>
      <c r="G1086" s="6">
        <v>2012</v>
      </c>
      <c r="H1086" s="6">
        <v>2013</v>
      </c>
      <c r="I1086" s="6">
        <v>2014</v>
      </c>
      <c r="J1086" s="6">
        <v>2015</v>
      </c>
      <c r="K1086" s="6">
        <v>2016</v>
      </c>
      <c r="L1086" s="6">
        <v>2017</v>
      </c>
    </row>
    <row r="1087" spans="1:12" x14ac:dyDescent="0.2">
      <c r="A1087" s="3"/>
      <c r="B1087" s="4"/>
      <c r="C1087" s="4"/>
      <c r="D1087" s="3"/>
      <c r="E1087" s="18"/>
      <c r="F1087" s="18"/>
      <c r="G1087" s="11"/>
      <c r="H1087" s="11"/>
      <c r="I1087" s="11"/>
      <c r="J1087" s="11"/>
      <c r="K1087" s="4"/>
      <c r="L1087" s="4"/>
    </row>
    <row r="1088" spans="1:12" x14ac:dyDescent="0.2">
      <c r="A1088" s="8" t="s">
        <v>146</v>
      </c>
      <c r="B1088" s="9">
        <f t="shared" ref="B1088:J1088" si="3">SUM(B1089:B1091)</f>
        <v>587063.86771576107</v>
      </c>
      <c r="C1088" s="9">
        <f t="shared" si="3"/>
        <v>923418.87451550388</v>
      </c>
      <c r="D1088" s="9">
        <f t="shared" si="3"/>
        <v>739659.02964959573</v>
      </c>
      <c r="E1088" s="9">
        <f t="shared" si="3"/>
        <v>825281.83997602633</v>
      </c>
      <c r="F1088" s="9">
        <f t="shared" si="3"/>
        <v>904679.17065390747</v>
      </c>
      <c r="G1088" s="9">
        <f t="shared" si="3"/>
        <v>774134.41780821909</v>
      </c>
      <c r="H1088" s="9">
        <f t="shared" si="3"/>
        <v>839020.69632495171</v>
      </c>
      <c r="I1088" s="9">
        <f t="shared" si="3"/>
        <v>1057497.8253596521</v>
      </c>
      <c r="J1088" s="9">
        <f t="shared" si="3"/>
        <v>857855.49872122763</v>
      </c>
      <c r="K1088" s="9">
        <f>SUM(K1089:K1091)</f>
        <v>998791.87192118238</v>
      </c>
      <c r="L1088" s="9">
        <f>SUM(L1089:L1091)</f>
        <v>997595</v>
      </c>
    </row>
    <row r="1089" spans="1:12" x14ac:dyDescent="0.2">
      <c r="A1089" s="3" t="s">
        <v>147</v>
      </c>
      <c r="B1089" s="18">
        <v>314413.26530612243</v>
      </c>
      <c r="C1089" s="18">
        <v>371981.39534883719</v>
      </c>
      <c r="D1089" s="18">
        <v>272801.88679245283</v>
      </c>
      <c r="E1089" s="18">
        <v>268260.56338028167</v>
      </c>
      <c r="F1089" s="18">
        <v>230553.0303030303</v>
      </c>
      <c r="G1089" s="18">
        <v>342821.91780821915</v>
      </c>
      <c r="H1089" s="18">
        <v>371329.78723404254</v>
      </c>
      <c r="I1089" s="18">
        <v>570530.61224489799</v>
      </c>
      <c r="J1089" s="18">
        <v>397029.4117647059</v>
      </c>
      <c r="K1089" s="18">
        <v>533077.58620689658</v>
      </c>
      <c r="L1089" s="18">
        <v>466012</v>
      </c>
    </row>
    <row r="1090" spans="1:12" x14ac:dyDescent="0.2">
      <c r="A1090" s="3" t="s">
        <v>148</v>
      </c>
      <c r="B1090" s="18" t="s">
        <v>213</v>
      </c>
      <c r="C1090" s="18" t="s">
        <v>213</v>
      </c>
      <c r="D1090" s="18" t="s">
        <v>213</v>
      </c>
      <c r="E1090" s="18" t="s">
        <v>213</v>
      </c>
      <c r="F1090" s="18">
        <v>170000</v>
      </c>
      <c r="G1090" s="18" t="s">
        <v>213</v>
      </c>
      <c r="H1090" s="18" t="s">
        <v>213</v>
      </c>
      <c r="I1090" s="18" t="s">
        <v>213</v>
      </c>
      <c r="J1090" s="18" t="s">
        <v>213</v>
      </c>
      <c r="K1090" s="18" t="s">
        <v>213</v>
      </c>
      <c r="L1090" s="18">
        <v>333333</v>
      </c>
    </row>
    <row r="1091" spans="1:12" x14ac:dyDescent="0.2">
      <c r="A1091" s="3" t="s">
        <v>149</v>
      </c>
      <c r="B1091" s="18">
        <v>272650.60240963858</v>
      </c>
      <c r="C1091" s="18">
        <v>551437.47916666663</v>
      </c>
      <c r="D1091" s="18">
        <v>466857.14285714284</v>
      </c>
      <c r="E1091" s="18">
        <v>557021.27659574465</v>
      </c>
      <c r="F1091" s="18">
        <v>504126.14035087719</v>
      </c>
      <c r="G1091" s="18">
        <v>431312.5</v>
      </c>
      <c r="H1091" s="18">
        <v>467690.90909090912</v>
      </c>
      <c r="I1091" s="18">
        <v>486967.21311475412</v>
      </c>
      <c r="J1091" s="18">
        <v>460826.08695652173</v>
      </c>
      <c r="K1091" s="18">
        <v>465714.28571428574</v>
      </c>
      <c r="L1091" s="18">
        <v>198250</v>
      </c>
    </row>
    <row r="1092" spans="1:12" x14ac:dyDescent="0.2">
      <c r="A1092" s="3"/>
      <c r="B1092" s="3"/>
      <c r="C1092" s="3"/>
      <c r="D1092" s="3"/>
      <c r="E1092" s="3"/>
      <c r="F1092" s="3"/>
      <c r="G1092" s="3"/>
      <c r="H1092" s="3"/>
      <c r="I1092" s="4"/>
      <c r="J1092" s="18"/>
      <c r="K1092" s="11"/>
    </row>
    <row r="1093" spans="1:12" ht="11.85" customHeight="1" x14ac:dyDescent="0.2">
      <c r="A1093" s="3"/>
      <c r="B1093" s="3"/>
      <c r="C1093" s="3"/>
      <c r="D1093" s="3"/>
      <c r="E1093" s="3"/>
      <c r="F1093" s="3"/>
      <c r="G1093" s="3"/>
      <c r="H1093" s="3"/>
      <c r="I1093" s="4"/>
      <c r="J1093" s="18"/>
      <c r="K1093" s="11"/>
    </row>
    <row r="1094" spans="1:12" ht="11.85" customHeight="1" x14ac:dyDescent="0.2">
      <c r="A1094" s="3"/>
      <c r="B1094" s="3"/>
      <c r="C1094" s="3"/>
      <c r="D1094" s="3"/>
      <c r="E1094" s="3"/>
      <c r="F1094" s="3"/>
      <c r="G1094" s="3"/>
      <c r="H1094" s="3"/>
      <c r="I1094" s="4"/>
      <c r="J1094" s="18"/>
      <c r="K1094" s="11"/>
    </row>
    <row r="1095" spans="1:12" ht="11.85" customHeight="1" x14ac:dyDescent="0.2">
      <c r="A1095" s="3"/>
      <c r="B1095" s="3"/>
      <c r="C1095" s="3"/>
      <c r="D1095" s="3"/>
      <c r="E1095" s="3"/>
      <c r="F1095" s="3"/>
      <c r="G1095" s="3"/>
      <c r="H1095" s="3"/>
      <c r="I1095" s="4"/>
      <c r="J1095" s="18"/>
      <c r="K1095" s="11"/>
    </row>
    <row r="1096" spans="1:12" ht="11.85" customHeight="1" x14ac:dyDescent="0.2">
      <c r="A1096" s="3"/>
      <c r="B1096" s="3"/>
      <c r="C1096" s="3"/>
      <c r="D1096" s="3"/>
      <c r="E1096" s="3"/>
      <c r="F1096" s="3"/>
      <c r="G1096" s="3"/>
      <c r="H1096" s="3"/>
      <c r="I1096" s="4"/>
      <c r="J1096" s="18"/>
      <c r="K1096" s="11"/>
    </row>
    <row r="1097" spans="1:12" ht="11.85" customHeight="1" x14ac:dyDescent="0.2">
      <c r="A1097" s="3"/>
      <c r="B1097" s="3"/>
      <c r="C1097" s="3"/>
      <c r="D1097" s="3"/>
      <c r="E1097" s="3"/>
      <c r="F1097" s="3"/>
      <c r="G1097" s="3"/>
      <c r="H1097" s="3"/>
      <c r="I1097" s="4"/>
      <c r="J1097" s="18"/>
      <c r="K1097" s="11"/>
    </row>
    <row r="1098" spans="1:12" ht="11.85" customHeight="1" x14ac:dyDescent="0.2">
      <c r="A1098" s="3"/>
      <c r="B1098" s="3"/>
      <c r="C1098" s="3"/>
      <c r="D1098" s="3"/>
      <c r="E1098" s="3"/>
      <c r="F1098" s="3"/>
      <c r="G1098" s="3"/>
      <c r="H1098" s="3"/>
      <c r="I1098" s="4"/>
      <c r="J1098" s="18"/>
      <c r="K1098" s="11"/>
    </row>
    <row r="1099" spans="1:12" ht="11.85" customHeight="1" x14ac:dyDescent="0.2">
      <c r="A1099" s="3"/>
      <c r="B1099" s="3"/>
      <c r="C1099" s="3"/>
      <c r="D1099" s="3"/>
      <c r="E1099" s="3"/>
      <c r="F1099" s="3"/>
      <c r="G1099" s="3"/>
      <c r="H1099" s="3"/>
      <c r="I1099" s="4"/>
      <c r="J1099" s="18"/>
      <c r="K1099" s="11"/>
    </row>
    <row r="1100" spans="1:12" ht="11.85" customHeight="1" x14ac:dyDescent="0.2">
      <c r="A1100" s="3"/>
      <c r="B1100" s="3"/>
      <c r="C1100" s="3"/>
      <c r="D1100" s="3"/>
      <c r="E1100" s="3"/>
      <c r="F1100" s="3"/>
      <c r="G1100" s="3"/>
      <c r="H1100" s="3"/>
      <c r="I1100" s="4"/>
      <c r="J1100" s="18"/>
      <c r="K1100" s="11"/>
    </row>
    <row r="1101" spans="1:12" ht="11.85" customHeight="1" x14ac:dyDescent="0.2">
      <c r="A1101" s="3"/>
      <c r="B1101" s="3"/>
      <c r="C1101" s="3"/>
      <c r="D1101" s="3"/>
      <c r="E1101" s="3"/>
      <c r="F1101" s="3"/>
      <c r="G1101" s="3"/>
      <c r="H1101" s="3"/>
      <c r="I1101" s="4"/>
      <c r="J1101" s="18"/>
      <c r="K1101" s="11"/>
    </row>
    <row r="1102" spans="1:12" ht="11.85" customHeight="1" x14ac:dyDescent="0.2">
      <c r="A1102" s="3"/>
      <c r="B1102" s="3"/>
      <c r="C1102" s="3"/>
      <c r="D1102" s="3"/>
      <c r="E1102" s="3"/>
      <c r="F1102" s="3"/>
      <c r="G1102" s="3"/>
      <c r="H1102" s="3"/>
      <c r="I1102" s="4"/>
      <c r="J1102" s="18"/>
      <c r="K1102" s="11"/>
    </row>
    <row r="1103" spans="1:12" ht="11.85" customHeight="1" x14ac:dyDescent="0.2">
      <c r="A1103" s="3"/>
      <c r="B1103" s="3"/>
      <c r="C1103" s="3"/>
      <c r="D1103" s="3"/>
      <c r="E1103" s="3"/>
      <c r="F1103" s="3"/>
      <c r="G1103" s="3"/>
      <c r="H1103" s="3"/>
      <c r="I1103" s="4"/>
      <c r="J1103" s="18"/>
      <c r="K1103" s="11"/>
    </row>
    <row r="1104" spans="1:12" ht="12" x14ac:dyDescent="0.25">
      <c r="A1104" s="115" t="s">
        <v>244</v>
      </c>
      <c r="B1104" s="115"/>
      <c r="C1104" s="115"/>
      <c r="D1104" s="115"/>
      <c r="E1104" s="115"/>
      <c r="F1104" s="115"/>
      <c r="G1104" s="115"/>
      <c r="H1104" s="115"/>
      <c r="I1104" s="115"/>
      <c r="J1104" s="115"/>
      <c r="K1104" s="26"/>
    </row>
    <row r="1105" spans="1:12" ht="10.199999999999999" x14ac:dyDescent="0.2">
      <c r="A1105" s="118" t="s">
        <v>210</v>
      </c>
      <c r="B1105" s="118"/>
      <c r="C1105" s="118"/>
      <c r="D1105" s="118"/>
      <c r="E1105" s="118"/>
      <c r="F1105" s="118"/>
      <c r="G1105" s="118"/>
      <c r="H1105" s="118"/>
      <c r="I1105" s="118"/>
      <c r="J1105" s="118"/>
      <c r="K1105" s="118"/>
    </row>
    <row r="1106" spans="1:12" x14ac:dyDescent="0.2">
      <c r="A1106" s="3"/>
      <c r="B1106" s="3"/>
      <c r="C1106" s="3"/>
      <c r="D1106" s="3"/>
      <c r="E1106" s="3"/>
      <c r="F1106" s="3"/>
      <c r="G1106" s="3"/>
      <c r="H1106" s="3"/>
      <c r="I1106" s="4"/>
      <c r="J1106" s="18"/>
      <c r="K1106" s="11"/>
    </row>
    <row r="1107" spans="1:12" x14ac:dyDescent="0.2">
      <c r="A1107" s="5" t="s">
        <v>1</v>
      </c>
      <c r="B1107" s="6">
        <v>2007</v>
      </c>
      <c r="C1107" s="6">
        <v>2008</v>
      </c>
      <c r="D1107" s="5">
        <v>2009</v>
      </c>
      <c r="E1107" s="28">
        <v>2010</v>
      </c>
      <c r="F1107" s="28">
        <v>2011</v>
      </c>
      <c r="G1107" s="6">
        <v>2012</v>
      </c>
      <c r="H1107" s="6">
        <v>2013</v>
      </c>
      <c r="I1107" s="6">
        <v>2014</v>
      </c>
      <c r="J1107" s="6">
        <v>2015</v>
      </c>
      <c r="K1107" s="6">
        <v>2016</v>
      </c>
      <c r="L1107" s="6">
        <v>2017</v>
      </c>
    </row>
    <row r="1108" spans="1:12" x14ac:dyDescent="0.2">
      <c r="A1108" s="8" t="s">
        <v>150</v>
      </c>
      <c r="B1108" s="10">
        <f t="shared" ref="B1108:K1108" si="4">SUM(B1109:B1125)</f>
        <v>2526573.2389945947</v>
      </c>
      <c r="C1108" s="10">
        <f t="shared" si="4"/>
        <v>3627088.3333333335</v>
      </c>
      <c r="D1108" s="10">
        <f t="shared" si="4"/>
        <v>2807921.7894148859</v>
      </c>
      <c r="E1108" s="10">
        <f t="shared" si="4"/>
        <v>2593938.37535014</v>
      </c>
      <c r="F1108" s="10">
        <f t="shared" si="4"/>
        <v>3703578.9483504998</v>
      </c>
      <c r="G1108" s="10">
        <f t="shared" si="4"/>
        <v>1257754.3771043771</v>
      </c>
      <c r="H1108" s="10">
        <f t="shared" si="4"/>
        <v>1846591.5750915753</v>
      </c>
      <c r="I1108" s="10">
        <f t="shared" si="4"/>
        <v>2082592.5925925926</v>
      </c>
      <c r="J1108" s="10">
        <f t="shared" si="4"/>
        <v>1741255.99261408</v>
      </c>
      <c r="K1108" s="10">
        <f t="shared" si="4"/>
        <v>1294704.8131080389</v>
      </c>
      <c r="L1108" s="10">
        <f>SUM(L1109:L1125)</f>
        <v>3119406</v>
      </c>
    </row>
    <row r="1109" spans="1:12" x14ac:dyDescent="0.2">
      <c r="A1109" s="3" t="s">
        <v>151</v>
      </c>
      <c r="B1109" s="29" t="s">
        <v>213</v>
      </c>
      <c r="C1109" s="29" t="s">
        <v>213</v>
      </c>
      <c r="D1109" s="29" t="s">
        <v>213</v>
      </c>
      <c r="E1109" s="29" t="s">
        <v>213</v>
      </c>
      <c r="F1109" s="29" t="s">
        <v>213</v>
      </c>
      <c r="G1109" s="18" t="s">
        <v>213</v>
      </c>
      <c r="H1109" s="18" t="s">
        <v>213</v>
      </c>
      <c r="I1109" s="18" t="s">
        <v>213</v>
      </c>
      <c r="J1109" s="18" t="s">
        <v>213</v>
      </c>
      <c r="K1109" s="18" t="s">
        <v>213</v>
      </c>
      <c r="L1109" s="18" t="s">
        <v>213</v>
      </c>
    </row>
    <row r="1110" spans="1:12" x14ac:dyDescent="0.2">
      <c r="A1110" s="3" t="s">
        <v>152</v>
      </c>
      <c r="B1110" s="29">
        <v>600000</v>
      </c>
      <c r="C1110" s="29">
        <v>637500</v>
      </c>
      <c r="D1110" s="29">
        <v>866666.66666666663</v>
      </c>
      <c r="E1110" s="29">
        <v>688888.88888888888</v>
      </c>
      <c r="F1110" s="29">
        <v>797500</v>
      </c>
      <c r="G1110" s="18" t="s">
        <v>213</v>
      </c>
      <c r="H1110" s="18" t="s">
        <v>213</v>
      </c>
      <c r="I1110" s="18" t="s">
        <v>213</v>
      </c>
      <c r="J1110" s="18">
        <v>300000</v>
      </c>
      <c r="K1110" s="18" t="s">
        <v>213</v>
      </c>
      <c r="L1110" s="18" t="s">
        <v>213</v>
      </c>
    </row>
    <row r="1111" spans="1:12" x14ac:dyDescent="0.2">
      <c r="A1111" s="3" t="s">
        <v>187</v>
      </c>
      <c r="B1111" s="29">
        <v>75000</v>
      </c>
      <c r="C1111" s="29">
        <v>109500</v>
      </c>
      <c r="D1111" s="29">
        <v>109545.45454545454</v>
      </c>
      <c r="E1111" s="29">
        <v>111176.4705882353</v>
      </c>
      <c r="F1111" s="29">
        <v>136212.12121212122</v>
      </c>
      <c r="G1111" s="18">
        <v>162111.11111111112</v>
      </c>
      <c r="H1111" s="18">
        <v>257948.71794871794</v>
      </c>
      <c r="I1111" s="18">
        <v>230000</v>
      </c>
      <c r="J1111" s="18">
        <v>160422.53521126762</v>
      </c>
      <c r="K1111" s="11">
        <v>192857.14285714287</v>
      </c>
      <c r="L1111" s="11">
        <v>344821</v>
      </c>
    </row>
    <row r="1112" spans="1:12" x14ac:dyDescent="0.2">
      <c r="A1112" s="3" t="s">
        <v>154</v>
      </c>
      <c r="B1112" s="29">
        <v>214285.71428571429</v>
      </c>
      <c r="C1112" s="29">
        <v>1360000</v>
      </c>
      <c r="D1112" s="29">
        <v>160000</v>
      </c>
      <c r="E1112" s="29">
        <v>200000</v>
      </c>
      <c r="F1112" s="29">
        <v>216666.66666666666</v>
      </c>
      <c r="G1112" s="18">
        <v>200000</v>
      </c>
      <c r="H1112" s="18">
        <v>240000</v>
      </c>
      <c r="I1112" s="18">
        <v>215000</v>
      </c>
      <c r="J1112" s="18" t="s">
        <v>213</v>
      </c>
      <c r="K1112" s="18" t="s">
        <v>213</v>
      </c>
      <c r="L1112" s="18">
        <v>300000</v>
      </c>
    </row>
    <row r="1113" spans="1:12" x14ac:dyDescent="0.2">
      <c r="A1113" s="3" t="s">
        <v>155</v>
      </c>
      <c r="B1113" s="29">
        <v>510869.5652173913</v>
      </c>
      <c r="C1113" s="29">
        <v>737326.42857142852</v>
      </c>
      <c r="D1113" s="29">
        <v>657281.09677419357</v>
      </c>
      <c r="E1113" s="29">
        <v>887000</v>
      </c>
      <c r="F1113" s="29">
        <v>735714.28571428568</v>
      </c>
      <c r="G1113" s="18" t="s">
        <v>213</v>
      </c>
      <c r="H1113" s="18" t="s">
        <v>213</v>
      </c>
      <c r="I1113" s="18">
        <v>270000</v>
      </c>
      <c r="J1113" s="18">
        <v>223333.33333333334</v>
      </c>
      <c r="K1113" s="29">
        <v>300000</v>
      </c>
      <c r="L1113" s="29">
        <v>456667</v>
      </c>
    </row>
    <row r="1114" spans="1:12" x14ac:dyDescent="0.2">
      <c r="A1114" s="3" t="s">
        <v>156</v>
      </c>
      <c r="B1114" s="29" t="s">
        <v>213</v>
      </c>
      <c r="C1114" s="29" t="s">
        <v>213</v>
      </c>
      <c r="D1114" s="29" t="s">
        <v>213</v>
      </c>
      <c r="E1114" s="29" t="s">
        <v>213</v>
      </c>
      <c r="F1114" s="29" t="s">
        <v>213</v>
      </c>
      <c r="G1114" s="18" t="s">
        <v>213</v>
      </c>
      <c r="H1114" s="18" t="s">
        <v>213</v>
      </c>
      <c r="I1114" s="18" t="s">
        <v>213</v>
      </c>
      <c r="J1114" s="18" t="s">
        <v>213</v>
      </c>
      <c r="K1114" s="18" t="s">
        <v>213</v>
      </c>
      <c r="L1114" s="18" t="s">
        <v>213</v>
      </c>
    </row>
    <row r="1115" spans="1:12" x14ac:dyDescent="0.2">
      <c r="A1115" s="3" t="s">
        <v>157</v>
      </c>
      <c r="B1115" s="29">
        <v>103571.42857142857</v>
      </c>
      <c r="C1115" s="29">
        <v>91428.571428571435</v>
      </c>
      <c r="D1115" s="29">
        <v>167000</v>
      </c>
      <c r="E1115" s="29">
        <v>77500</v>
      </c>
      <c r="F1115" s="29">
        <v>45771.428571428572</v>
      </c>
      <c r="G1115" s="18">
        <v>65650</v>
      </c>
      <c r="H1115" s="18">
        <v>146500</v>
      </c>
      <c r="I1115" s="18">
        <v>266666.66666666669</v>
      </c>
      <c r="J1115" s="18">
        <v>82500</v>
      </c>
      <c r="K1115" s="18" t="s">
        <v>213</v>
      </c>
      <c r="L1115" s="18">
        <v>175000</v>
      </c>
    </row>
    <row r="1116" spans="1:12" x14ac:dyDescent="0.2">
      <c r="A1116" s="3" t="s">
        <v>158</v>
      </c>
      <c r="B1116" s="29">
        <v>56250</v>
      </c>
      <c r="C1116" s="29">
        <v>103333.33333333333</v>
      </c>
      <c r="D1116" s="29">
        <v>329285.71428571426</v>
      </c>
      <c r="E1116" s="29">
        <v>176428.57142857142</v>
      </c>
      <c r="F1116" s="29">
        <v>144137.93103448275</v>
      </c>
      <c r="G1116" s="18">
        <v>158518.51851851851</v>
      </c>
      <c r="H1116" s="18">
        <v>248750</v>
      </c>
      <c r="I1116" s="18">
        <v>242592.59259259258</v>
      </c>
      <c r="J1116" s="18">
        <v>269919.3548387097</v>
      </c>
      <c r="K1116" s="29">
        <v>219903.22580645161</v>
      </c>
      <c r="L1116" s="29">
        <v>255873</v>
      </c>
    </row>
    <row r="1117" spans="1:12" x14ac:dyDescent="0.2">
      <c r="A1117" s="3" t="s">
        <v>159</v>
      </c>
      <c r="B1117" s="29" t="s">
        <v>213</v>
      </c>
      <c r="C1117" s="29" t="s">
        <v>213</v>
      </c>
      <c r="D1117" s="29" t="s">
        <v>213</v>
      </c>
      <c r="E1117" s="29" t="s">
        <v>213</v>
      </c>
      <c r="F1117" s="29" t="s">
        <v>213</v>
      </c>
      <c r="G1117" s="18" t="s">
        <v>213</v>
      </c>
      <c r="H1117" s="18" t="s">
        <v>213</v>
      </c>
      <c r="I1117" s="18" t="s">
        <v>213</v>
      </c>
      <c r="J1117" s="18" t="s">
        <v>213</v>
      </c>
      <c r="K1117" s="18" t="s">
        <v>213</v>
      </c>
      <c r="L1117" s="18" t="s">
        <v>213</v>
      </c>
    </row>
    <row r="1118" spans="1:12" x14ac:dyDescent="0.2">
      <c r="A1118" s="3" t="s">
        <v>160</v>
      </c>
      <c r="B1118" s="29">
        <v>100000</v>
      </c>
      <c r="C1118" s="29" t="s">
        <v>213</v>
      </c>
      <c r="D1118" s="29" t="s">
        <v>213</v>
      </c>
      <c r="E1118" s="29" t="s">
        <v>213</v>
      </c>
      <c r="F1118" s="29">
        <v>700000</v>
      </c>
      <c r="G1118" s="18" t="s">
        <v>213</v>
      </c>
      <c r="H1118" s="18" t="s">
        <v>213</v>
      </c>
      <c r="I1118" s="18" t="s">
        <v>213</v>
      </c>
      <c r="J1118" s="18" t="s">
        <v>213</v>
      </c>
      <c r="K1118" s="18" t="s">
        <v>213</v>
      </c>
      <c r="L1118" s="18" t="s">
        <v>213</v>
      </c>
    </row>
    <row r="1119" spans="1:12" x14ac:dyDescent="0.2">
      <c r="A1119" s="3" t="s">
        <v>161</v>
      </c>
      <c r="B1119" s="29">
        <v>116666.66666666667</v>
      </c>
      <c r="C1119" s="29">
        <v>288000</v>
      </c>
      <c r="D1119" s="29" t="s">
        <v>213</v>
      </c>
      <c r="E1119" s="29" t="s">
        <v>213</v>
      </c>
      <c r="F1119" s="29" t="s">
        <v>213</v>
      </c>
      <c r="G1119" s="35" t="s">
        <v>213</v>
      </c>
      <c r="H1119" s="35" t="s">
        <v>213</v>
      </c>
      <c r="I1119" s="35">
        <v>297500</v>
      </c>
      <c r="J1119" s="35">
        <v>160000</v>
      </c>
      <c r="K1119" s="29">
        <v>290000</v>
      </c>
      <c r="L1119" s="29">
        <v>375000</v>
      </c>
    </row>
    <row r="1120" spans="1:12" x14ac:dyDescent="0.2">
      <c r="A1120" s="3" t="s">
        <v>162</v>
      </c>
      <c r="B1120" s="29" t="s">
        <v>213</v>
      </c>
      <c r="C1120" s="29" t="s">
        <v>213</v>
      </c>
      <c r="D1120" s="29" t="s">
        <v>213</v>
      </c>
      <c r="E1120" s="29">
        <v>120000</v>
      </c>
      <c r="F1120" s="29">
        <v>296800</v>
      </c>
      <c r="G1120" s="18">
        <v>216111.11111111112</v>
      </c>
      <c r="H1120" s="18">
        <v>367500</v>
      </c>
      <c r="I1120" s="18">
        <v>220833.33333333334</v>
      </c>
      <c r="J1120" s="18">
        <v>199230.76923076922</v>
      </c>
      <c r="K1120" s="29">
        <v>207944.44444444444</v>
      </c>
      <c r="L1120" s="18">
        <v>383333</v>
      </c>
    </row>
    <row r="1121" spans="1:12" x14ac:dyDescent="0.2">
      <c r="A1121" s="3" t="s">
        <v>163</v>
      </c>
      <c r="B1121" s="29">
        <v>212000</v>
      </c>
      <c r="C1121" s="29">
        <v>135000</v>
      </c>
      <c r="D1121" s="29">
        <v>158142.85714285713</v>
      </c>
      <c r="E1121" s="29">
        <v>120444.44444444444</v>
      </c>
      <c r="F1121" s="29">
        <v>201818.18181818182</v>
      </c>
      <c r="G1121" s="18" t="s">
        <v>213</v>
      </c>
      <c r="H1121" s="18">
        <v>280000</v>
      </c>
      <c r="I1121" s="18" t="s">
        <v>213</v>
      </c>
      <c r="J1121" s="18" t="s">
        <v>213</v>
      </c>
      <c r="K1121" s="18" t="s">
        <v>213</v>
      </c>
      <c r="L1121" s="18">
        <v>400000</v>
      </c>
    </row>
    <row r="1122" spans="1:12" x14ac:dyDescent="0.2">
      <c r="A1122" s="3" t="s">
        <v>164</v>
      </c>
      <c r="B1122" s="29">
        <v>164852.9411764706</v>
      </c>
      <c r="C1122" s="29">
        <v>165000</v>
      </c>
      <c r="D1122" s="29">
        <v>160000</v>
      </c>
      <c r="E1122" s="29" t="s">
        <v>213</v>
      </c>
      <c r="F1122" s="29">
        <v>267333.33333333331</v>
      </c>
      <c r="G1122" s="18">
        <v>314363.63636363635</v>
      </c>
      <c r="H1122" s="18">
        <v>305892.85714285716</v>
      </c>
      <c r="I1122" s="18">
        <v>280000</v>
      </c>
      <c r="J1122" s="18">
        <v>272600</v>
      </c>
      <c r="K1122" s="18" t="s">
        <v>213</v>
      </c>
      <c r="L1122" s="18">
        <v>281212</v>
      </c>
    </row>
    <row r="1123" spans="1:12" x14ac:dyDescent="0.2">
      <c r="A1123" s="3" t="s">
        <v>165</v>
      </c>
      <c r="B1123" s="29">
        <v>373076.92307692306</v>
      </c>
      <c r="C1123" s="29" t="s">
        <v>213</v>
      </c>
      <c r="D1123" s="29">
        <v>200000</v>
      </c>
      <c r="E1123" s="29">
        <v>212500</v>
      </c>
      <c r="F1123" s="29">
        <v>161625</v>
      </c>
      <c r="G1123" s="18">
        <v>141000</v>
      </c>
      <c r="H1123" s="18" t="s">
        <v>213</v>
      </c>
      <c r="I1123" s="18">
        <v>60000</v>
      </c>
      <c r="J1123" s="18">
        <v>73250</v>
      </c>
      <c r="K1123" s="29">
        <v>84000</v>
      </c>
      <c r="L1123" s="29">
        <v>147500</v>
      </c>
    </row>
    <row r="1124" spans="1:12" x14ac:dyDescent="0.2">
      <c r="A1124" s="3" t="s">
        <v>166</v>
      </c>
      <c r="B1124" s="29" t="s">
        <v>213</v>
      </c>
      <c r="C1124" s="29" t="s">
        <v>213</v>
      </c>
      <c r="D1124" s="29" t="s">
        <v>213</v>
      </c>
      <c r="E1124" s="29" t="s">
        <v>213</v>
      </c>
      <c r="F1124" s="29" t="s">
        <v>213</v>
      </c>
      <c r="G1124" s="18" t="s">
        <v>213</v>
      </c>
      <c r="H1124" s="18" t="s">
        <v>213</v>
      </c>
      <c r="I1124" s="18" t="s">
        <v>213</v>
      </c>
      <c r="J1124" s="18" t="s">
        <v>213</v>
      </c>
      <c r="K1124" s="18" t="s">
        <v>213</v>
      </c>
      <c r="L1124" s="18" t="s">
        <v>213</v>
      </c>
    </row>
    <row r="1125" spans="1:12" x14ac:dyDescent="0.2">
      <c r="A1125" s="3" t="s">
        <v>167</v>
      </c>
      <c r="B1125" s="29" t="s">
        <v>213</v>
      </c>
      <c r="C1125" s="29" t="s">
        <v>213</v>
      </c>
      <c r="D1125" s="29" t="s">
        <v>213</v>
      </c>
      <c r="E1125" s="29" t="s">
        <v>213</v>
      </c>
      <c r="F1125" s="29" t="s">
        <v>213</v>
      </c>
      <c r="G1125" s="18" t="s">
        <v>213</v>
      </c>
      <c r="H1125" s="18" t="s">
        <v>213</v>
      </c>
      <c r="I1125" s="18" t="s">
        <v>213</v>
      </c>
      <c r="J1125" s="18" t="s">
        <v>213</v>
      </c>
      <c r="K1125" s="18" t="s">
        <v>213</v>
      </c>
      <c r="L1125" s="18" t="s">
        <v>213</v>
      </c>
    </row>
    <row r="1126" spans="1:12" x14ac:dyDescent="0.2">
      <c r="A1126" s="3"/>
      <c r="B1126" s="11"/>
      <c r="C1126" s="11"/>
      <c r="D1126" s="11"/>
      <c r="E1126" s="11"/>
      <c r="F1126" s="11"/>
      <c r="G1126" s="11"/>
      <c r="H1126" s="11"/>
      <c r="I1126" s="3"/>
      <c r="J1126" s="18"/>
      <c r="K1126" s="11"/>
    </row>
    <row r="1127" spans="1:12" x14ac:dyDescent="0.2">
      <c r="A1127" s="3"/>
      <c r="B1127" s="3"/>
      <c r="C1127" s="3"/>
      <c r="D1127" s="3"/>
      <c r="E1127" s="3"/>
      <c r="F1127" s="3"/>
      <c r="G1127" s="3"/>
      <c r="H1127" s="3"/>
      <c r="I1127" s="4"/>
      <c r="J1127" s="18"/>
      <c r="K1127" s="11"/>
    </row>
  </sheetData>
  <mergeCells count="56">
    <mergeCell ref="A1105:K1105"/>
    <mergeCell ref="A1006:K1006"/>
    <mergeCell ref="A1038:J1038"/>
    <mergeCell ref="A1039:K1039"/>
    <mergeCell ref="A1083:J1083"/>
    <mergeCell ref="A1084:K1084"/>
    <mergeCell ref="A1104:J1104"/>
    <mergeCell ref="A180:J180"/>
    <mergeCell ref="A181:K181"/>
    <mergeCell ref="A205:J205"/>
    <mergeCell ref="A206:K206"/>
    <mergeCell ref="A231:J231"/>
    <mergeCell ref="A232:K232"/>
    <mergeCell ref="A1:K1"/>
    <mergeCell ref="A2:K2"/>
    <mergeCell ref="A102:J102"/>
    <mergeCell ref="A103:K103"/>
    <mergeCell ref="A135:J135"/>
    <mergeCell ref="A136:K136"/>
    <mergeCell ref="A238:K238"/>
    <mergeCell ref="A239:K239"/>
    <mergeCell ref="A305:J305"/>
    <mergeCell ref="A306:K306"/>
    <mergeCell ref="A406:J406"/>
    <mergeCell ref="A407:K407"/>
    <mergeCell ref="A509:K509"/>
    <mergeCell ref="A510:K510"/>
    <mergeCell ref="A609:K609"/>
    <mergeCell ref="A610:K610"/>
    <mergeCell ref="A651:K651"/>
    <mergeCell ref="A652:K652"/>
    <mergeCell ref="A678:K678"/>
    <mergeCell ref="A679:K679"/>
    <mergeCell ref="A690:K690"/>
    <mergeCell ref="A691:K691"/>
    <mergeCell ref="A709:J709"/>
    <mergeCell ref="A710:K710"/>
    <mergeCell ref="A721:K721"/>
    <mergeCell ref="A722:K722"/>
    <mergeCell ref="A734:K734"/>
    <mergeCell ref="A735:K735"/>
    <mergeCell ref="A750:K750"/>
    <mergeCell ref="A751:K751"/>
    <mergeCell ref="A776:K776"/>
    <mergeCell ref="A777:K777"/>
    <mergeCell ref="A808:K808"/>
    <mergeCell ref="A809:K809"/>
    <mergeCell ref="A828:K828"/>
    <mergeCell ref="A909:K909"/>
    <mergeCell ref="A1005:J1005"/>
    <mergeCell ref="A829:K829"/>
    <mergeCell ref="A848:K848"/>
    <mergeCell ref="A849:K849"/>
    <mergeCell ref="A866:K866"/>
    <mergeCell ref="A867:K867"/>
    <mergeCell ref="A908:K908"/>
  </mergeCells>
  <printOptions horizontalCentered="1"/>
  <pageMargins left="0.51181102362204722" right="0" top="0.39370078740157483" bottom="0.59055118110236227" header="0" footer="0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Series</vt:lpstr>
      <vt:lpstr>Series!Área_de_impresión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cvillagra</dc:creator>
  <cp:lastModifiedBy>Rodrigo Vera Velasquez (Alumno)</cp:lastModifiedBy>
  <cp:lastPrinted>2017-06-06T16:26:01Z</cp:lastPrinted>
  <dcterms:created xsi:type="dcterms:W3CDTF">2009-05-05T20:26:49Z</dcterms:created>
  <dcterms:modified xsi:type="dcterms:W3CDTF">2025-04-14T21:11:29Z</dcterms:modified>
</cp:coreProperties>
</file>