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mb/Documents/"/>
    </mc:Choice>
  </mc:AlternateContent>
  <xr:revisionPtr revIDLastSave="0" documentId="13_ncr:1_{314E0829-5681-C145-9B90-B204D4F42CE8}" xr6:coauthVersionLast="47" xr6:coauthVersionMax="47" xr10:uidLastSave="{00000000-0000-0000-0000-000000000000}"/>
  <bookViews>
    <workbookView xWindow="180" yWindow="660" windowWidth="32220" windowHeight="16940" activeTab="5" xr2:uid="{7509D382-F3F4-3C4B-9BA1-30D9E2F2C57E}"/>
  </bookViews>
  <sheets>
    <sheet name="EastFFA_Full_Exit" sheetId="1" r:id="rId1"/>
    <sheet name="NE Splitter Outputs" sheetId="2" r:id="rId2"/>
    <sheet name="R.56 Adjustments From Arc" sheetId="3" r:id="rId3"/>
    <sheet name="NE Spreader" sheetId="4" r:id="rId4"/>
    <sheet name="R.56 Adjustments Full" sheetId="6" r:id="rId5"/>
    <sheet name="Time Adjustment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7" l="1"/>
  <c r="K12" i="7"/>
  <c r="K10" i="7"/>
  <c r="K8" i="7"/>
  <c r="K6" i="7"/>
  <c r="D27" i="7"/>
  <c r="D26" i="7"/>
  <c r="E26" i="7" s="1"/>
  <c r="C19" i="7"/>
  <c r="E19" i="7"/>
  <c r="H19" i="7"/>
  <c r="B19" i="7"/>
  <c r="C18" i="7"/>
  <c r="E18" i="7"/>
  <c r="H18" i="7"/>
  <c r="B18" i="7"/>
  <c r="C17" i="7"/>
  <c r="E17" i="7"/>
  <c r="H17" i="7"/>
  <c r="B17" i="7"/>
  <c r="C16" i="7"/>
  <c r="E16" i="7"/>
  <c r="H16" i="7"/>
  <c r="B16" i="7"/>
  <c r="B27" i="7"/>
  <c r="B26" i="7"/>
  <c r="F5" i="6"/>
  <c r="F3" i="6"/>
  <c r="K4" i="6" s="1"/>
  <c r="D13" i="7"/>
  <c r="F13" i="7" s="1"/>
  <c r="D11" i="7"/>
  <c r="F11" i="7" s="1"/>
  <c r="D9" i="7"/>
  <c r="F9" i="7" s="1"/>
  <c r="D7" i="7"/>
  <c r="D5" i="7"/>
  <c r="F5" i="7" s="1"/>
  <c r="D3" i="7"/>
  <c r="F3" i="7" s="1"/>
  <c r="B20" i="6"/>
  <c r="B19" i="6"/>
  <c r="D5" i="6"/>
  <c r="D7" i="6"/>
  <c r="F7" i="6" s="1"/>
  <c r="D9" i="6"/>
  <c r="F9" i="6" s="1"/>
  <c r="K9" i="6" s="1"/>
  <c r="D11" i="6"/>
  <c r="F11" i="6" s="1"/>
  <c r="D13" i="6"/>
  <c r="D3" i="6"/>
  <c r="C3" i="4"/>
  <c r="C4" i="4"/>
  <c r="C5" i="4"/>
  <c r="C6" i="4"/>
  <c r="C7" i="4"/>
  <c r="C8" i="4"/>
  <c r="C9" i="4"/>
  <c r="C10" i="4"/>
  <c r="C11" i="4"/>
  <c r="C2" i="4"/>
  <c r="F5" i="3"/>
  <c r="E7" i="3"/>
  <c r="F7" i="3"/>
  <c r="E9" i="3"/>
  <c r="F9" i="3"/>
  <c r="E11" i="3"/>
  <c r="F11" i="3"/>
  <c r="E13" i="3"/>
  <c r="B3" i="3"/>
  <c r="F3" i="3" s="1"/>
  <c r="C3" i="3"/>
  <c r="C13" i="3"/>
  <c r="D13" i="3" s="1"/>
  <c r="C11" i="3"/>
  <c r="D11" i="3" s="1"/>
  <c r="C9" i="3"/>
  <c r="D9" i="3" s="1"/>
  <c r="C7" i="3"/>
  <c r="D7" i="3" s="1"/>
  <c r="C5" i="3"/>
  <c r="B13" i="3"/>
  <c r="F13" i="3" s="1"/>
  <c r="B11" i="3"/>
  <c r="B9" i="3"/>
  <c r="B7" i="3"/>
  <c r="B5" i="3"/>
  <c r="D5" i="3" s="1"/>
  <c r="K7" i="6" l="1"/>
  <c r="E5" i="3"/>
  <c r="J4" i="6"/>
  <c r="F13" i="6"/>
  <c r="K14" i="6" s="1"/>
  <c r="J9" i="6"/>
  <c r="I3" i="6"/>
  <c r="D3" i="3"/>
  <c r="I4" i="6"/>
  <c r="E3" i="3"/>
  <c r="I6" i="7"/>
  <c r="I10" i="7"/>
  <c r="I12" i="7"/>
  <c r="I14" i="7"/>
  <c r="I3" i="7"/>
  <c r="I13" i="7"/>
  <c r="I9" i="7"/>
  <c r="I11" i="7"/>
  <c r="I5" i="7"/>
  <c r="C20" i="7"/>
  <c r="E20" i="7"/>
  <c r="B20" i="7"/>
  <c r="D17" i="7"/>
  <c r="H20" i="7"/>
  <c r="D18" i="7"/>
  <c r="F7" i="7"/>
  <c r="D16" i="7"/>
  <c r="D19" i="7"/>
  <c r="K12" i="6"/>
  <c r="J3" i="6"/>
  <c r="L3" i="6" s="1"/>
  <c r="H3" i="6"/>
  <c r="H4" i="6"/>
  <c r="I9" i="6"/>
  <c r="I7" i="6"/>
  <c r="I8" i="6"/>
  <c r="J11" i="6"/>
  <c r="H14" i="6"/>
  <c r="K8" i="6"/>
  <c r="K10" i="6"/>
  <c r="I10" i="6"/>
  <c r="I12" i="6"/>
  <c r="I14" i="6"/>
  <c r="J12" i="6"/>
  <c r="J13" i="6"/>
  <c r="J14" i="6"/>
  <c r="H8" i="6"/>
  <c r="H11" i="6"/>
  <c r="L11" i="6" s="1"/>
  <c r="J8" i="6"/>
  <c r="H12" i="6"/>
  <c r="J10" i="6"/>
  <c r="J7" i="6"/>
  <c r="L7" i="6" s="1"/>
  <c r="H7" i="6"/>
  <c r="H13" i="6"/>
  <c r="L13" i="6" s="1"/>
  <c r="J5" i="6"/>
  <c r="L5" i="6" s="1"/>
  <c r="H6" i="6"/>
  <c r="I6" i="6"/>
  <c r="I5" i="6"/>
  <c r="J6" i="6"/>
  <c r="H5" i="6"/>
  <c r="K5" i="6"/>
  <c r="K6" i="6"/>
  <c r="K3" i="6"/>
  <c r="K11" i="6"/>
  <c r="K13" i="6"/>
  <c r="H9" i="6"/>
  <c r="L9" i="6" s="1"/>
  <c r="H10" i="6"/>
  <c r="I11" i="6"/>
  <c r="I13" i="6" l="1"/>
  <c r="I7" i="7"/>
  <c r="I17" i="7" s="1"/>
  <c r="I8" i="7"/>
  <c r="F18" i="7"/>
  <c r="F19" i="7"/>
  <c r="F16" i="7"/>
  <c r="D20" i="7"/>
  <c r="F17" i="7"/>
  <c r="I18" i="7" l="1"/>
  <c r="I19" i="7"/>
  <c r="I16" i="7"/>
  <c r="G13" i="7"/>
  <c r="G11" i="7"/>
  <c r="G9" i="7"/>
  <c r="G7" i="7"/>
  <c r="G5" i="7"/>
  <c r="G3" i="7"/>
  <c r="F20" i="7"/>
  <c r="I20" i="7" l="1"/>
  <c r="J11" i="7"/>
  <c r="K11" i="7" s="1"/>
  <c r="H28" i="7"/>
  <c r="J5" i="7"/>
  <c r="K5" i="7" s="1"/>
  <c r="J7" i="7"/>
  <c r="K7" i="7" s="1"/>
  <c r="J3" i="7"/>
  <c r="K3" i="7" s="1"/>
  <c r="J13" i="7"/>
  <c r="K13" i="7" s="1"/>
  <c r="J9" i="7"/>
  <c r="K9" i="7" s="1"/>
  <c r="J12" i="7"/>
  <c r="J8" i="7"/>
  <c r="J10" i="7"/>
  <c r="J6" i="7"/>
  <c r="J14" i="7"/>
  <c r="L5" i="7" l="1"/>
  <c r="M5" i="7" s="1"/>
  <c r="L7" i="7"/>
  <c r="M7" i="7" s="1"/>
  <c r="L9" i="7"/>
  <c r="M9" i="7" s="1"/>
  <c r="L11" i="7"/>
  <c r="M11" i="7" s="1"/>
  <c r="L13" i="7"/>
  <c r="M13" i="7" s="1"/>
  <c r="L3" i="7"/>
  <c r="H29" i="7"/>
  <c r="L10" i="7"/>
  <c r="L14" i="7"/>
  <c r="L6" i="7"/>
  <c r="L12" i="7"/>
  <c r="L8" i="7"/>
  <c r="M3" i="7" l="1"/>
  <c r="N3" i="7"/>
  <c r="O3" i="7" s="1"/>
  <c r="N5" i="7"/>
  <c r="O5" i="7" s="1"/>
  <c r="N7" i="7"/>
  <c r="O7" i="7" s="1"/>
  <c r="N11" i="7"/>
  <c r="O11" i="7" s="1"/>
  <c r="N9" i="7"/>
  <c r="O9" i="7" s="1"/>
  <c r="H30" i="7"/>
  <c r="N13" i="7"/>
  <c r="O13" i="7" s="1"/>
  <c r="N6" i="7"/>
  <c r="N14" i="7"/>
  <c r="N12" i="7"/>
  <c r="N10" i="7"/>
  <c r="N8" i="7"/>
  <c r="K4" i="7" l="1"/>
  <c r="H21" i="7"/>
  <c r="H23" i="7"/>
  <c r="H22" i="7"/>
  <c r="H24" i="7"/>
  <c r="I4" i="7"/>
  <c r="P4" i="7" s="1"/>
  <c r="P5" i="7"/>
  <c r="Q5" i="7" s="1"/>
  <c r="P7" i="7"/>
  <c r="Q7" i="7" s="1"/>
  <c r="P9" i="7"/>
  <c r="Q9" i="7" s="1"/>
  <c r="H31" i="7"/>
  <c r="P11" i="7"/>
  <c r="Q11" i="7" s="1"/>
  <c r="P13" i="7"/>
  <c r="Q13" i="7" s="1"/>
  <c r="P3" i="7"/>
  <c r="Q3" i="7" s="1"/>
  <c r="P14" i="7"/>
  <c r="P12" i="7"/>
  <c r="P10" i="7"/>
  <c r="P6" i="7"/>
  <c r="P8" i="7"/>
  <c r="I23" i="7" l="1"/>
  <c r="I22" i="7"/>
  <c r="I24" i="7"/>
  <c r="I21" i="7"/>
  <c r="J4" i="7"/>
  <c r="L4" i="7"/>
  <c r="N4" i="7"/>
  <c r="H25" i="7"/>
  <c r="R9" i="7"/>
  <c r="S9" i="7" s="1"/>
  <c r="R5" i="7"/>
  <c r="S5" i="7" s="1"/>
  <c r="R11" i="7"/>
  <c r="S11" i="7" s="1"/>
  <c r="R12" i="7"/>
  <c r="R13" i="7"/>
  <c r="S13" i="7" s="1"/>
  <c r="R3" i="7"/>
  <c r="S3" i="7" s="1"/>
  <c r="R7" i="7"/>
  <c r="S7" i="7" s="1"/>
  <c r="R6" i="7"/>
  <c r="R10" i="7"/>
  <c r="R8" i="7"/>
  <c r="R14" i="7"/>
  <c r="R4" i="7"/>
  <c r="I25" i="7" l="1"/>
</calcChain>
</file>

<file path=xl/sharedStrings.xml><?xml version="1.0" encoding="utf-8"?>
<sst xmlns="http://schemas.openxmlformats.org/spreadsheetml/2006/main" count="126" uniqueCount="55">
  <si>
    <t>Pass</t>
  </si>
  <si>
    <t>Value</t>
  </si>
  <si>
    <t>Parameter</t>
  </si>
  <si>
    <t>ref_time</t>
  </si>
  <si>
    <t>time</t>
  </si>
  <si>
    <t>r.56</t>
  </si>
  <si>
    <t> 7.8813423079157886E-07</t>
  </si>
  <si>
    <t> 3.1701891692116247E-07</t>
  </si>
  <si>
    <t>FFA Arc</t>
  </si>
  <si>
    <t>Splitter</t>
  </si>
  <si>
    <t>Difference in R.56 ABS(FFA) -  Splitter</t>
  </si>
  <si>
    <t>R.56</t>
  </si>
  <si>
    <t>Wavelength</t>
  </si>
  <si>
    <t>Frequency</t>
  </si>
  <si>
    <t>1 Wavelength Correction</t>
  </si>
  <si>
    <t>2 Wavelength Correction</t>
  </si>
  <si>
    <t>R.56 * 2</t>
  </si>
  <si>
    <t>Spreader</t>
  </si>
  <si>
    <t>Spreader + Recombiner (Estimate)</t>
  </si>
  <si>
    <t>Total Arc (Est)</t>
  </si>
  <si>
    <t>Exact Difference Adjustment</t>
  </si>
  <si>
    <t>1 + Wavelength Difference Adjustment</t>
  </si>
  <si>
    <t>2 + Wavelength Difference Adjustment</t>
  </si>
  <si>
    <t>3 + Wavelength Difference Adjustment</t>
  </si>
  <si>
    <t>1 degree</t>
  </si>
  <si>
    <t>5 degrees</t>
  </si>
  <si>
    <r>
      <t xml:space="preserve">Check Value (Using </t>
    </r>
    <r>
      <rPr>
        <b/>
        <u/>
        <sz val="12"/>
        <color rgb="FFFF0000"/>
        <rFont val="Calibri (Body)"/>
      </rPr>
      <t>RED</t>
    </r>
    <r>
      <rPr>
        <b/>
        <u/>
        <sz val="12"/>
        <color theme="1"/>
        <rFont val="Calibri"/>
        <family val="2"/>
        <scheme val="minor"/>
      </rPr>
      <t>)</t>
    </r>
  </si>
  <si>
    <t>Achieved</t>
  </si>
  <si>
    <t>Transition</t>
  </si>
  <si>
    <t>Average</t>
  </si>
  <si>
    <t>Std Dev</t>
  </si>
  <si>
    <t>Max</t>
  </si>
  <si>
    <t>Min</t>
  </si>
  <si>
    <t>Range</t>
  </si>
  <si>
    <t>Wavelength (m)</t>
  </si>
  <si>
    <t>Period (s)</t>
  </si>
  <si>
    <t>Frequency (MHz)</t>
  </si>
  <si>
    <t>in seconds:</t>
  </si>
  <si>
    <t>1 + Period Difference Adjustment</t>
  </si>
  <si>
    <t>2 + Period Difference Adjustment</t>
  </si>
  <si>
    <t>3 + Period Difference Adjustment</t>
  </si>
  <si>
    <t>Splitter Time</t>
  </si>
  <si>
    <t>Arc Difference from Mean</t>
  </si>
  <si>
    <t>Splitter + Arc</t>
  </si>
  <si>
    <t>S+A Difference from Mean</t>
  </si>
  <si>
    <t>Splitter + Difference</t>
  </si>
  <si>
    <t>Splitter + Arc Time Target</t>
  </si>
  <si>
    <t>Plus one period</t>
  </si>
  <si>
    <t>Plus two periods</t>
  </si>
  <si>
    <t>Plus three periods</t>
  </si>
  <si>
    <t>Exact Splitter Target</t>
  </si>
  <si>
    <t>1 Period Splitter Target</t>
  </si>
  <si>
    <t>2 Period Splitter Target</t>
  </si>
  <si>
    <t>3 Period Splitter Target</t>
  </si>
  <si>
    <t>0.25 Degrees in Seconds: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</si>
</sst>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00000000E+00"/>
    <numFmt numFmtId="165" formatCode="0.000000000000000E+00"/>
    <numFmt numFmtId="166" formatCode="0.0000000000000000E+00"/>
    <numFmt numFmtId="167" formatCode="0.0000000000000000000E+00"/>
    <numFmt numFmtId="168" formatCode="0.0000000000"/>
    <numFmt numFmtId="169" formatCode="0.0000000000000000"/>
    <numFmt numFmtId="170" formatCode="0.00000000000000000"/>
    <numFmt numFmtId="171" formatCode="0.000000000000000000"/>
    <numFmt numFmtId="172" formatCode="0.0000000000000000000"/>
  </numFmts>
  <fonts count="1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u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u/>
      <sz val="12"/>
      <color rgb="FFFF0000"/>
      <name val="Calibri (Body)"/>
    </font>
    <font>
      <b/>
      <sz val="12"/>
      <color rgb="FF002060"/>
      <name val="Calibri"/>
      <family val="2"/>
      <scheme val="minor"/>
    </font>
    <font>
      <sz val="12"/>
      <color rgb="FFFFC000"/>
      <name val="Calibri"/>
      <family val="2"/>
      <scheme val="minor"/>
    </font>
    <font>
      <sz val="10"/>
      <color theme="1"/>
      <name val="Var(--ff-mono)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1" fontId="3" fillId="0" borderId="0" xfId="0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7" fontId="4" fillId="0" borderId="0" xfId="0" applyNumberFormat="1" applyFont="1" applyAlignment="1">
      <alignment horizontal="center"/>
    </xf>
    <xf numFmtId="0" fontId="2" fillId="0" borderId="0" xfId="0" applyFont="1"/>
    <xf numFmtId="166" fontId="0" fillId="0" borderId="0" xfId="0" applyNumberFormat="1" applyAlignment="1">
      <alignment horizontal="right"/>
    </xf>
    <xf numFmtId="166" fontId="4" fillId="0" borderId="0" xfId="0" applyNumberFormat="1" applyFont="1" applyAlignment="1">
      <alignment horizontal="center"/>
    </xf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4" fillId="0" borderId="0" xfId="0" applyNumberFormat="1" applyFont="1" applyAlignment="1">
      <alignment horizontal="center"/>
    </xf>
    <xf numFmtId="165" fontId="2" fillId="0" borderId="0" xfId="0" applyNumberFormat="1" applyFont="1"/>
    <xf numFmtId="0" fontId="5" fillId="0" borderId="0" xfId="0" applyFont="1" applyAlignment="1">
      <alignment horizontal="center"/>
    </xf>
    <xf numFmtId="165" fontId="6" fillId="0" borderId="0" xfId="0" applyNumberFormat="1" applyFont="1"/>
    <xf numFmtId="168" fontId="0" fillId="0" borderId="0" xfId="0" applyNumberFormat="1" applyAlignment="1">
      <alignment horizontal="right"/>
    </xf>
    <xf numFmtId="0" fontId="4" fillId="0" borderId="0" xfId="0" applyFont="1" applyAlignment="1">
      <alignment horizontal="center" wrapText="1"/>
    </xf>
    <xf numFmtId="170" fontId="8" fillId="0" borderId="0" xfId="0" applyNumberFormat="1" applyFont="1"/>
    <xf numFmtId="169" fontId="10" fillId="0" borderId="0" xfId="0" applyNumberFormat="1" applyFont="1"/>
    <xf numFmtId="170" fontId="11" fillId="0" borderId="0" xfId="0" applyNumberFormat="1" applyFont="1"/>
    <xf numFmtId="0" fontId="11" fillId="0" borderId="0" xfId="0" applyFont="1"/>
    <xf numFmtId="0" fontId="2" fillId="2" borderId="0" xfId="0" applyFont="1" applyFill="1" applyAlignment="1">
      <alignment horizontal="center"/>
    </xf>
    <xf numFmtId="172" fontId="0" fillId="2" borderId="0" xfId="0" applyNumberFormat="1" applyFill="1"/>
    <xf numFmtId="171" fontId="0" fillId="2" borderId="0" xfId="0" applyNumberFormat="1" applyFill="1"/>
    <xf numFmtId="170" fontId="0" fillId="2" borderId="0" xfId="0" applyNumberFormat="1" applyFill="1"/>
    <xf numFmtId="170" fontId="8" fillId="2" borderId="0" xfId="0" applyNumberFormat="1" applyFont="1" applyFill="1"/>
    <xf numFmtId="169" fontId="7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169" fontId="0" fillId="2" borderId="0" xfId="0" applyNumberFormat="1" applyFill="1"/>
    <xf numFmtId="170" fontId="1" fillId="2" borderId="0" xfId="0" applyNumberFormat="1" applyFont="1" applyFill="1"/>
    <xf numFmtId="165" fontId="0" fillId="2" borderId="0" xfId="0" applyNumberFormat="1" applyFill="1"/>
    <xf numFmtId="165" fontId="8" fillId="2" borderId="0" xfId="0" applyNumberFormat="1" applyFont="1" applyFill="1"/>
    <xf numFmtId="165" fontId="10" fillId="2" borderId="0" xfId="0" applyNumberFormat="1" applyFont="1" applyFill="1"/>
    <xf numFmtId="165" fontId="7" fillId="0" borderId="0" xfId="0" applyNumberFormat="1" applyFont="1"/>
    <xf numFmtId="165" fontId="12" fillId="0" borderId="0" xfId="0" applyNumberFormat="1" applyFont="1"/>
  </cellXfs>
  <cellStyles count="1">
    <cellStyle name="Normal" xfId="0" builtinId="0"/>
  </cellStyles>
  <dxfs count="13"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</dxf>
    <dxf>
      <font>
        <color rgb="FF9C5700"/>
      </font>
      <fill>
        <patternFill>
          <bgColor rgb="FFFFEB9C"/>
        </patternFill>
      </fill>
    </dxf>
    <dxf>
      <font>
        <strike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FF0000"/>
      </font>
    </dxf>
    <dxf>
      <font>
        <color rgb="FFFFFF00"/>
      </font>
    </dxf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ToF Values from R56 Hand</a:t>
            </a:r>
            <a:r>
              <a:rPr lang="en-US" baseline="0"/>
              <a:t> Setting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('Time Adjustments'!$A$3,'Time Adjustments'!$A$5,'Time Adjustments'!$A$7,'Time Adjustments'!$A$9,'Time Adjustments'!$A$11,'Time Adjustments'!$A$13)</c:f>
              <c:numCache>
                <c:formatCode>General</c:formatCode>
                <c:ptCount val="6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</c:numCache>
            </c:numRef>
          </c:xVal>
          <c:yVal>
            <c:numRef>
              <c:f>('Time Adjustments'!$I$3,'Time Adjustments'!$I$5,'Time Adjustments'!$I$7,'Time Adjustments'!$I$9,'Time Adjustments'!$I$11,'Time Adjustments'!$I$13)</c:f>
              <c:numCache>
                <c:formatCode>0.000000000000000E+00</c:formatCode>
                <c:ptCount val="6"/>
                <c:pt idx="0">
                  <c:v>1.2141807774850242E-6</c:v>
                </c:pt>
                <c:pt idx="1">
                  <c:v>1.2147989962018795E-6</c:v>
                </c:pt>
                <c:pt idx="2">
                  <c:v>1.215188788351106E-6</c:v>
                </c:pt>
                <c:pt idx="3">
                  <c:v>1.2148894640071641E-6</c:v>
                </c:pt>
                <c:pt idx="4">
                  <c:v>1.2146608424424411E-6</c:v>
                </c:pt>
                <c:pt idx="5">
                  <c:v>1.2127041717345728E-6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3-2B48-8FC7-A2D238B99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195072"/>
        <c:axId val="926692992"/>
      </c:scatterChart>
      <c:valAx>
        <c:axId val="1398195072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92992"/>
        <c:crosses val="autoZero"/>
        <c:crossBetween val="midCat"/>
      </c:valAx>
      <c:valAx>
        <c:axId val="9266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ToF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9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ToF Values from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212374652102767E-2"/>
                  <c:y val="6.31302895869824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('Time Adjustments'!$A$3,'Time Adjustments'!$A$5,'Time Adjustments'!$A$7,'Time Adjustments'!$A$9,'Time Adjustments'!$A$11,'Time Adjustments'!$A$13)</c:f>
              <c:numCache>
                <c:formatCode>General</c:formatCode>
                <c:ptCount val="6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</c:numCache>
            </c:numRef>
          </c:xVal>
          <c:yVal>
            <c:numRef>
              <c:f>('Time Adjustments'!$I$4,'Time Adjustments'!$I$6,'Time Adjustments'!$I$8,'Time Adjustments'!$I$10,'Time Adjustments'!$I$12,'Time Adjustments'!$I$14)</c:f>
              <c:numCache>
                <c:formatCode>0.000000000000000E+00</c:formatCode>
                <c:ptCount val="6"/>
                <c:pt idx="0">
                  <c:v>1.2144038400370311E-6</c:v>
                </c:pt>
                <c:pt idx="1">
                  <c:v>1.2144038400370314E-6</c:v>
                </c:pt>
                <c:pt idx="2">
                  <c:v>1.2144038400370299E-6</c:v>
                </c:pt>
                <c:pt idx="3">
                  <c:v>1.2144038400370311E-6</c:v>
                </c:pt>
                <c:pt idx="4">
                  <c:v>1.2144038400370311E-6</c:v>
                </c:pt>
                <c:pt idx="5">
                  <c:v>1.2144038400370318E-6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1-4F44-AE39-F1C876EA9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195072"/>
        <c:axId val="926692992"/>
      </c:scatterChart>
      <c:valAx>
        <c:axId val="1398195072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92992"/>
        <c:crosses val="autoZero"/>
        <c:crossBetween val="midCat"/>
      </c:valAx>
      <c:valAx>
        <c:axId val="9266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ToF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9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16</xdr:row>
      <xdr:rowOff>19050</xdr:rowOff>
    </xdr:from>
    <xdr:to>
      <xdr:col>12</xdr:col>
      <xdr:colOff>1397000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86855-53FB-00D6-2EF9-821A871ED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1676400</xdr:colOff>
      <xdr:row>16</xdr:row>
      <xdr:rowOff>101600</xdr:rowOff>
    </xdr:from>
    <xdr:to>
      <xdr:col>17</xdr:col>
      <xdr:colOff>177800</xdr:colOff>
      <xdr:row>31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645FCA-3371-124E-917A-E9F74F406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795D-C59A-2941-AFB1-79DCBC5017E6}">
  <dimension ref="A1:C24"/>
  <sheetViews>
    <sheetView workbookViewId="0">
      <selection activeCell="C24" sqref="C24"/>
    </sheetView>
  </sheetViews>
  <sheetFormatPr baseColWidth="10" defaultRowHeight="16"/>
  <cols>
    <col min="1" max="1" width="10.83203125" style="6"/>
    <col min="3" max="3" width="29.83203125" style="5" bestFit="1" customWidth="1"/>
  </cols>
  <sheetData>
    <row r="1" spans="1:3" s="7" customFormat="1">
      <c r="A1" s="7" t="s">
        <v>0</v>
      </c>
      <c r="B1" s="7" t="s">
        <v>2</v>
      </c>
      <c r="C1" s="8" t="s">
        <v>1</v>
      </c>
    </row>
    <row r="2" spans="1:3">
      <c r="A2" s="6">
        <v>9</v>
      </c>
      <c r="B2" t="s">
        <v>3</v>
      </c>
      <c r="C2" s="5">
        <v>7.8813423079157801E-7</v>
      </c>
    </row>
    <row r="3" spans="1:3">
      <c r="B3" t="s">
        <v>4</v>
      </c>
      <c r="C3" s="5">
        <v>7.8788945312432101E-7</v>
      </c>
    </row>
    <row r="4" spans="1:3">
      <c r="B4" t="s">
        <v>5</v>
      </c>
      <c r="C4" s="5">
        <v>-5.3445928200177503E-3</v>
      </c>
    </row>
    <row r="6" spans="1:3">
      <c r="A6" s="6">
        <v>11</v>
      </c>
      <c r="B6" t="s">
        <v>3</v>
      </c>
      <c r="C6" s="5" t="s">
        <v>6</v>
      </c>
    </row>
    <row r="7" spans="1:3">
      <c r="B7" t="s">
        <v>4</v>
      </c>
      <c r="C7" s="5">
        <v>7.8790872020626902E-7</v>
      </c>
    </row>
    <row r="8" spans="1:3">
      <c r="B8" t="s">
        <v>5</v>
      </c>
      <c r="C8" s="5">
        <v>-9.6832447509122496E-2</v>
      </c>
    </row>
    <row r="10" spans="1:3">
      <c r="A10" s="6">
        <v>13</v>
      </c>
      <c r="B10" t="s">
        <v>3</v>
      </c>
      <c r="C10" s="5">
        <v>7.8813423079157801E-7</v>
      </c>
    </row>
    <row r="11" spans="1:3">
      <c r="B11" t="s">
        <v>4</v>
      </c>
      <c r="C11" s="5">
        <v>7.8795719398101498E-7</v>
      </c>
    </row>
    <row r="12" spans="1:3">
      <c r="B12" t="s">
        <v>5</v>
      </c>
      <c r="C12" s="5">
        <v>-0.16599003894639</v>
      </c>
    </row>
    <row r="14" spans="1:3">
      <c r="A14" s="6">
        <v>15</v>
      </c>
      <c r="B14" t="s">
        <v>3</v>
      </c>
      <c r="C14" s="5">
        <v>7.8813423079157801E-7</v>
      </c>
    </row>
    <row r="15" spans="1:3">
      <c r="B15" t="s">
        <v>4</v>
      </c>
      <c r="C15" s="5">
        <v>7.8802838476130396E-7</v>
      </c>
    </row>
    <row r="16" spans="1:3">
      <c r="B16" t="s">
        <v>5</v>
      </c>
      <c r="C16" s="5">
        <v>-0.22068822361262</v>
      </c>
    </row>
    <row r="18" spans="1:3">
      <c r="A18" s="6">
        <v>17</v>
      </c>
      <c r="B18" t="s">
        <v>3</v>
      </c>
      <c r="C18" s="5">
        <v>7.8813423079157801E-7</v>
      </c>
    </row>
    <row r="19" spans="1:3">
      <c r="B19" t="s">
        <v>4</v>
      </c>
      <c r="C19" s="5">
        <v>7.8811708111621E-7</v>
      </c>
    </row>
    <row r="20" spans="1:3">
      <c r="B20" t="s">
        <v>5</v>
      </c>
      <c r="C20" s="5">
        <v>-0.26493600932201899</v>
      </c>
    </row>
    <row r="22" spans="1:3">
      <c r="A22" s="6">
        <v>19</v>
      </c>
      <c r="B22" t="s">
        <v>3</v>
      </c>
      <c r="C22" s="5" t="s">
        <v>6</v>
      </c>
    </row>
    <row r="23" spans="1:3">
      <c r="B23" t="s">
        <v>4</v>
      </c>
      <c r="C23" s="5">
        <v>7.8821875468615501E-7</v>
      </c>
    </row>
    <row r="24" spans="1:3">
      <c r="B24" t="s">
        <v>5</v>
      </c>
      <c r="C24" s="5">
        <v>-0.29903471598016002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D5F2-2A9A-934D-8CD3-27A4B0E5D843}">
  <dimension ref="A1:C24"/>
  <sheetViews>
    <sheetView workbookViewId="0">
      <selection activeCell="C24" sqref="C24"/>
    </sheetView>
  </sheetViews>
  <sheetFormatPr baseColWidth="10" defaultRowHeight="16"/>
  <cols>
    <col min="1" max="1" width="10.83203125" style="6"/>
    <col min="3" max="3" width="27.83203125" style="10" bestFit="1" customWidth="1"/>
    <col min="4" max="4" width="25" customWidth="1"/>
  </cols>
  <sheetData>
    <row r="1" spans="1:3" s="7" customFormat="1">
      <c r="A1" s="7" t="s">
        <v>0</v>
      </c>
      <c r="B1" s="7" t="s">
        <v>2</v>
      </c>
      <c r="C1" s="11" t="s">
        <v>1</v>
      </c>
    </row>
    <row r="2" spans="1:3">
      <c r="A2" s="6">
        <v>9</v>
      </c>
      <c r="B2" t="s">
        <v>3</v>
      </c>
      <c r="C2" s="10">
        <v>3.1688422298947899E-7</v>
      </c>
    </row>
    <row r="3" spans="1:3">
      <c r="B3" t="s">
        <v>4</v>
      </c>
      <c r="C3" s="10">
        <v>3.17029732563436E-7</v>
      </c>
    </row>
    <row r="4" spans="1:3">
      <c r="B4" t="s">
        <v>5</v>
      </c>
      <c r="C4" s="10">
        <v>0.389353268417718</v>
      </c>
    </row>
    <row r="6" spans="1:3">
      <c r="A6" s="6">
        <v>11</v>
      </c>
      <c r="B6" t="s">
        <v>3</v>
      </c>
      <c r="C6" s="10">
        <v>3.16885890692747E-7</v>
      </c>
    </row>
    <row r="7" spans="1:3">
      <c r="B7" t="s">
        <v>4</v>
      </c>
      <c r="C7" s="10">
        <v>3.1697293645761402E-7</v>
      </c>
    </row>
    <row r="8" spans="1:3">
      <c r="B8" t="s">
        <v>5</v>
      </c>
      <c r="C8" s="10">
        <v>0.22884357061761901</v>
      </c>
    </row>
    <row r="10" spans="1:3">
      <c r="A10" s="6">
        <v>13</v>
      </c>
      <c r="B10" t="s">
        <v>3</v>
      </c>
      <c r="C10" s="10">
        <v>3.1688589062335399E-7</v>
      </c>
    </row>
    <row r="11" spans="1:3">
      <c r="B11" t="s">
        <v>4</v>
      </c>
      <c r="C11" s="10" t="s">
        <v>7</v>
      </c>
    </row>
    <row r="12" spans="1:3">
      <c r="B12" t="s">
        <v>5</v>
      </c>
      <c r="C12" s="10">
        <v>0.211129280904608</v>
      </c>
    </row>
    <row r="14" spans="1:3">
      <c r="A14" s="6">
        <v>15</v>
      </c>
      <c r="B14" t="s">
        <v>3</v>
      </c>
      <c r="C14" s="10">
        <v>3.16885890578909E-7</v>
      </c>
    </row>
    <row r="15" spans="1:3">
      <c r="B15" t="s">
        <v>4</v>
      </c>
      <c r="C15" s="10">
        <v>3.1700295414622898E-7</v>
      </c>
    </row>
    <row r="16" spans="1:3">
      <c r="B16" t="s">
        <v>5</v>
      </c>
      <c r="C16" s="10">
        <v>0.16462741999609101</v>
      </c>
    </row>
    <row r="18" spans="1:3">
      <c r="A18" s="6">
        <v>17</v>
      </c>
      <c r="B18" t="s">
        <v>3</v>
      </c>
      <c r="C18" s="10">
        <v>3.1721278336214899E-7</v>
      </c>
    </row>
    <row r="19" spans="1:3">
      <c r="B19" t="s">
        <v>4</v>
      </c>
      <c r="C19" s="10">
        <v>3.1733239613508599E-7</v>
      </c>
    </row>
    <row r="20" spans="1:3">
      <c r="B20" t="s">
        <v>5</v>
      </c>
      <c r="C20" s="10">
        <v>0.263299144687555</v>
      </c>
    </row>
    <row r="22" spans="1:3">
      <c r="A22" s="6">
        <v>19</v>
      </c>
      <c r="B22" t="s">
        <v>3</v>
      </c>
      <c r="C22" s="10">
        <v>3.16885890527332E-7</v>
      </c>
    </row>
    <row r="23" spans="1:3">
      <c r="B23" t="s">
        <v>4</v>
      </c>
      <c r="C23" s="10">
        <v>3.1697222300187202E-7</v>
      </c>
    </row>
    <row r="24" spans="1:3">
      <c r="B24" t="s">
        <v>5</v>
      </c>
      <c r="C24" s="10">
        <v>0.23698091464461599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0296-8854-524C-AB96-42041400B016}">
  <dimension ref="A1:F18"/>
  <sheetViews>
    <sheetView workbookViewId="0">
      <selection activeCell="F3" sqref="F3"/>
    </sheetView>
  </sheetViews>
  <sheetFormatPr baseColWidth="10" defaultRowHeight="16"/>
  <cols>
    <col min="1" max="1" width="10.83203125" style="6"/>
    <col min="2" max="2" width="27.5" style="10" bestFit="1" customWidth="1"/>
    <col min="3" max="3" width="27.83203125" style="10" bestFit="1" customWidth="1"/>
    <col min="4" max="4" width="32.6640625" bestFit="1" customWidth="1"/>
    <col min="5" max="6" width="23.33203125" bestFit="1" customWidth="1"/>
  </cols>
  <sheetData>
    <row r="1" spans="1:6" s="7" customFormat="1">
      <c r="A1" s="7" t="s">
        <v>0</v>
      </c>
      <c r="B1" s="11" t="s">
        <v>8</v>
      </c>
      <c r="C1" s="11" t="s">
        <v>9</v>
      </c>
      <c r="D1" s="7" t="s">
        <v>10</v>
      </c>
      <c r="E1" s="7" t="s">
        <v>14</v>
      </c>
      <c r="F1" s="7" t="s">
        <v>15</v>
      </c>
    </row>
    <row r="3" spans="1:6">
      <c r="A3" s="6">
        <v>9</v>
      </c>
      <c r="B3" s="10">
        <f>EastFFA_Full_Exit!C4</f>
        <v>-5.3445928200177503E-3</v>
      </c>
      <c r="C3" s="10">
        <f>'NE Splitter Outputs'!C4</f>
        <v>0.389353268417718</v>
      </c>
      <c r="D3" s="4">
        <f>ABS(B3)-(C3)</f>
        <v>-0.38400867559770024</v>
      </c>
      <c r="E3" s="4">
        <f>ABS(B3)-B18</f>
        <v>-0.19491757017998224</v>
      </c>
      <c r="F3" s="4">
        <f>ABS(B3)-(2*B18)</f>
        <v>-0.39517973317998223</v>
      </c>
    </row>
    <row r="4" spans="1:6">
      <c r="D4" s="4"/>
      <c r="E4" s="4"/>
      <c r="F4" s="4"/>
    </row>
    <row r="5" spans="1:6">
      <c r="A5" s="6">
        <v>11</v>
      </c>
      <c r="B5" s="10">
        <f>EastFFA_Full_Exit!C8</f>
        <v>-9.6832447509122496E-2</v>
      </c>
      <c r="C5" s="10">
        <f>'NE Splitter Outputs'!C8</f>
        <v>0.22884357061761901</v>
      </c>
      <c r="D5" s="4">
        <f t="shared" ref="D5:D13" si="0">ABS(B5)-(C5)</f>
        <v>-0.1320111231084965</v>
      </c>
      <c r="E5" s="4">
        <f t="shared" ref="E5:E13" si="1">ABS(B5)-B20</f>
        <v>9.6832447509122496E-2</v>
      </c>
      <c r="F5" s="4">
        <f t="shared" ref="F5:F13" si="2">ABS(B5)-(2*B20)</f>
        <v>9.6832447509122496E-2</v>
      </c>
    </row>
    <row r="6" spans="1:6">
      <c r="D6" s="4"/>
      <c r="E6" s="4"/>
      <c r="F6" s="4"/>
    </row>
    <row r="7" spans="1:6">
      <c r="A7" s="6">
        <v>13</v>
      </c>
      <c r="B7" s="10">
        <f>EastFFA_Full_Exit!C12</f>
        <v>-0.16599003894639</v>
      </c>
      <c r="C7" s="10">
        <f>'NE Splitter Outputs'!C12</f>
        <v>0.211129280904608</v>
      </c>
      <c r="D7" s="4">
        <f t="shared" si="0"/>
        <v>-4.5139241958218002E-2</v>
      </c>
      <c r="E7" s="4">
        <f t="shared" si="1"/>
        <v>0.16599003894639</v>
      </c>
      <c r="F7" s="4">
        <f t="shared" si="2"/>
        <v>0.16599003894639</v>
      </c>
    </row>
    <row r="8" spans="1:6">
      <c r="D8" s="4"/>
      <c r="E8" s="4"/>
      <c r="F8" s="4"/>
    </row>
    <row r="9" spans="1:6">
      <c r="A9" s="6">
        <v>15</v>
      </c>
      <c r="B9" s="10">
        <f>EastFFA_Full_Exit!C16</f>
        <v>-0.22068822361262</v>
      </c>
      <c r="C9" s="10">
        <f>'NE Splitter Outputs'!C16</f>
        <v>0.16462741999609101</v>
      </c>
      <c r="D9" s="4">
        <f t="shared" si="0"/>
        <v>5.6060803616528987E-2</v>
      </c>
      <c r="E9" s="4">
        <f t="shared" si="1"/>
        <v>0.22068822361262</v>
      </c>
      <c r="F9" s="4">
        <f t="shared" si="2"/>
        <v>0.22068822361262</v>
      </c>
    </row>
    <row r="10" spans="1:6">
      <c r="D10" s="4"/>
      <c r="E10" s="4"/>
      <c r="F10" s="4"/>
    </row>
    <row r="11" spans="1:6">
      <c r="A11" s="6">
        <v>17</v>
      </c>
      <c r="B11" s="10">
        <f>EastFFA_Full_Exit!C20</f>
        <v>-0.26493600932201899</v>
      </c>
      <c r="C11" s="10">
        <f>'NE Splitter Outputs'!C20</f>
        <v>0.263299144687555</v>
      </c>
      <c r="D11" s="4">
        <f t="shared" si="0"/>
        <v>1.636864634463997E-3</v>
      </c>
      <c r="E11" s="4">
        <f t="shared" si="1"/>
        <v>0.26493600932201899</v>
      </c>
      <c r="F11" s="4">
        <f t="shared" si="2"/>
        <v>0.26493600932201899</v>
      </c>
    </row>
    <row r="12" spans="1:6">
      <c r="D12" s="4"/>
      <c r="E12" s="4"/>
      <c r="F12" s="4"/>
    </row>
    <row r="13" spans="1:6">
      <c r="A13" s="6">
        <v>19</v>
      </c>
      <c r="B13" s="10">
        <f>EastFFA_Full_Exit!C24</f>
        <v>-0.29903471598016002</v>
      </c>
      <c r="C13" s="10">
        <f>'NE Splitter Outputs'!C24</f>
        <v>0.23698091464461599</v>
      </c>
      <c r="D13" s="4">
        <f t="shared" si="0"/>
        <v>6.2053801335544029E-2</v>
      </c>
      <c r="E13" s="4">
        <f t="shared" si="1"/>
        <v>0.29903471598016002</v>
      </c>
      <c r="F13" s="4">
        <f t="shared" si="2"/>
        <v>0.29903471598016002</v>
      </c>
    </row>
    <row r="17" spans="1:2">
      <c r="A17" s="6" t="s">
        <v>13</v>
      </c>
      <c r="B17" s="16">
        <v>1497</v>
      </c>
    </row>
    <row r="18" spans="1:2">
      <c r="A18" s="6" t="s">
        <v>12</v>
      </c>
      <c r="B18" s="10">
        <v>0.20026216299999999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F970-E4CE-F841-8DBA-3719E10FA54A}">
  <dimension ref="A1:C11"/>
  <sheetViews>
    <sheetView workbookViewId="0">
      <selection activeCell="F23" sqref="F23"/>
    </sheetView>
  </sheetViews>
  <sheetFormatPr baseColWidth="10" defaultRowHeight="16"/>
  <cols>
    <col min="1" max="1" width="10.83203125" style="6"/>
    <col min="2" max="2" width="26.83203125" style="3" bestFit="1" customWidth="1"/>
    <col min="3" max="3" width="22" bestFit="1" customWidth="1"/>
  </cols>
  <sheetData>
    <row r="1" spans="1:3" s="7" customFormat="1">
      <c r="A1" s="7" t="s">
        <v>0</v>
      </c>
      <c r="B1" s="18" t="s">
        <v>11</v>
      </c>
      <c r="C1" s="7" t="s">
        <v>16</v>
      </c>
    </row>
    <row r="2" spans="1:3">
      <c r="A2" s="6">
        <v>1</v>
      </c>
      <c r="B2" s="3">
        <v>0.63025666728718999</v>
      </c>
      <c r="C2" s="3">
        <f>B2*2</f>
        <v>1.26051333457438</v>
      </c>
    </row>
    <row r="3" spans="1:3">
      <c r="A3" s="6">
        <v>3</v>
      </c>
      <c r="B3" s="3">
        <v>0.22321659583528</v>
      </c>
      <c r="C3" s="3">
        <f t="shared" ref="C3:C11" si="0">B3*2</f>
        <v>0.44643319167056</v>
      </c>
    </row>
    <row r="4" spans="1:3">
      <c r="A4" s="6">
        <v>5</v>
      </c>
      <c r="B4" s="3">
        <v>0.10615094297239699</v>
      </c>
      <c r="C4" s="3">
        <f t="shared" si="0"/>
        <v>0.21230188594479399</v>
      </c>
    </row>
    <row r="5" spans="1:3">
      <c r="A5" s="6">
        <v>7</v>
      </c>
      <c r="B5" s="3">
        <v>3.3309982068094303E-2</v>
      </c>
      <c r="C5" s="3">
        <f t="shared" si="0"/>
        <v>6.6619964136188606E-2</v>
      </c>
    </row>
    <row r="6" spans="1:3">
      <c r="A6" s="20">
        <v>9</v>
      </c>
      <c r="B6" s="21">
        <v>3.8115420096993098E-2</v>
      </c>
      <c r="C6" s="21">
        <f t="shared" si="0"/>
        <v>7.6230840193986196E-2</v>
      </c>
    </row>
    <row r="7" spans="1:3">
      <c r="A7" s="20">
        <v>11</v>
      </c>
      <c r="B7" s="21">
        <v>2.6069446339218399E-2</v>
      </c>
      <c r="C7" s="21">
        <f t="shared" si="0"/>
        <v>5.2138892678436799E-2</v>
      </c>
    </row>
    <row r="8" spans="1:3">
      <c r="A8" s="20">
        <v>13</v>
      </c>
      <c r="B8" s="21">
        <v>1.89496272342227E-2</v>
      </c>
      <c r="C8" s="21">
        <f t="shared" si="0"/>
        <v>3.7899254468445401E-2</v>
      </c>
    </row>
    <row r="9" spans="1:3">
      <c r="A9" s="20">
        <v>15</v>
      </c>
      <c r="B9" s="21">
        <v>1.43940068557278E-2</v>
      </c>
      <c r="C9" s="21">
        <f t="shared" si="0"/>
        <v>2.87880137114556E-2</v>
      </c>
    </row>
    <row r="10" spans="1:3">
      <c r="A10" s="20">
        <v>17</v>
      </c>
      <c r="B10" s="21">
        <v>1.13039392735174E-2</v>
      </c>
      <c r="C10" s="21">
        <f t="shared" si="0"/>
        <v>2.2607878547034801E-2</v>
      </c>
    </row>
    <row r="11" spans="1:3">
      <c r="A11" s="20">
        <v>19</v>
      </c>
      <c r="B11" s="21">
        <v>9.1119779712415094E-3</v>
      </c>
      <c r="C11" s="21">
        <f t="shared" si="0"/>
        <v>1.8223955942483019E-2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F90D-55DB-AB43-8C96-44BF39DEF6E8}">
  <dimension ref="A1:L30"/>
  <sheetViews>
    <sheetView workbookViewId="0">
      <selection activeCell="H10" sqref="H10"/>
    </sheetView>
  </sheetViews>
  <sheetFormatPr baseColWidth="10" defaultRowHeight="16"/>
  <cols>
    <col min="1" max="1" width="10.83203125" style="6"/>
    <col min="2" max="2" width="28.83203125" bestFit="1" customWidth="1"/>
    <col min="3" max="3" width="25.6640625" bestFit="1" customWidth="1"/>
    <col min="4" max="5" width="20.83203125" customWidth="1"/>
    <col min="6" max="6" width="23.6640625" bestFit="1" customWidth="1"/>
    <col min="7" max="7" width="24" bestFit="1" customWidth="1"/>
    <col min="8" max="8" width="21.1640625" customWidth="1"/>
    <col min="9" max="9" width="23" customWidth="1"/>
    <col min="10" max="10" width="23.33203125" customWidth="1"/>
    <col min="11" max="11" width="23" customWidth="1"/>
    <col min="12" max="12" width="24.33203125" customWidth="1"/>
  </cols>
  <sheetData>
    <row r="1" spans="1:12" s="7" customFormat="1" ht="32" customHeight="1">
      <c r="A1" s="7" t="s">
        <v>0</v>
      </c>
      <c r="B1" s="7" t="s">
        <v>8</v>
      </c>
      <c r="C1" s="7" t="s">
        <v>17</v>
      </c>
      <c r="D1" s="23" t="s">
        <v>18</v>
      </c>
      <c r="E1" s="23" t="s">
        <v>28</v>
      </c>
      <c r="F1" s="7" t="s">
        <v>19</v>
      </c>
      <c r="G1" s="7" t="s">
        <v>9</v>
      </c>
      <c r="H1" s="23" t="s">
        <v>20</v>
      </c>
      <c r="I1" s="23" t="s">
        <v>21</v>
      </c>
      <c r="J1" s="23" t="s">
        <v>22</v>
      </c>
      <c r="K1" s="23" t="s">
        <v>23</v>
      </c>
      <c r="L1" s="23" t="s">
        <v>26</v>
      </c>
    </row>
    <row r="3" spans="1:12" s="35" customFormat="1">
      <c r="A3" s="28">
        <v>9</v>
      </c>
      <c r="B3" s="29">
        <v>-5.3445928200177503E-3</v>
      </c>
      <c r="C3" s="30">
        <v>3.8115420096993098E-2</v>
      </c>
      <c r="D3" s="31">
        <f>2*C3</f>
        <v>7.6230840193986196E-2</v>
      </c>
      <c r="E3" s="31">
        <v>0</v>
      </c>
      <c r="F3" s="32">
        <f>D3+B3+E3</f>
        <v>7.0886247373968453E-2</v>
      </c>
      <c r="G3" s="33">
        <v>0.389353268417718</v>
      </c>
      <c r="H3" s="31">
        <f>ABS($F$3)-G3</f>
        <v>-0.31846702104374958</v>
      </c>
      <c r="I3" s="31">
        <f>($F$3+$B$18)-G3</f>
        <v>-0.11820485804374958</v>
      </c>
      <c r="J3" s="34">
        <f>($F$3+(2*$B$18))-G3</f>
        <v>8.205730495625041E-2</v>
      </c>
      <c r="K3" s="35">
        <f>($F$3+(3*$B$18))-G3</f>
        <v>0.2823194679562504</v>
      </c>
      <c r="L3" s="36">
        <f>G3+J3</f>
        <v>0.47141057337396841</v>
      </c>
    </row>
    <row r="4" spans="1:12">
      <c r="A4" s="6" t="s">
        <v>27</v>
      </c>
      <c r="B4" s="15"/>
      <c r="C4" s="14"/>
      <c r="D4" s="13"/>
      <c r="E4" s="13"/>
      <c r="F4" s="24"/>
      <c r="G4" s="25">
        <v>0.47143329002154899</v>
      </c>
      <c r="H4" s="13">
        <f>ABS($F$3)-G4</f>
        <v>-0.40054704264758056</v>
      </c>
      <c r="I4" s="13">
        <f>($F$3+$B$18)-G4</f>
        <v>-0.20028487964758057</v>
      </c>
      <c r="J4" s="27">
        <f>($F$3+(2*$B$18))-G4</f>
        <v>-2.2716647580578453E-5</v>
      </c>
      <c r="K4">
        <f>($F$3+(3*$B$18))-G4</f>
        <v>0.20023944635241941</v>
      </c>
      <c r="L4" s="12"/>
    </row>
    <row r="5" spans="1:12" s="35" customFormat="1">
      <c r="A5" s="28">
        <v>11</v>
      </c>
      <c r="B5" s="29">
        <v>-9.6832447509122496E-2</v>
      </c>
      <c r="C5" s="30">
        <v>2.6069446339218399E-2</v>
      </c>
      <c r="D5" s="31">
        <f t="shared" ref="D5:D13" si="0">2*C5</f>
        <v>5.2138892678436799E-2</v>
      </c>
      <c r="E5" s="31">
        <v>0</v>
      </c>
      <c r="F5" s="32">
        <f>D5+B5+E5</f>
        <v>-4.4693554830685697E-2</v>
      </c>
      <c r="G5" s="33">
        <v>0.22884357061761901</v>
      </c>
      <c r="H5" s="31">
        <f>ABS($F$5)-G5</f>
        <v>-0.1841500157869333</v>
      </c>
      <c r="I5" s="31">
        <f>($F$5+$B$18)-G5</f>
        <v>-7.3274962448304726E-2</v>
      </c>
      <c r="J5" s="34">
        <f>($F$5+(2*$B$18))-G5</f>
        <v>0.12698720055169527</v>
      </c>
      <c r="K5" s="35">
        <f>($F$5+(3*$B$18))-G5</f>
        <v>0.32724936355169526</v>
      </c>
      <c r="L5" s="36">
        <f>J5+G5</f>
        <v>0.35583077116931427</v>
      </c>
    </row>
    <row r="6" spans="1:12">
      <c r="A6" s="6" t="s">
        <v>27</v>
      </c>
      <c r="B6" s="15"/>
      <c r="C6" s="14"/>
      <c r="D6" s="13"/>
      <c r="E6" s="13"/>
      <c r="F6" s="24"/>
      <c r="G6" s="25">
        <v>0.35574021592135202</v>
      </c>
      <c r="H6" s="13">
        <f>ABS($F$5)-G6</f>
        <v>-0.31104666109066631</v>
      </c>
      <c r="I6" s="13">
        <f>($F$5+$B$18)-G6</f>
        <v>-0.20017160775203774</v>
      </c>
      <c r="J6" s="27">
        <f>($F$5+(2*$B$18))-G6</f>
        <v>9.0555247962254004E-5</v>
      </c>
      <c r="K6">
        <f>($F$5+(3*$B$18))-G6</f>
        <v>0.20035271824796225</v>
      </c>
    </row>
    <row r="7" spans="1:12" s="35" customFormat="1">
      <c r="A7" s="28">
        <v>13</v>
      </c>
      <c r="B7" s="29">
        <v>-0.16599003894639</v>
      </c>
      <c r="C7" s="30">
        <v>1.89496272342227E-2</v>
      </c>
      <c r="D7" s="31">
        <f t="shared" si="0"/>
        <v>3.7899254468445401E-2</v>
      </c>
      <c r="E7" s="31">
        <v>0</v>
      </c>
      <c r="F7" s="32">
        <f>D7+B7+E7</f>
        <v>-0.12809078447794459</v>
      </c>
      <c r="G7" s="33">
        <v>0.211129280904608</v>
      </c>
      <c r="H7" s="31">
        <f>ABS($F$7)-G7</f>
        <v>-8.3038496426663416E-2</v>
      </c>
      <c r="I7" s="31">
        <f>($F$7+$B$18)-G7</f>
        <v>-0.13895790238255259</v>
      </c>
      <c r="J7" s="34">
        <f>($F$7+(2*$B$18))-G7</f>
        <v>6.1304260617447398E-2</v>
      </c>
      <c r="K7" s="35">
        <f>($F$7+(3*$B$18))-G7</f>
        <v>0.26156642361744742</v>
      </c>
      <c r="L7" s="36">
        <f>J7+G7</f>
        <v>0.2724335415220554</v>
      </c>
    </row>
    <row r="8" spans="1:12">
      <c r="A8" s="6" t="s">
        <v>27</v>
      </c>
      <c r="B8" s="15"/>
      <c r="C8" s="14"/>
      <c r="D8" s="13"/>
      <c r="E8" s="13"/>
      <c r="F8" s="24"/>
      <c r="G8" s="25">
        <v>0.27243220408624702</v>
      </c>
      <c r="H8" s="13">
        <f>ABS($F$7)-G8</f>
        <v>-0.14434141960830243</v>
      </c>
      <c r="I8" s="13">
        <f>($F$7+$B$18)-G8</f>
        <v>-0.20026082556419161</v>
      </c>
      <c r="J8" s="27">
        <f>($F$7+(2*$B$18))-G8</f>
        <v>1.3374358083795279E-6</v>
      </c>
      <c r="K8">
        <f>($F$7+(3*$B$18))-G8</f>
        <v>0.20026350043580837</v>
      </c>
      <c r="L8" s="13"/>
    </row>
    <row r="9" spans="1:12" s="35" customFormat="1">
      <c r="A9" s="28">
        <v>15</v>
      </c>
      <c r="B9" s="29">
        <v>-0.22068822361262</v>
      </c>
      <c r="C9" s="30">
        <v>1.43940068557278E-2</v>
      </c>
      <c r="D9" s="31">
        <f t="shared" si="0"/>
        <v>2.87880137114556E-2</v>
      </c>
      <c r="E9" s="31">
        <v>0</v>
      </c>
      <c r="F9" s="32">
        <f>D9+B9+E9</f>
        <v>-0.19190020990116441</v>
      </c>
      <c r="G9" s="33">
        <v>0.16462741999609101</v>
      </c>
      <c r="H9" s="37">
        <f>ABS($F$9)-G9</f>
        <v>2.7272789905073397E-2</v>
      </c>
      <c r="I9" s="31">
        <f>($F$9+$B$18)-G9</f>
        <v>-0.15626546689725543</v>
      </c>
      <c r="J9" s="35">
        <f>($F$9+(2*$B$18))-G9</f>
        <v>4.3996696102744565E-2</v>
      </c>
      <c r="K9" s="35">
        <f>($F$9+(3*$B$18))-G9</f>
        <v>0.24425885910274456</v>
      </c>
      <c r="L9" s="31">
        <f>H9+G9</f>
        <v>0.19190020990116441</v>
      </c>
    </row>
    <row r="10" spans="1:12">
      <c r="A10" s="6" t="s">
        <v>27</v>
      </c>
      <c r="B10" s="15"/>
      <c r="C10" s="14"/>
      <c r="D10" s="13"/>
      <c r="E10" s="13"/>
      <c r="F10" s="24"/>
      <c r="G10" s="25">
        <v>0.190956431997577</v>
      </c>
      <c r="H10" s="26">
        <f>ABS($F$9)-G10</f>
        <v>9.437779035874061E-4</v>
      </c>
      <c r="I10" s="13">
        <f>($F$9+$B$18)-G10</f>
        <v>-0.18259447889874142</v>
      </c>
      <c r="J10">
        <f>($F$9+(2*$B$18))-G10</f>
        <v>1.7667684101258574E-2</v>
      </c>
      <c r="K10">
        <f>($F$9+(3*$B$18))-G10</f>
        <v>0.21792984710125857</v>
      </c>
    </row>
    <row r="11" spans="1:12" s="35" customFormat="1">
      <c r="A11" s="28">
        <v>17</v>
      </c>
      <c r="B11" s="29">
        <v>-0.26493600932201899</v>
      </c>
      <c r="C11" s="30">
        <v>1.13039392735174E-2</v>
      </c>
      <c r="D11" s="31">
        <f t="shared" si="0"/>
        <v>2.2607878547034801E-2</v>
      </c>
      <c r="E11" s="31">
        <v>0</v>
      </c>
      <c r="F11" s="32">
        <f>D11+B11+E11</f>
        <v>-0.24232813077498419</v>
      </c>
      <c r="G11" s="33">
        <v>0.263299144687555</v>
      </c>
      <c r="H11" s="37">
        <f>ABS($F$11)-G11</f>
        <v>-2.0971013912570807E-2</v>
      </c>
      <c r="I11" s="31">
        <f>($F11+$B$18)-G11</f>
        <v>-0.30536511246253917</v>
      </c>
      <c r="J11" s="35">
        <f>($F$11+(2*$B$18))-G11</f>
        <v>-0.1051029494625392</v>
      </c>
      <c r="K11" s="35">
        <f>($F$11+(3*$B$18))-G11</f>
        <v>9.5159213537460818E-2</v>
      </c>
      <c r="L11" s="36">
        <f>H11+G11</f>
        <v>0.24232813077498419</v>
      </c>
    </row>
    <row r="12" spans="1:12">
      <c r="A12" s="6" t="s">
        <v>27</v>
      </c>
      <c r="B12" s="15"/>
      <c r="C12" s="14"/>
      <c r="D12" s="13"/>
      <c r="E12" s="13"/>
      <c r="F12" s="24"/>
      <c r="G12" s="25">
        <v>0.243160688149857</v>
      </c>
      <c r="H12" s="26">
        <f>ABS($F$11)-G12</f>
        <v>-8.3255737487281101E-4</v>
      </c>
      <c r="I12" s="13">
        <f>($F11+$B$18)-G12</f>
        <v>-0.2852266559248412</v>
      </c>
      <c r="J12">
        <f>($F$11+(2*$B$18))-G12</f>
        <v>-8.4964492924841206E-2</v>
      </c>
      <c r="K12">
        <f>($F$11+(3*$B$18))-G12</f>
        <v>0.11529767007515881</v>
      </c>
    </row>
    <row r="13" spans="1:12" s="35" customFormat="1">
      <c r="A13" s="28">
        <v>19</v>
      </c>
      <c r="B13" s="29">
        <v>-0.29903471598016002</v>
      </c>
      <c r="C13" s="30">
        <v>9.1119779712415094E-3</v>
      </c>
      <c r="D13" s="31">
        <f t="shared" si="0"/>
        <v>1.8223955942483019E-2</v>
      </c>
      <c r="E13" s="31">
        <v>0</v>
      </c>
      <c r="F13" s="32">
        <f>D13+B13+E13</f>
        <v>-0.28081076003767702</v>
      </c>
      <c r="G13" s="33">
        <v>0.23698091464461599</v>
      </c>
      <c r="H13" s="37">
        <f>ABS($F$13)-G13</f>
        <v>4.3829845393061034E-2</v>
      </c>
      <c r="I13" s="31">
        <f>($F13+$B$18)-G13</f>
        <v>-0.31752951168229304</v>
      </c>
      <c r="J13" s="35">
        <f>($F$13+(2*$B$18))-G13</f>
        <v>-0.11726734868229302</v>
      </c>
      <c r="K13" s="35">
        <f>($F$13+(3*$B$18))-G13</f>
        <v>8.2994814317706972E-2</v>
      </c>
      <c r="L13" s="31">
        <f>H13+G13</f>
        <v>0.28081076003767702</v>
      </c>
    </row>
    <row r="14" spans="1:12">
      <c r="A14" s="6" t="s">
        <v>27</v>
      </c>
      <c r="G14" s="25">
        <v>0.28088867458713002</v>
      </c>
      <c r="H14" s="26">
        <f>ABS($F$13)-G14</f>
        <v>-7.7914549452995363E-5</v>
      </c>
      <c r="I14" s="13">
        <f>($F13+$B$18)-G14</f>
        <v>-0.36143727162480704</v>
      </c>
      <c r="J14">
        <f>($F$13+(2*$B$18))-G14</f>
        <v>-0.16117510862480705</v>
      </c>
      <c r="K14">
        <f>($F$13+(3*$B$18))-G14</f>
        <v>3.9087054375192942E-2</v>
      </c>
    </row>
    <row r="15" spans="1:12">
      <c r="C15" s="15"/>
    </row>
    <row r="17" spans="1:8">
      <c r="A17" s="6" t="s">
        <v>13</v>
      </c>
      <c r="B17" s="16">
        <v>1497</v>
      </c>
    </row>
    <row r="18" spans="1:8">
      <c r="A18" s="6" t="s">
        <v>12</v>
      </c>
      <c r="B18" s="22">
        <v>0.20026216299999999</v>
      </c>
    </row>
    <row r="19" spans="1:8">
      <c r="A19" s="6" t="s">
        <v>24</v>
      </c>
      <c r="B19">
        <f>B18/360</f>
        <v>5.5628378611111107E-4</v>
      </c>
    </row>
    <row r="20" spans="1:8">
      <c r="A20" s="6" t="s">
        <v>25</v>
      </c>
      <c r="B20">
        <f>B18/(360/5)</f>
        <v>2.7814189305555553E-3</v>
      </c>
    </row>
    <row r="23" spans="1:8">
      <c r="C23" s="13"/>
      <c r="H23" s="13"/>
    </row>
    <row r="24" spans="1:8">
      <c r="C24" s="13"/>
      <c r="D24" s="13"/>
      <c r="E24" s="13"/>
      <c r="F24" s="13"/>
    </row>
    <row r="25" spans="1:8">
      <c r="C25" s="13"/>
    </row>
    <row r="30" spans="1:8">
      <c r="B3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BEAA-84CB-544A-952A-B6ED824E0AD6}">
  <dimension ref="A1:U31"/>
  <sheetViews>
    <sheetView tabSelected="1" workbookViewId="0">
      <selection activeCell="E30" sqref="E30"/>
    </sheetView>
  </sheetViews>
  <sheetFormatPr baseColWidth="10" defaultRowHeight="16"/>
  <cols>
    <col min="1" max="1" width="18.6640625" customWidth="1"/>
    <col min="2" max="2" width="23.6640625" bestFit="1" customWidth="1"/>
    <col min="3" max="4" width="22.6640625" bestFit="1" customWidth="1"/>
    <col min="5" max="5" width="22.6640625" customWidth="1"/>
    <col min="6" max="6" width="22.6640625" bestFit="1" customWidth="1"/>
    <col min="7" max="7" width="22.6640625" customWidth="1"/>
    <col min="8" max="8" width="22.6640625" bestFit="1" customWidth="1"/>
    <col min="9" max="11" width="22.6640625" customWidth="1"/>
    <col min="12" max="12" width="22.33203125" bestFit="1" customWidth="1"/>
    <col min="13" max="13" width="22.33203125" customWidth="1"/>
    <col min="14" max="14" width="21.6640625" bestFit="1" customWidth="1"/>
    <col min="15" max="15" width="21.6640625" customWidth="1"/>
    <col min="16" max="16" width="21.6640625" bestFit="1" customWidth="1"/>
    <col min="17" max="17" width="21.6640625" customWidth="1"/>
    <col min="18" max="18" width="21.6640625" bestFit="1" customWidth="1"/>
    <col min="19" max="20" width="21.6640625" customWidth="1"/>
    <col min="21" max="21" width="15.83203125" customWidth="1"/>
  </cols>
  <sheetData>
    <row r="1" spans="1:21" ht="34">
      <c r="A1" s="7" t="s">
        <v>0</v>
      </c>
      <c r="B1" s="7" t="s">
        <v>8</v>
      </c>
      <c r="C1" s="7" t="s">
        <v>17</v>
      </c>
      <c r="D1" s="23" t="s">
        <v>18</v>
      </c>
      <c r="E1" s="23" t="s">
        <v>28</v>
      </c>
      <c r="F1" s="7" t="s">
        <v>19</v>
      </c>
      <c r="G1" s="7" t="s">
        <v>42</v>
      </c>
      <c r="H1" s="7" t="s">
        <v>41</v>
      </c>
      <c r="I1" s="7" t="s">
        <v>43</v>
      </c>
      <c r="J1" s="23" t="s">
        <v>44</v>
      </c>
      <c r="K1" s="23" t="s">
        <v>45</v>
      </c>
      <c r="L1" s="23" t="s">
        <v>20</v>
      </c>
      <c r="M1" s="23" t="s">
        <v>50</v>
      </c>
      <c r="N1" s="23" t="s">
        <v>38</v>
      </c>
      <c r="O1" s="23" t="s">
        <v>51</v>
      </c>
      <c r="P1" s="23" t="s">
        <v>39</v>
      </c>
      <c r="Q1" s="23" t="s">
        <v>52</v>
      </c>
      <c r="R1" s="23" t="s">
        <v>40</v>
      </c>
      <c r="S1" s="23" t="s">
        <v>53</v>
      </c>
      <c r="T1" s="23"/>
      <c r="U1" s="23" t="s">
        <v>26</v>
      </c>
    </row>
    <row r="2" spans="1:21">
      <c r="A2" s="6"/>
    </row>
    <row r="3" spans="1:21">
      <c r="A3" s="28">
        <v>9</v>
      </c>
      <c r="B3" s="38">
        <v>7.8788945312432101E-7</v>
      </c>
      <c r="C3" s="38">
        <v>5.4684168249999097E-8</v>
      </c>
      <c r="D3" s="38">
        <f>2*C3</f>
        <v>1.0936833649999819E-7</v>
      </c>
      <c r="E3" s="38">
        <v>0</v>
      </c>
      <c r="F3" s="39">
        <f>D3+B3+E3</f>
        <v>8.9725778962431924E-7</v>
      </c>
      <c r="G3" s="39">
        <f>F16-F3</f>
        <v>1.0543752025243744E-10</v>
      </c>
      <c r="H3" s="40">
        <v>3.16922987860705E-7</v>
      </c>
      <c r="I3" s="40">
        <f>H3+F3</f>
        <v>1.2141807774850242E-6</v>
      </c>
      <c r="J3" s="40">
        <f>I16-I3</f>
        <v>2.2306255200716434E-10</v>
      </c>
      <c r="K3" s="40">
        <f>H3+J3</f>
        <v>3.1714605041271217E-7</v>
      </c>
      <c r="L3" s="19">
        <f>$H$28-I3</f>
        <v>2.2306255200716434E-10</v>
      </c>
      <c r="M3" s="19">
        <f>H3+L3</f>
        <v>3.1714605041271217E-7</v>
      </c>
      <c r="N3" s="19">
        <f>$H$29-I3</f>
        <v>8.9106522401792902E-10</v>
      </c>
      <c r="O3" s="19">
        <f>H3+N3</f>
        <v>3.1781405308472293E-7</v>
      </c>
      <c r="P3" s="19">
        <f>$H$30-I3</f>
        <v>1.5590678960286937E-9</v>
      </c>
      <c r="Q3" s="19">
        <f>H3+P3</f>
        <v>3.184820557567337E-7</v>
      </c>
      <c r="R3" s="19">
        <f>$H$31-K3</f>
        <v>8.9926179764035143E-7</v>
      </c>
      <c r="S3" s="19">
        <f>H3+R3</f>
        <v>1.2161847855010565E-6</v>
      </c>
      <c r="T3" s="42"/>
    </row>
    <row r="4" spans="1:21">
      <c r="A4" s="6" t="s">
        <v>27</v>
      </c>
      <c r="B4" s="15"/>
      <c r="C4" s="14"/>
      <c r="D4" s="13"/>
      <c r="E4" s="13"/>
      <c r="F4" s="24"/>
      <c r="G4" s="24"/>
      <c r="H4" s="41">
        <v>3.1714605041271201E-7</v>
      </c>
      <c r="I4" s="41">
        <f>H4+F3</f>
        <v>1.2144038400370311E-6</v>
      </c>
      <c r="J4" s="41">
        <f>I16-I4</f>
        <v>0</v>
      </c>
      <c r="K4" s="41">
        <f>H3-H4</f>
        <v>-2.2306255200700552E-10</v>
      </c>
      <c r="L4" s="3">
        <f t="shared" ref="L4:L14" si="0">$H$28-I4</f>
        <v>0</v>
      </c>
      <c r="M4" s="19"/>
      <c r="N4" s="3">
        <f t="shared" ref="N4:N14" si="1">$H$29-I4</f>
        <v>6.6800267201097644E-10</v>
      </c>
      <c r="O4" s="19"/>
      <c r="P4" s="3">
        <f t="shared" ref="P4:P14" si="2">$H$30-I4</f>
        <v>1.3360053440217411E-9</v>
      </c>
      <c r="Q4" s="19"/>
      <c r="R4" s="3">
        <f t="shared" ref="R4:R14" si="3">$H$31-K4</f>
        <v>1.2166309106050706E-6</v>
      </c>
      <c r="S4" s="19"/>
      <c r="T4" s="42"/>
    </row>
    <row r="5" spans="1:21">
      <c r="A5" s="28">
        <v>11</v>
      </c>
      <c r="B5" s="38">
        <v>7.8790872020626902E-7</v>
      </c>
      <c r="C5" s="38">
        <v>5.4675999172751697E-8</v>
      </c>
      <c r="D5" s="38">
        <f t="shared" ref="D5:D13" si="4">2*C5</f>
        <v>1.0935199834550339E-7</v>
      </c>
      <c r="E5" s="38">
        <v>0</v>
      </c>
      <c r="F5" s="39">
        <f>D5+B5+E5</f>
        <v>8.9726071855177239E-7</v>
      </c>
      <c r="G5" s="39">
        <f>F16-F5</f>
        <v>1.0250859279929005E-10</v>
      </c>
      <c r="H5" s="40">
        <v>3.1753827765010702E-7</v>
      </c>
      <c r="I5" s="40">
        <f>H5+F5</f>
        <v>1.2147989962018795E-6</v>
      </c>
      <c r="J5" s="40">
        <f>I16-I5</f>
        <v>-3.9515616484810429E-10</v>
      </c>
      <c r="K5" s="40">
        <f>H5+J5</f>
        <v>3.1714312148525891E-7</v>
      </c>
      <c r="L5" s="19">
        <f t="shared" si="0"/>
        <v>-3.9515616484810429E-10</v>
      </c>
      <c r="M5" s="19">
        <f t="shared" ref="M5:M13" si="5">H5+L5</f>
        <v>3.1714312148525891E-7</v>
      </c>
      <c r="N5" s="19">
        <f t="shared" si="1"/>
        <v>2.7284650716266039E-10</v>
      </c>
      <c r="O5" s="19">
        <f t="shared" ref="O5:O13" si="6">H5+N5</f>
        <v>3.1781112415726968E-7</v>
      </c>
      <c r="P5" s="19">
        <f t="shared" si="2"/>
        <v>9.4084917917342507E-10</v>
      </c>
      <c r="Q5" s="19">
        <f t="shared" ref="Q5:Q13" si="7">H5+P5</f>
        <v>3.1847912682928044E-7</v>
      </c>
      <c r="R5" s="19">
        <f t="shared" si="3"/>
        <v>8.9926472656780468E-7</v>
      </c>
      <c r="S5" s="19">
        <f t="shared" ref="S5:S13" si="8">H5+R5</f>
        <v>1.2168030042179118E-6</v>
      </c>
      <c r="T5" s="42"/>
    </row>
    <row r="6" spans="1:21">
      <c r="A6" s="6" t="s">
        <v>27</v>
      </c>
      <c r="B6" s="15"/>
      <c r="C6" s="14"/>
      <c r="D6" s="13"/>
      <c r="E6" s="13"/>
      <c r="F6" s="24"/>
      <c r="G6" s="24"/>
      <c r="H6" s="41">
        <v>3.1714312148525902E-7</v>
      </c>
      <c r="I6" s="41">
        <f>H6+F5</f>
        <v>1.2144038400370314E-6</v>
      </c>
      <c r="J6" s="41">
        <f>I16-I6</f>
        <v>0</v>
      </c>
      <c r="K6" s="41">
        <f>H5-H6</f>
        <v>3.9515616484799841E-10</v>
      </c>
      <c r="L6" s="3">
        <f t="shared" si="0"/>
        <v>0</v>
      </c>
      <c r="M6" s="19"/>
      <c r="N6" s="3">
        <f t="shared" si="1"/>
        <v>6.6800267201076468E-10</v>
      </c>
      <c r="O6" s="19"/>
      <c r="P6" s="3">
        <f t="shared" si="2"/>
        <v>1.3360053440215294E-9</v>
      </c>
      <c r="Q6" s="19"/>
      <c r="R6" s="3">
        <f t="shared" si="3"/>
        <v>1.2160126918882155E-6</v>
      </c>
      <c r="S6" s="19"/>
      <c r="T6" s="42"/>
    </row>
    <row r="7" spans="1:21">
      <c r="A7" s="28">
        <v>13</v>
      </c>
      <c r="B7" s="38">
        <v>7.8795719398101498E-7</v>
      </c>
      <c r="C7" s="38">
        <v>5.4671168987149502E-8</v>
      </c>
      <c r="D7" s="38">
        <f t="shared" si="4"/>
        <v>1.09342337974299E-7</v>
      </c>
      <c r="E7" s="38">
        <v>0</v>
      </c>
      <c r="F7" s="39">
        <f>D7+B7+E7</f>
        <v>8.97299531955314E-7</v>
      </c>
      <c r="G7" s="39">
        <f>F16-F7</f>
        <v>6.3695189257678579E-11</v>
      </c>
      <c r="H7" s="40">
        <v>3.1788925639579202E-7</v>
      </c>
      <c r="I7" s="40">
        <f>H7+F7</f>
        <v>1.215188788351106E-6</v>
      </c>
      <c r="J7" s="40">
        <f>I16-I7</f>
        <v>-7.8494831407461558E-10</v>
      </c>
      <c r="K7" s="40">
        <f>H7+J7</f>
        <v>3.1710430808171741E-7</v>
      </c>
      <c r="L7" s="19">
        <f t="shared" si="0"/>
        <v>-7.8494831407461558E-10</v>
      </c>
      <c r="M7" s="19">
        <f t="shared" si="5"/>
        <v>3.1710430808171741E-7</v>
      </c>
      <c r="N7" s="19">
        <f t="shared" si="1"/>
        <v>-1.169456420638509E-10</v>
      </c>
      <c r="O7" s="19">
        <f t="shared" si="6"/>
        <v>3.1777231075372817E-7</v>
      </c>
      <c r="P7" s="19">
        <f t="shared" si="2"/>
        <v>5.5105702994691378E-10</v>
      </c>
      <c r="Q7" s="19">
        <f t="shared" si="7"/>
        <v>3.1844031342573894E-7</v>
      </c>
      <c r="R7" s="19">
        <f t="shared" si="3"/>
        <v>8.9930353997134629E-7</v>
      </c>
      <c r="S7" s="19">
        <f t="shared" si="8"/>
        <v>1.2171927963671383E-6</v>
      </c>
      <c r="T7" s="42"/>
    </row>
    <row r="8" spans="1:21">
      <c r="A8" s="6" t="s">
        <v>27</v>
      </c>
      <c r="B8" s="15"/>
      <c r="C8" s="14"/>
      <c r="D8" s="13"/>
      <c r="E8" s="13"/>
      <c r="F8" s="24"/>
      <c r="G8" s="24"/>
      <c r="H8" s="41">
        <v>3.1710430808171598E-7</v>
      </c>
      <c r="I8" s="41">
        <f>H8+F7</f>
        <v>1.2144038400370299E-6</v>
      </c>
      <c r="J8" s="41">
        <f>I16-I8</f>
        <v>0</v>
      </c>
      <c r="K8" s="41">
        <f>H7-H8</f>
        <v>7.8494831407604495E-10</v>
      </c>
      <c r="L8" s="3">
        <f t="shared" si="0"/>
        <v>0</v>
      </c>
      <c r="M8" s="19"/>
      <c r="N8" s="3">
        <f t="shared" si="1"/>
        <v>6.6800267201224699E-10</v>
      </c>
      <c r="O8" s="19"/>
      <c r="P8" s="3">
        <f t="shared" si="2"/>
        <v>1.3360053440230117E-9</v>
      </c>
      <c r="Q8" s="19"/>
      <c r="R8" s="3">
        <f t="shared" si="3"/>
        <v>1.2156228997389876E-6</v>
      </c>
      <c r="S8" s="19"/>
      <c r="T8" s="42"/>
    </row>
    <row r="9" spans="1:21">
      <c r="A9" s="28">
        <v>15</v>
      </c>
      <c r="B9" s="38">
        <v>7.8802838476130396E-7</v>
      </c>
      <c r="C9" s="38">
        <v>5.4668077692653601E-8</v>
      </c>
      <c r="D9" s="38">
        <f t="shared" si="4"/>
        <v>1.093361553853072E-7</v>
      </c>
      <c r="E9" s="38">
        <v>0</v>
      </c>
      <c r="F9" s="39">
        <f>D9+B9+E9</f>
        <v>8.9736454014661112E-7</v>
      </c>
      <c r="G9" s="39">
        <f>F16-F9</f>
        <v>-1.3130020394419177E-12</v>
      </c>
      <c r="H9" s="40">
        <v>3.1752492386055299E-7</v>
      </c>
      <c r="I9" s="40">
        <f>H9+F9</f>
        <v>1.2148894640071641E-6</v>
      </c>
      <c r="J9" s="40">
        <f>I16-I9</f>
        <v>-4.8562397013275249E-10</v>
      </c>
      <c r="K9" s="40">
        <f>H9+J9</f>
        <v>3.1703929989042023E-7</v>
      </c>
      <c r="L9" s="19">
        <f t="shared" si="0"/>
        <v>-4.8562397013275249E-10</v>
      </c>
      <c r="M9" s="19">
        <f t="shared" si="5"/>
        <v>3.1703929989042023E-7</v>
      </c>
      <c r="N9" s="19">
        <f t="shared" si="1"/>
        <v>1.8237870187801219E-10</v>
      </c>
      <c r="O9" s="19">
        <f t="shared" si="6"/>
        <v>3.17707302562431E-7</v>
      </c>
      <c r="P9" s="19">
        <f t="shared" si="2"/>
        <v>8.5038137388877687E-10</v>
      </c>
      <c r="Q9" s="19">
        <f t="shared" si="7"/>
        <v>3.1837530523444176E-7</v>
      </c>
      <c r="R9" s="19">
        <f t="shared" si="3"/>
        <v>8.9936854816264341E-7</v>
      </c>
      <c r="S9" s="19">
        <f t="shared" si="8"/>
        <v>1.2168934720231964E-6</v>
      </c>
      <c r="T9" s="42"/>
    </row>
    <row r="10" spans="1:21">
      <c r="A10" s="6" t="s">
        <v>27</v>
      </c>
      <c r="B10" s="15"/>
      <c r="C10" s="14"/>
      <c r="D10" s="13"/>
      <c r="E10" s="13"/>
      <c r="F10" s="24"/>
      <c r="G10" s="24"/>
      <c r="H10" s="41">
        <v>3.1703929989042002E-7</v>
      </c>
      <c r="I10" s="41">
        <f>H10+F9</f>
        <v>1.2144038400370311E-6</v>
      </c>
      <c r="J10" s="41">
        <f>I16-I10</f>
        <v>0</v>
      </c>
      <c r="K10" s="41">
        <f>H9-H10</f>
        <v>4.8562397013296425E-10</v>
      </c>
      <c r="L10" s="3">
        <f t="shared" si="0"/>
        <v>0</v>
      </c>
      <c r="M10" s="19"/>
      <c r="N10" s="3">
        <f t="shared" si="1"/>
        <v>6.6800267201097644E-10</v>
      </c>
      <c r="O10" s="19"/>
      <c r="P10" s="3">
        <f t="shared" si="2"/>
        <v>1.3360053440217411E-9</v>
      </c>
      <c r="Q10" s="19"/>
      <c r="R10" s="3">
        <f t="shared" si="3"/>
        <v>1.2159222240829307E-6</v>
      </c>
      <c r="S10" s="19"/>
      <c r="T10" s="42"/>
    </row>
    <row r="11" spans="1:21">
      <c r="A11" s="28">
        <v>17</v>
      </c>
      <c r="B11" s="38">
        <v>7.8811708111621E-7</v>
      </c>
      <c r="C11" s="38">
        <v>5.4665980572028601E-8</v>
      </c>
      <c r="D11" s="38">
        <f t="shared" si="4"/>
        <v>1.093319611440572E-7</v>
      </c>
      <c r="E11" s="38">
        <v>0</v>
      </c>
      <c r="F11" s="39">
        <f>D11+B11+E11</f>
        <v>8.9744904226026718E-7</v>
      </c>
      <c r="G11" s="39">
        <f>F16-F11</f>
        <v>-8.5815115695497878E-11</v>
      </c>
      <c r="H11" s="40">
        <v>3.1721180018217401E-7</v>
      </c>
      <c r="I11" s="40">
        <f>H11+F11</f>
        <v>1.2146608424424411E-6</v>
      </c>
      <c r="J11" s="40">
        <f>I16-I11</f>
        <v>-2.5700240540977546E-10</v>
      </c>
      <c r="K11" s="40">
        <f>H11+J11</f>
        <v>3.1695479777676423E-7</v>
      </c>
      <c r="L11" s="19">
        <f t="shared" si="0"/>
        <v>-2.5700240540977546E-10</v>
      </c>
      <c r="M11" s="19">
        <f t="shared" si="5"/>
        <v>3.1695479777676423E-7</v>
      </c>
      <c r="N11" s="19">
        <f t="shared" si="1"/>
        <v>4.1100026660098923E-10</v>
      </c>
      <c r="O11" s="19">
        <f t="shared" si="6"/>
        <v>3.17622800448775E-7</v>
      </c>
      <c r="P11" s="19">
        <f t="shared" si="2"/>
        <v>1.0790029386117539E-9</v>
      </c>
      <c r="Q11" s="19">
        <f t="shared" si="7"/>
        <v>3.1829080312078576E-7</v>
      </c>
      <c r="R11" s="19">
        <f t="shared" si="3"/>
        <v>8.9945305027629936E-7</v>
      </c>
      <c r="S11" s="19">
        <f t="shared" si="8"/>
        <v>1.2166648504584734E-6</v>
      </c>
      <c r="T11" s="42"/>
    </row>
    <row r="12" spans="1:21">
      <c r="A12" s="6" t="s">
        <v>27</v>
      </c>
      <c r="B12" s="15"/>
      <c r="C12" s="14"/>
      <c r="D12" s="13"/>
      <c r="E12" s="13"/>
      <c r="F12" s="24"/>
      <c r="G12" s="24"/>
      <c r="H12" s="41">
        <v>3.1695479777676402E-7</v>
      </c>
      <c r="I12" s="41">
        <f>H12+F11</f>
        <v>1.2144038400370311E-6</v>
      </c>
      <c r="J12" s="41">
        <f>I16-I12</f>
        <v>0</v>
      </c>
      <c r="K12" s="41">
        <f>H11-H12</f>
        <v>2.5700240540998721E-10</v>
      </c>
      <c r="L12" s="3">
        <f t="shared" si="0"/>
        <v>0</v>
      </c>
      <c r="M12" s="19"/>
      <c r="N12" s="3">
        <f t="shared" si="1"/>
        <v>6.6800267201097644E-10</v>
      </c>
      <c r="O12" s="19"/>
      <c r="P12" s="3">
        <f t="shared" si="2"/>
        <v>1.3360053440217411E-9</v>
      </c>
      <c r="Q12" s="19"/>
      <c r="R12" s="3">
        <f t="shared" si="3"/>
        <v>1.2161508456476537E-6</v>
      </c>
      <c r="S12" s="19"/>
      <c r="T12" s="42"/>
    </row>
    <row r="13" spans="1:21">
      <c r="A13" s="28">
        <v>19</v>
      </c>
      <c r="B13" s="38">
        <v>7.8821875468615501E-7</v>
      </c>
      <c r="C13" s="38">
        <v>5.4664492821495397E-8</v>
      </c>
      <c r="D13" s="38">
        <f t="shared" si="4"/>
        <v>1.0932898564299079E-7</v>
      </c>
      <c r="E13" s="38">
        <v>0</v>
      </c>
      <c r="F13" s="39">
        <f>D13+B13+E13</f>
        <v>8.9754774032914583E-7</v>
      </c>
      <c r="G13" s="39">
        <f>F16-F13</f>
        <v>-1.8451318457414864E-10</v>
      </c>
      <c r="H13" s="40">
        <v>3.1515643140542702E-7</v>
      </c>
      <c r="I13" s="40">
        <f>H13+F13</f>
        <v>1.2127041717345728E-6</v>
      </c>
      <c r="J13" s="40">
        <f>I16-I13</f>
        <v>1.699668302458507E-9</v>
      </c>
      <c r="K13" s="40">
        <f>H13+J13</f>
        <v>3.1685609970788553E-7</v>
      </c>
      <c r="L13" s="19">
        <f t="shared" si="0"/>
        <v>1.699668302458507E-9</v>
      </c>
      <c r="M13" s="19">
        <f t="shared" si="5"/>
        <v>3.1685609970788553E-7</v>
      </c>
      <c r="N13" s="19">
        <f t="shared" si="1"/>
        <v>2.3676709744692717E-9</v>
      </c>
      <c r="O13" s="19">
        <f t="shared" si="6"/>
        <v>3.1752410237989629E-7</v>
      </c>
      <c r="P13" s="19">
        <f t="shared" si="2"/>
        <v>3.0356736464800364E-9</v>
      </c>
      <c r="Q13" s="19">
        <f t="shared" si="7"/>
        <v>3.1819210505190706E-7</v>
      </c>
      <c r="R13" s="19">
        <f t="shared" si="3"/>
        <v>8.9955174834517812E-7</v>
      </c>
      <c r="S13" s="19">
        <f t="shared" si="8"/>
        <v>1.2147081797506051E-6</v>
      </c>
      <c r="T13" s="42"/>
    </row>
    <row r="14" spans="1:21">
      <c r="A14" s="6" t="s">
        <v>27</v>
      </c>
      <c r="H14" s="41">
        <v>3.16856099707886E-7</v>
      </c>
      <c r="I14" s="41">
        <f>H14+F13</f>
        <v>1.2144038400370318E-6</v>
      </c>
      <c r="J14" s="41">
        <f>I16-I14</f>
        <v>0</v>
      </c>
      <c r="K14" s="41">
        <f>H13-H14</f>
        <v>-1.6996683024589834E-9</v>
      </c>
      <c r="L14" s="3">
        <f t="shared" si="0"/>
        <v>0</v>
      </c>
      <c r="M14" s="3"/>
      <c r="N14" s="3">
        <f t="shared" si="1"/>
        <v>6.6800267201034116E-10</v>
      </c>
      <c r="O14" s="3"/>
      <c r="P14" s="3">
        <f t="shared" si="2"/>
        <v>1.3360053440211058E-9</v>
      </c>
      <c r="Q14" s="3"/>
      <c r="R14" s="3">
        <f t="shared" si="3"/>
        <v>1.2181075163555226E-6</v>
      </c>
      <c r="S14" s="3"/>
      <c r="T14" s="42"/>
    </row>
    <row r="16" spans="1:21">
      <c r="A16" s="6" t="s">
        <v>29</v>
      </c>
      <c r="B16" s="3">
        <f>AVERAGE(B3,B5,B7,B9,B11,B13)</f>
        <v>7.8801993131254563E-7</v>
      </c>
      <c r="C16" s="3">
        <f t="shared" ref="C16:H16" si="9">AVERAGE(C3,C5,C7,C9,C11,C13)</f>
        <v>5.4671647916012992E-8</v>
      </c>
      <c r="D16" s="3">
        <f t="shared" si="9"/>
        <v>1.0934329583202598E-7</v>
      </c>
      <c r="E16" s="3">
        <f t="shared" si="9"/>
        <v>0</v>
      </c>
      <c r="F16" s="3">
        <f t="shared" si="9"/>
        <v>8.9736322714457168E-7</v>
      </c>
      <c r="G16" s="3"/>
      <c r="H16" s="19">
        <f t="shared" si="9"/>
        <v>3.1704061289245968E-7</v>
      </c>
      <c r="I16" s="19">
        <f t="shared" ref="I16" si="10">AVERAGE(I3,I5,I7,I9,I11,I13)</f>
        <v>1.2144038400370314E-6</v>
      </c>
      <c r="J16" s="3"/>
      <c r="K16" s="3"/>
    </row>
    <row r="17" spans="1:11">
      <c r="A17" s="6" t="s">
        <v>30</v>
      </c>
      <c r="B17">
        <f>STDEV(B3,B5,B7,B9,B11,B13)</f>
        <v>1.2835008342076176E-10</v>
      </c>
      <c r="C17">
        <f t="shared" ref="C17:H17" si="11">STDEV(C3,C5,C7,C9,C11,C13)</f>
        <v>7.3753946526960163E-12</v>
      </c>
      <c r="D17">
        <f t="shared" si="11"/>
        <v>1.4750789305392033E-11</v>
      </c>
      <c r="E17">
        <f t="shared" si="11"/>
        <v>0</v>
      </c>
      <c r="F17">
        <f t="shared" si="11"/>
        <v>1.1583888185503727E-10</v>
      </c>
      <c r="H17" s="9">
        <f t="shared" si="11"/>
        <v>9.793573130272201E-10</v>
      </c>
      <c r="I17" s="9">
        <f t="shared" ref="I17" si="12">STDEV(I3,I5,I7,I9,I11,I13)</f>
        <v>8.9585739575337348E-10</v>
      </c>
    </row>
    <row r="18" spans="1:11">
      <c r="A18" s="6" t="s">
        <v>31</v>
      </c>
      <c r="B18" s="3">
        <f>MAX(B3,B5,B7,B9,B11,B13)</f>
        <v>7.8821875468615501E-7</v>
      </c>
      <c r="C18" s="3">
        <f t="shared" ref="C18:H18" si="13">MAX(C3,C5,C7,C9,C11,C13)</f>
        <v>5.4684168249999097E-8</v>
      </c>
      <c r="D18" s="3">
        <f t="shared" si="13"/>
        <v>1.0936833649999819E-7</v>
      </c>
      <c r="E18" s="3">
        <f t="shared" si="13"/>
        <v>0</v>
      </c>
      <c r="F18" s="3">
        <f t="shared" si="13"/>
        <v>8.9754774032914583E-7</v>
      </c>
      <c r="G18" s="3"/>
      <c r="H18" s="19">
        <f t="shared" si="13"/>
        <v>3.1788925639579202E-7</v>
      </c>
      <c r="I18" s="19">
        <f t="shared" ref="I18" si="14">MAX(I3,I5,I7,I9,I11,I13)</f>
        <v>1.215188788351106E-6</v>
      </c>
      <c r="J18" s="3"/>
      <c r="K18" s="3"/>
    </row>
    <row r="19" spans="1:11">
      <c r="A19" s="6" t="s">
        <v>32</v>
      </c>
      <c r="B19" s="3">
        <f>MIN(B3,B5,B7,B9,B11,B13)</f>
        <v>7.8788945312432101E-7</v>
      </c>
      <c r="C19" s="3">
        <f t="shared" ref="C19:H19" si="15">MIN(C3,C5,C7,C9,C11,C13)</f>
        <v>5.4664492821495397E-8</v>
      </c>
      <c r="D19" s="3">
        <f t="shared" si="15"/>
        <v>1.0932898564299079E-7</v>
      </c>
      <c r="E19" s="3">
        <f t="shared" si="15"/>
        <v>0</v>
      </c>
      <c r="F19" s="3">
        <f t="shared" si="15"/>
        <v>8.9725778962431924E-7</v>
      </c>
      <c r="G19" s="3"/>
      <c r="H19" s="19">
        <f t="shared" si="15"/>
        <v>3.1515643140542702E-7</v>
      </c>
      <c r="I19" s="19">
        <f t="shared" ref="I19" si="16">MIN(I3,I5,I7,I9,I11,I13)</f>
        <v>1.2127041717345728E-6</v>
      </c>
      <c r="J19" s="3"/>
      <c r="K19" s="3"/>
    </row>
    <row r="20" spans="1:11">
      <c r="A20" s="6" t="s">
        <v>33</v>
      </c>
      <c r="B20" s="3">
        <f>B18-B19</f>
        <v>3.293015618339984E-10</v>
      </c>
      <c r="C20" s="3">
        <f t="shared" ref="C20:I20" si="17">C18-C19</f>
        <v>1.9675428503699537E-11</v>
      </c>
      <c r="D20" s="3">
        <f t="shared" si="17"/>
        <v>3.9350857007399075E-11</v>
      </c>
      <c r="E20" s="3">
        <f t="shared" si="17"/>
        <v>0</v>
      </c>
      <c r="F20" s="3">
        <f t="shared" si="17"/>
        <v>2.8995070482658609E-10</v>
      </c>
      <c r="G20" s="3"/>
      <c r="H20" s="19">
        <f t="shared" si="17"/>
        <v>2.7328249903650027E-9</v>
      </c>
      <c r="I20" s="19">
        <f t="shared" si="17"/>
        <v>2.4846166165331226E-9</v>
      </c>
      <c r="J20" s="3"/>
      <c r="K20" s="3"/>
    </row>
    <row r="21" spans="1:11">
      <c r="G21" s="6" t="s">
        <v>29</v>
      </c>
      <c r="H21" s="3">
        <f>AVERAGE(H4,H6,H8,H10,H12,H14)</f>
        <v>3.1704061289245952E-7</v>
      </c>
      <c r="I21" s="3">
        <f>AVERAGE(I4,I6,I8,I10,I12,I14)</f>
        <v>1.2144038400370309E-6</v>
      </c>
      <c r="J21" s="19"/>
      <c r="K21" s="19"/>
    </row>
    <row r="22" spans="1:11">
      <c r="G22" s="6" t="s">
        <v>30</v>
      </c>
      <c r="H22">
        <f>STDEV(H4,H6,H8,H10,H12,H14)</f>
        <v>1.1583888185474822E-10</v>
      </c>
      <c r="I22">
        <f>STDEV(I4,I6,I8,I10,I12,I14)</f>
        <v>6.5610889968097814E-22</v>
      </c>
      <c r="J22" s="9"/>
      <c r="K22" s="9"/>
    </row>
    <row r="23" spans="1:11">
      <c r="A23" s="6" t="s">
        <v>36</v>
      </c>
      <c r="B23" s="16">
        <v>1497</v>
      </c>
      <c r="G23" s="6" t="s">
        <v>31</v>
      </c>
      <c r="H23" s="3">
        <f>MAX(H4,H6,H8,H10,H12,H14)</f>
        <v>3.1714605041271201E-7</v>
      </c>
      <c r="I23" s="3">
        <f>MAX(I4,I6,I8,I10,I12,I14)</f>
        <v>1.2144038400370318E-6</v>
      </c>
      <c r="J23" s="19"/>
      <c r="K23" s="19"/>
    </row>
    <row r="24" spans="1:11">
      <c r="A24" s="6" t="s">
        <v>34</v>
      </c>
      <c r="B24" s="22">
        <v>0.20026216299999999</v>
      </c>
      <c r="G24" s="6" t="s">
        <v>32</v>
      </c>
      <c r="H24" s="3">
        <f>MIN(H4,H6,H8,H10,H12,H14)</f>
        <v>3.16856099707886E-7</v>
      </c>
      <c r="I24" s="3">
        <f>MIN(I4,I6,I8,I10,I12,I14)</f>
        <v>1.2144038400370299E-6</v>
      </c>
      <c r="J24" s="19"/>
      <c r="K24" s="19"/>
    </row>
    <row r="25" spans="1:11">
      <c r="A25" s="6" t="s">
        <v>35</v>
      </c>
      <c r="B25" s="17">
        <v>6.6800267201069003E-10</v>
      </c>
      <c r="E25" s="9" t="s">
        <v>54</v>
      </c>
      <c r="G25" s="6" t="s">
        <v>33</v>
      </c>
      <c r="H25" s="3">
        <f>H23-H24</f>
        <v>2.8995070482600375E-10</v>
      </c>
      <c r="I25" s="3">
        <f>I23-I24</f>
        <v>1.9058241313221758E-21</v>
      </c>
      <c r="J25" s="19"/>
      <c r="K25" s="19"/>
    </row>
    <row r="26" spans="1:11">
      <c r="A26" s="6" t="s">
        <v>24</v>
      </c>
      <c r="B26">
        <f>B24/360</f>
        <v>5.5628378611111107E-4</v>
      </c>
      <c r="C26" s="9" t="s">
        <v>37</v>
      </c>
      <c r="D26" s="2">
        <f>B25/360</f>
        <v>1.8555629778074723E-12</v>
      </c>
      <c r="E26" s="2">
        <f>D26/4</f>
        <v>4.6389074445186808E-13</v>
      </c>
    </row>
    <row r="27" spans="1:11">
      <c r="A27" s="6" t="s">
        <v>25</v>
      </c>
      <c r="B27">
        <f>B24/(360/5)</f>
        <v>2.7814189305555553E-3</v>
      </c>
      <c r="C27" s="9" t="s">
        <v>37</v>
      </c>
      <c r="D27" s="2">
        <f>B25/(360/5)</f>
        <v>9.277814889037362E-12</v>
      </c>
    </row>
    <row r="28" spans="1:11">
      <c r="G28" s="6" t="s">
        <v>46</v>
      </c>
      <c r="H28" s="3">
        <f>I16</f>
        <v>1.2144038400370314E-6</v>
      </c>
    </row>
    <row r="29" spans="1:11">
      <c r="G29" s="6" t="s">
        <v>47</v>
      </c>
      <c r="H29" s="3">
        <f>H28+B25</f>
        <v>1.2150718427090421E-6</v>
      </c>
    </row>
    <row r="30" spans="1:11">
      <c r="G30" s="6" t="s">
        <v>48</v>
      </c>
      <c r="H30" s="3">
        <f>H29+B25</f>
        <v>1.2157398453810529E-6</v>
      </c>
    </row>
    <row r="31" spans="1:11">
      <c r="G31" s="6" t="s">
        <v>49</v>
      </c>
      <c r="H31" s="3">
        <f>H30+B25</f>
        <v>1.2164078480530636E-6</v>
      </c>
    </row>
  </sheetData>
  <conditionalFormatting sqref="J4 J6 J8 J10 J12 J14">
    <cfRule type="cellIs" dxfId="12" priority="10" operator="lessThan">
      <formula>-1.85556297780747E-12</formula>
    </cfRule>
    <cfRule type="cellIs" dxfId="11" priority="11" operator="lessThan">
      <formula>-1.85556297780747E-12</formula>
    </cfRule>
    <cfRule type="cellIs" dxfId="10" priority="12" operator="greaterThan">
      <formula>1.85556297780747E-12</formula>
    </cfRule>
    <cfRule type="cellIs" dxfId="9" priority="13" operator="between">
      <formula>-1.85556297780747E-12</formula>
      <formula>1.85556297780747E-12</formula>
    </cfRule>
  </conditionalFormatting>
  <conditionalFormatting sqref="L4 L6 L8 L10 L12 L14:M14">
    <cfRule type="cellIs" dxfId="8" priority="8" operator="greaterThan">
      <formula>$D$26</formula>
    </cfRule>
    <cfRule type="cellIs" dxfId="7" priority="9" operator="between">
      <formula>-$D$26</formula>
      <formula>$D$26</formula>
    </cfRule>
  </conditionalFormatting>
  <conditionalFormatting sqref="L4 L6 L8 L10 L12">
    <cfRule type="cellIs" dxfId="6" priority="7" operator="lessThan">
      <formula>-$D$26</formula>
    </cfRule>
  </conditionalFormatting>
  <conditionalFormatting sqref="N4 N6 N8 N10 N12 N14:O14">
    <cfRule type="cellIs" dxfId="5" priority="6" operator="between">
      <formula>-$D$26</formula>
      <formula>$D$26</formula>
    </cfRule>
  </conditionalFormatting>
  <conditionalFormatting sqref="N4 N6 N8 N10 N12">
    <cfRule type="cellIs" dxfId="4" priority="4" operator="greaterThan">
      <formula>$D$26</formula>
    </cfRule>
    <cfRule type="cellIs" dxfId="3" priority="5" operator="lessThan">
      <formula>-$D$26</formula>
    </cfRule>
  </conditionalFormatting>
  <conditionalFormatting sqref="P4 R4 P6 R6 P8 R8 P10 R10 P12 R12 L14:S14">
    <cfRule type="cellIs" dxfId="2" priority="2" operator="lessThan">
      <formula>-$D$26</formula>
    </cfRule>
  </conditionalFormatting>
  <conditionalFormatting sqref="P4 R4 P6 R6 P8 R8 P10 R10 P12 R12 N14:S14">
    <cfRule type="cellIs" dxfId="1" priority="1" operator="greaterThan">
      <formula>$D$26</formula>
    </cfRule>
  </conditionalFormatting>
  <conditionalFormatting sqref="P4 R4 P6 R6 P8 R8 P10 R10 P12 R12 P14:S14">
    <cfRule type="cellIs" dxfId="0" priority="3" operator="between">
      <formula>-$D$26</formula>
      <formula>$D$26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EastFFA_Full_Exit</vt:lpstr>
      <vt:lpstr>NE Splitter Outputs</vt:lpstr>
      <vt:lpstr>R.56 Adjustments From Arc</vt:lpstr>
      <vt:lpstr>NE Spreader</vt:lpstr>
      <vt:lpstr>R.56 Adjustments Full</vt:lpstr>
      <vt:lpstr>Time Adjustments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Bodenstein</cp:lastModifiedBy>
  <dcterms:created xsi:type="dcterms:W3CDTF">2023-08-02T18:03:50Z</dcterms:created>
  <dcterms:modified xsi:type="dcterms:W3CDTF">2024-12-17T20:52:06Z</dcterms:modified>
</cp:coreProperties>
</file>