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/>
  <mc:AlternateContent xmlns:mc="http://schemas.openxmlformats.org/markup-compatibility/2006">
    <mc:Choice Requires="x15">
      <x15ac:absPath xmlns:x15ac="http://schemas.microsoft.com/office/spreadsheetml/2010/11/ac" url="/Users/ryanmb/Documents/"/>
    </mc:Choice>
  </mc:AlternateContent>
  <xr:revisionPtr revIDLastSave="0" documentId="13_ncr:1_{ADF4708F-9BF1-4746-9BBF-D82008FF41F1}" xr6:coauthVersionLast="47" xr6:coauthVersionMax="47" xr10:uidLastSave="{00000000-0000-0000-0000-000000000000}"/>
  <bookViews>
    <workbookView xWindow="0" yWindow="460" windowWidth="32800" windowHeight="19440" tabRatio="593" xr2:uid="{00000000-000D-0000-FFFF-FFFF00000000}"/>
  </bookViews>
  <sheets>
    <sheet name="first passNE" sheetId="1" r:id="rId1"/>
    <sheet name="first pass SW" sheetId="2" r:id="rId2"/>
    <sheet name="second pass NE" sheetId="3" r:id="rId3"/>
    <sheet name="Second pass SW" sheetId="4" r:id="rId4"/>
    <sheet name="third pass NE" sheetId="5" r:id="rId5"/>
    <sheet name="third pass SW" sheetId="6" r:id="rId6"/>
    <sheet name="fourth pass NE" sheetId="7" r:id="rId7"/>
    <sheet name="fourth pass SW" sheetId="8" r:id="rId8"/>
    <sheet name="fith pass NE" sheetId="9" r:id="rId9"/>
    <sheet name="fifth pass SW" sheetId="10" r:id="rId10"/>
    <sheet name="sixth pass NE" sheetId="11" r:id="rId11"/>
    <sheet name="NE spreader elevations" sheetId="12" r:id="rId12"/>
    <sheet name="SW spreader elevations" sheetId="13" r:id="rId13"/>
  </sheets>
  <definedNames>
    <definedName name="_xlnm.Print_Area" localSheetId="11">'NE spreader elevations'!$I$1:$V$40</definedName>
    <definedName name="_xlnm.Print_Area" localSheetId="12">'SW spreader elevations'!$H$1:$X$40</definedName>
  </definedNames>
  <calcPr calcId="191028" iterate="1" iterateCount="1000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3" l="1"/>
  <c r="H16" i="1" l="1"/>
  <c r="G23" i="1" l="1"/>
  <c r="B17" i="7" l="1"/>
  <c r="B30" i="5"/>
  <c r="B17" i="3"/>
  <c r="B17" i="1"/>
  <c r="C17" i="1" s="1"/>
  <c r="J13" i="1"/>
  <c r="K13" i="1" s="1"/>
  <c r="I19" i="1"/>
  <c r="D19" i="1"/>
  <c r="E18" i="2" l="1"/>
  <c r="G13" i="2"/>
  <c r="C6" i="2"/>
  <c r="G24" i="2"/>
  <c r="I13" i="2"/>
  <c r="K5" i="2"/>
  <c r="C55" i="11"/>
  <c r="C52" i="11"/>
  <c r="B45" i="11"/>
  <c r="C45" i="11"/>
  <c r="L56" i="11"/>
  <c r="J48" i="11"/>
  <c r="J49" i="11" s="1"/>
  <c r="L49" i="11" s="1"/>
  <c r="M49" i="11" s="1"/>
  <c r="J45" i="11"/>
  <c r="J47" i="11" s="1"/>
  <c r="Q9" i="11"/>
  <c r="Q12" i="11" s="1"/>
  <c r="P3" i="11"/>
  <c r="Q3" i="11" s="1"/>
  <c r="N3" i="11"/>
  <c r="P13" i="11"/>
  <c r="P25" i="11"/>
  <c r="O5" i="11"/>
  <c r="O11" i="11"/>
  <c r="O10" i="11"/>
  <c r="O7" i="11"/>
  <c r="M41" i="11"/>
  <c r="O30" i="11"/>
  <c r="O36" i="11" s="1"/>
  <c r="J41" i="11"/>
  <c r="O27" i="11"/>
  <c r="N28" i="11"/>
  <c r="N25" i="11"/>
  <c r="P22" i="11"/>
  <c r="O18" i="11"/>
  <c r="N18" i="11"/>
  <c r="P18" i="11" s="1"/>
  <c r="D33" i="11"/>
  <c r="E14" i="11"/>
  <c r="E37" i="1"/>
  <c r="J52" i="11" l="1"/>
  <c r="L47" i="11"/>
  <c r="E62" i="5"/>
  <c r="K5" i="10"/>
  <c r="D8" i="10"/>
  <c r="D10" i="10"/>
  <c r="L10" i="10"/>
  <c r="K12" i="10"/>
  <c r="B18" i="10"/>
  <c r="C18" i="10" s="1"/>
  <c r="B36" i="10"/>
  <c r="B38" i="10"/>
  <c r="B40" i="10"/>
  <c r="B18" i="2"/>
  <c r="C18" i="2" s="1"/>
  <c r="C37" i="2"/>
  <c r="B49" i="2"/>
  <c r="B51" i="2"/>
  <c r="B53" i="2" s="1"/>
  <c r="K6" i="1"/>
  <c r="C13" i="1"/>
  <c r="C31" i="1" s="1"/>
  <c r="E17" i="1"/>
  <c r="C37" i="1"/>
  <c r="C38" i="1"/>
  <c r="C39" i="1" s="1"/>
  <c r="C40" i="1" s="1"/>
  <c r="C41" i="1" s="1"/>
  <c r="C42" i="1" s="1"/>
  <c r="C43" i="1" s="1"/>
  <c r="B46" i="1"/>
  <c r="B47" i="1" s="1"/>
  <c r="B48" i="1"/>
  <c r="B50" i="1" s="1"/>
  <c r="D6" i="9"/>
  <c r="E31" i="9" s="1"/>
  <c r="K6" i="9"/>
  <c r="C7" i="9"/>
  <c r="C10" i="9"/>
  <c r="C10" i="11" s="1"/>
  <c r="D11" i="9"/>
  <c r="L11" i="9"/>
  <c r="K13" i="9"/>
  <c r="B22" i="9"/>
  <c r="C22" i="9" s="1"/>
  <c r="F22" i="9"/>
  <c r="F30" i="9"/>
  <c r="B34" i="9"/>
  <c r="B36" i="9"/>
  <c r="B38" i="9"/>
  <c r="F39" i="9"/>
  <c r="D6" i="7"/>
  <c r="E38" i="7" s="1"/>
  <c r="K6" i="7"/>
  <c r="C7" i="7"/>
  <c r="L11" i="7"/>
  <c r="C17" i="7"/>
  <c r="B51" i="7"/>
  <c r="B53" i="7"/>
  <c r="B55" i="7"/>
  <c r="K5" i="8"/>
  <c r="D8" i="8"/>
  <c r="L10" i="8"/>
  <c r="B18" i="8"/>
  <c r="C18" i="8" s="1"/>
  <c r="C36" i="8"/>
  <c r="B49" i="8"/>
  <c r="B51" i="8"/>
  <c r="B53" i="8"/>
  <c r="D6" i="3"/>
  <c r="K6" i="3"/>
  <c r="C17" i="3"/>
  <c r="C19" i="3"/>
  <c r="D47" i="3"/>
  <c r="B52" i="3"/>
  <c r="B54" i="3"/>
  <c r="B56" i="3" s="1"/>
  <c r="K5" i="4"/>
  <c r="B18" i="4"/>
  <c r="C18" i="4" s="1"/>
  <c r="C36" i="4"/>
  <c r="B50" i="4"/>
  <c r="B52" i="4"/>
  <c r="B54" i="4" s="1"/>
  <c r="D6" i="11"/>
  <c r="K6" i="11"/>
  <c r="C7" i="11"/>
  <c r="D11" i="11"/>
  <c r="L11" i="11"/>
  <c r="C12" i="11"/>
  <c r="K13" i="11"/>
  <c r="J15" i="11"/>
  <c r="L15" i="11" s="1"/>
  <c r="E21" i="11"/>
  <c r="F21" i="11" s="1"/>
  <c r="B35" i="11"/>
  <c r="F51" i="11"/>
  <c r="E52" i="11"/>
  <c r="A3" i="13"/>
  <c r="C3" i="13"/>
  <c r="A4" i="13"/>
  <c r="A5" i="13"/>
  <c r="E5" i="13"/>
  <c r="A6" i="13"/>
  <c r="F6" i="13"/>
  <c r="A7" i="13"/>
  <c r="B7" i="13"/>
  <c r="D6" i="5"/>
  <c r="K6" i="5"/>
  <c r="C7" i="5"/>
  <c r="D9" i="5"/>
  <c r="E11" i="5"/>
  <c r="F11" i="5" s="1"/>
  <c r="I11" i="5"/>
  <c r="J11" i="5"/>
  <c r="K11" i="5"/>
  <c r="L11" i="5"/>
  <c r="C30" i="5"/>
  <c r="E32" i="5"/>
  <c r="B65" i="5"/>
  <c r="B67" i="5"/>
  <c r="B69" i="5"/>
  <c r="K5" i="6"/>
  <c r="D8" i="6"/>
  <c r="B18" i="6"/>
  <c r="C18" i="6" s="1"/>
  <c r="C37" i="6"/>
  <c r="D4" i="13" s="1"/>
  <c r="B50" i="6"/>
  <c r="B52" i="6"/>
  <c r="B54" i="6"/>
  <c r="E53" i="11" l="1"/>
  <c r="C39" i="3"/>
  <c r="C40" i="3" s="1"/>
  <c r="C41" i="3" s="1"/>
  <c r="C42" i="3" s="1"/>
  <c r="C43" i="3" s="1"/>
  <c r="C44" i="3" s="1"/>
  <c r="C45" i="3" s="1"/>
  <c r="C46" i="3" s="1"/>
  <c r="C47" i="3" s="1"/>
  <c r="C14" i="3"/>
  <c r="C30" i="3"/>
  <c r="E39" i="7"/>
  <c r="E32" i="9"/>
  <c r="B66" i="5"/>
  <c r="B52" i="7"/>
  <c r="B35" i="9"/>
  <c r="I21" i="11"/>
  <c r="K21" i="11" s="1"/>
  <c r="J21" i="11"/>
  <c r="L21" i="11" s="1"/>
  <c r="C26" i="5"/>
  <c r="C43" i="5" s="1"/>
  <c r="B51" i="6"/>
  <c r="D9" i="9"/>
  <c r="D9" i="7"/>
  <c r="E40" i="7" s="1"/>
  <c r="E41" i="7" s="1"/>
  <c r="E42" i="7" s="1"/>
  <c r="E43" i="7" s="1"/>
  <c r="D9" i="11"/>
  <c r="D52" i="5"/>
  <c r="D53" i="5" s="1"/>
  <c r="D54" i="5" s="1"/>
  <c r="D55" i="5" s="1"/>
  <c r="H11" i="5"/>
  <c r="B37" i="10"/>
  <c r="H21" i="11"/>
  <c r="I15" i="11"/>
  <c r="K15" i="11" s="1"/>
  <c r="E15" i="11"/>
  <c r="B51" i="4"/>
  <c r="B53" i="3"/>
  <c r="B50" i="8"/>
  <c r="B50" i="2"/>
  <c r="E44" i="7" l="1"/>
  <c r="M11" i="5"/>
  <c r="N11" i="5"/>
  <c r="C31" i="11"/>
  <c r="E54" i="11"/>
  <c r="E33" i="9"/>
  <c r="E34" i="9" s="1"/>
  <c r="C19" i="9"/>
  <c r="F15" i="11"/>
  <c r="H15" i="11"/>
  <c r="D56" i="5"/>
  <c r="D57" i="5" s="1"/>
  <c r="D58" i="5" s="1"/>
  <c r="D59" i="5" s="1"/>
  <c r="D60" i="5" s="1"/>
  <c r="D61" i="5" s="1"/>
  <c r="C14" i="7"/>
  <c r="C30" i="7" s="1"/>
  <c r="D62" i="5" l="1"/>
  <c r="D44" i="5"/>
  <c r="E35" i="9"/>
  <c r="E45" i="7"/>
  <c r="E55" i="11"/>
  <c r="E56" i="11" s="1"/>
  <c r="E57" i="11" s="1"/>
  <c r="E58" i="11" l="1"/>
  <c r="E46" i="7"/>
  <c r="E36" i="9"/>
  <c r="E37" i="9" s="1"/>
  <c r="E38" i="9" s="1"/>
  <c r="E39" i="9" l="1"/>
  <c r="E59" i="11"/>
  <c r="E60" i="11" l="1"/>
  <c r="E61" i="11" l="1"/>
  <c r="E62" i="11" l="1"/>
  <c r="E63" i="11" s="1"/>
  <c r="E64" i="11" s="1"/>
  <c r="E65" i="11" s="1"/>
  <c r="E66" i="11" s="1"/>
  <c r="E67" i="11" s="1"/>
  <c r="E68" i="11" s="1"/>
  <c r="E19" i="11" l="1"/>
  <c r="F19" i="11"/>
  <c r="H19" i="11"/>
  <c r="I19" i="11"/>
  <c r="J19" i="11"/>
  <c r="K19" i="11"/>
  <c r="L19" i="11"/>
  <c r="L33" i="11"/>
  <c r="C41" i="2" l="1"/>
  <c r="B35" i="13" s="1"/>
  <c r="C40" i="2"/>
  <c r="B29" i="13"/>
  <c r="B38" i="2"/>
  <c r="A12" i="13" s="1"/>
  <c r="D5" i="6"/>
  <c r="D5" i="4"/>
  <c r="D5" i="10"/>
  <c r="D5" i="8"/>
  <c r="B37" i="8" l="1"/>
  <c r="D25" i="10"/>
  <c r="B37" i="4"/>
  <c r="B38" i="6"/>
  <c r="A10" i="13" l="1"/>
  <c r="A11" i="13"/>
  <c r="A8" i="13"/>
  <c r="A9" i="13"/>
  <c r="E5" i="2" l="1"/>
  <c r="H5" i="2" s="1"/>
  <c r="H14" i="2"/>
  <c r="F5" i="2" l="1"/>
  <c r="N5" i="2"/>
  <c r="H5" i="4"/>
  <c r="M5" i="2"/>
  <c r="I8" i="2"/>
  <c r="K8" i="2" s="1"/>
  <c r="J5" i="2"/>
  <c r="L5" i="2" s="1"/>
  <c r="G5" i="2"/>
  <c r="H5" i="8" l="1"/>
  <c r="C5" i="4"/>
  <c r="C6" i="4" s="1"/>
  <c r="F5" i="4"/>
  <c r="H5" i="10"/>
  <c r="N5" i="4"/>
  <c r="H5" i="6"/>
  <c r="C38" i="2"/>
  <c r="B12" i="13" s="1"/>
  <c r="C6" i="10" l="1"/>
  <c r="D26" i="10" s="1"/>
  <c r="C6" i="8"/>
  <c r="B38" i="8" s="1"/>
  <c r="C6" i="6"/>
  <c r="B39" i="6" s="1"/>
  <c r="B38" i="4"/>
  <c r="C5" i="10"/>
  <c r="F5" i="10"/>
  <c r="E5" i="4"/>
  <c r="M5" i="4" s="1"/>
  <c r="G5" i="4"/>
  <c r="J5" i="4"/>
  <c r="L5" i="4" s="1"/>
  <c r="I8" i="4"/>
  <c r="K8" i="4" s="1"/>
  <c r="H14" i="4"/>
  <c r="C5" i="6"/>
  <c r="F5" i="6"/>
  <c r="N5" i="6"/>
  <c r="C5" i="8"/>
  <c r="F5" i="8"/>
  <c r="N5" i="8"/>
  <c r="A15" i="13" l="1"/>
  <c r="B39" i="4"/>
  <c r="A19" i="13" s="1"/>
  <c r="B40" i="6"/>
  <c r="A18" i="13" s="1"/>
  <c r="A13" i="13"/>
  <c r="A16" i="13"/>
  <c r="B39" i="8"/>
  <c r="A20" i="13" s="1"/>
  <c r="A14" i="13"/>
  <c r="D27" i="10"/>
  <c r="A17" i="13" s="1"/>
  <c r="E5" i="10"/>
  <c r="G5" i="10"/>
  <c r="J5" i="10"/>
  <c r="E6" i="10"/>
  <c r="E5" i="8"/>
  <c r="M5" i="8" s="1"/>
  <c r="G5" i="8"/>
  <c r="J5" i="8"/>
  <c r="E6" i="8"/>
  <c r="E5" i="6"/>
  <c r="M5" i="6" s="1"/>
  <c r="G5" i="6"/>
  <c r="J5" i="6"/>
  <c r="L5" i="6" s="1"/>
  <c r="E6" i="6"/>
  <c r="I8" i="6"/>
  <c r="K8" i="6" s="1"/>
  <c r="G6" i="4"/>
  <c r="C38" i="4" s="1"/>
  <c r="C15" i="13" s="1"/>
  <c r="C37" i="4"/>
  <c r="C9" i="13" s="1"/>
  <c r="G6" i="8" l="1"/>
  <c r="C38" i="8" s="1"/>
  <c r="E16" i="13" s="1"/>
  <c r="C37" i="8"/>
  <c r="E11" i="13" s="1"/>
  <c r="C38" i="6"/>
  <c r="D8" i="13" s="1"/>
  <c r="G6" i="6"/>
  <c r="C39" i="6" s="1"/>
  <c r="D13" i="13" s="1"/>
  <c r="L5" i="8"/>
  <c r="I8" i="8"/>
  <c r="L5" i="10"/>
  <c r="I8" i="10"/>
  <c r="K8" i="10" s="1"/>
  <c r="G6" i="10"/>
  <c r="E26" i="10" s="1"/>
  <c r="F14" i="13" s="1"/>
  <c r="E25" i="10"/>
  <c r="F10" i="13" s="1"/>
  <c r="K8" i="8" l="1"/>
  <c r="G6" i="2"/>
  <c r="C39" i="2" s="1"/>
  <c r="B25" i="13" s="1"/>
  <c r="B39" i="2"/>
  <c r="A25" i="13" s="1"/>
  <c r="B40" i="2"/>
  <c r="A29" i="13" l="1"/>
  <c r="C8" i="2"/>
  <c r="J8" i="2" s="1"/>
  <c r="L8" i="2" s="1"/>
  <c r="E8" i="2"/>
  <c r="F8" i="2"/>
  <c r="G8" i="2" s="1"/>
  <c r="H8" i="2"/>
  <c r="M8" i="2" s="1"/>
  <c r="N8" i="2"/>
  <c r="C10" i="2"/>
  <c r="E10" i="2" s="1"/>
  <c r="F10" i="2" s="1"/>
  <c r="I10" i="2"/>
  <c r="K10" i="2" s="1"/>
  <c r="H13" i="2"/>
  <c r="J10" i="2" l="1"/>
  <c r="L10" i="2" s="1"/>
  <c r="H10" i="2"/>
  <c r="C9" i="2"/>
  <c r="G14" i="2" l="1"/>
  <c r="C14" i="2"/>
  <c r="B41" i="2" s="1"/>
  <c r="G15" i="2"/>
  <c r="M10" i="2"/>
  <c r="N10" i="2"/>
  <c r="G9" i="2"/>
  <c r="H9" i="2" s="1"/>
  <c r="B42" i="2" l="1"/>
  <c r="A35" i="13"/>
  <c r="A37" i="13" l="1"/>
  <c r="C8" i="10"/>
  <c r="E8" i="10"/>
  <c r="F8" i="10"/>
  <c r="G8" i="10"/>
  <c r="H8" i="10"/>
  <c r="J8" i="10"/>
  <c r="L8" i="10"/>
  <c r="C9" i="10"/>
  <c r="E9" i="10"/>
  <c r="G9" i="10"/>
  <c r="H9" i="10"/>
  <c r="C10" i="10"/>
  <c r="E10" i="10"/>
  <c r="F10" i="10"/>
  <c r="H10" i="10"/>
  <c r="I10" i="10"/>
  <c r="K10" i="10"/>
  <c r="C11" i="10"/>
  <c r="C12" i="10"/>
  <c r="E12" i="10"/>
  <c r="F12" i="10"/>
  <c r="G12" i="10"/>
  <c r="H12" i="10"/>
  <c r="J12" i="10"/>
  <c r="L12" i="10"/>
  <c r="C13" i="10"/>
  <c r="G13" i="10"/>
  <c r="H13" i="10"/>
  <c r="C14" i="10"/>
  <c r="E14" i="10"/>
  <c r="F14" i="10"/>
  <c r="H14" i="10"/>
  <c r="I14" i="10"/>
  <c r="J14" i="10"/>
  <c r="K14" i="10"/>
  <c r="L14" i="10"/>
  <c r="G17" i="10"/>
  <c r="H17" i="10"/>
  <c r="K17" i="10"/>
  <c r="L17" i="10"/>
  <c r="G18" i="10"/>
  <c r="K18" i="10"/>
  <c r="G19" i="10"/>
  <c r="K19" i="10"/>
  <c r="C20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C25" i="2"/>
  <c r="E25" i="2"/>
  <c r="F25" i="2"/>
  <c r="G25" i="2"/>
  <c r="H25" i="2"/>
  <c r="I25" i="2"/>
  <c r="J25" i="2"/>
  <c r="K25" i="2"/>
  <c r="L25" i="2"/>
  <c r="M25" i="2"/>
  <c r="N25" i="2"/>
  <c r="C26" i="2"/>
  <c r="G26" i="2"/>
  <c r="G27" i="2"/>
  <c r="C28" i="2"/>
  <c r="E28" i="2"/>
  <c r="F28" i="2"/>
  <c r="H28" i="2"/>
  <c r="I28" i="2"/>
  <c r="J28" i="2"/>
  <c r="K28" i="2"/>
  <c r="L28" i="2"/>
  <c r="M28" i="2"/>
  <c r="N28" i="2"/>
  <c r="G31" i="2"/>
  <c r="H31" i="2"/>
  <c r="C32" i="2"/>
  <c r="G32" i="2"/>
  <c r="G33" i="2"/>
  <c r="C42" i="2"/>
  <c r="B43" i="2"/>
  <c r="C43" i="2"/>
  <c r="B44" i="2"/>
  <c r="C44" i="2"/>
  <c r="C6" i="1"/>
  <c r="E6" i="1"/>
  <c r="F6" i="1"/>
  <c r="G6" i="1"/>
  <c r="H6" i="1"/>
  <c r="J6" i="1"/>
  <c r="L6" i="1"/>
  <c r="E7" i="1"/>
  <c r="G7" i="1"/>
  <c r="G8" i="1"/>
  <c r="C9" i="1"/>
  <c r="E9" i="1"/>
  <c r="F9" i="1"/>
  <c r="H9" i="1"/>
  <c r="I9" i="1"/>
  <c r="J9" i="1"/>
  <c r="K9" i="1"/>
  <c r="L9" i="1"/>
  <c r="G12" i="1"/>
  <c r="H12" i="1"/>
  <c r="G13" i="1"/>
  <c r="E14" i="1"/>
  <c r="G14" i="1"/>
  <c r="E15" i="1"/>
  <c r="I16" i="1"/>
  <c r="J16" i="1"/>
  <c r="E18" i="1"/>
  <c r="G20" i="1"/>
  <c r="C24" i="1"/>
  <c r="E24" i="1"/>
  <c r="F24" i="1"/>
  <c r="G24" i="1"/>
  <c r="H24" i="1"/>
  <c r="I24" i="1"/>
  <c r="J24" i="1"/>
  <c r="K24" i="1"/>
  <c r="L24" i="1"/>
  <c r="E25" i="1"/>
  <c r="G25" i="1"/>
  <c r="G26" i="1"/>
  <c r="C27" i="1"/>
  <c r="E27" i="1"/>
  <c r="F27" i="1"/>
  <c r="H27" i="1"/>
  <c r="I27" i="1"/>
  <c r="J27" i="1"/>
  <c r="K27" i="1"/>
  <c r="L27" i="1"/>
  <c r="G30" i="1"/>
  <c r="H30" i="1"/>
  <c r="G31" i="1"/>
  <c r="G32" i="1"/>
  <c r="D37" i="1"/>
  <c r="D38" i="1"/>
  <c r="D39" i="1"/>
  <c r="D40" i="1"/>
  <c r="D41" i="1"/>
  <c r="D42" i="1"/>
  <c r="D43" i="1"/>
  <c r="C6" i="9"/>
  <c r="E6" i="9"/>
  <c r="F6" i="9"/>
  <c r="G6" i="9"/>
  <c r="H6" i="9"/>
  <c r="J6" i="9"/>
  <c r="L6" i="9"/>
  <c r="M6" i="9"/>
  <c r="N6" i="9"/>
  <c r="E7" i="9"/>
  <c r="G7" i="9"/>
  <c r="C9" i="9"/>
  <c r="E9" i="9"/>
  <c r="F9" i="9"/>
  <c r="G9" i="9"/>
  <c r="H9" i="9"/>
  <c r="I9" i="9"/>
  <c r="J9" i="9"/>
  <c r="K9" i="9"/>
  <c r="L9" i="9"/>
  <c r="M9" i="9"/>
  <c r="N9" i="9"/>
  <c r="E10" i="9"/>
  <c r="G10" i="9"/>
  <c r="H10" i="9"/>
  <c r="C11" i="9"/>
  <c r="E11" i="9"/>
  <c r="F11" i="9"/>
  <c r="H11" i="9"/>
  <c r="I11" i="9"/>
  <c r="K11" i="9"/>
  <c r="M11" i="9"/>
  <c r="N11" i="9"/>
  <c r="G12" i="9"/>
  <c r="C13" i="9"/>
  <c r="E13" i="9"/>
  <c r="F13" i="9"/>
  <c r="G13" i="9"/>
  <c r="H13" i="9"/>
  <c r="J13" i="9"/>
  <c r="L13" i="9"/>
  <c r="M13" i="9"/>
  <c r="N13" i="9"/>
  <c r="G14" i="9"/>
  <c r="H14" i="9"/>
  <c r="C15" i="9"/>
  <c r="E15" i="9"/>
  <c r="F15" i="9"/>
  <c r="H15" i="9"/>
  <c r="I15" i="9"/>
  <c r="J15" i="9"/>
  <c r="K15" i="9"/>
  <c r="L15" i="9"/>
  <c r="M15" i="9"/>
  <c r="N15" i="9"/>
  <c r="D18" i="9"/>
  <c r="G18" i="9"/>
  <c r="H18" i="9"/>
  <c r="K18" i="9"/>
  <c r="L18" i="9"/>
  <c r="G19" i="9"/>
  <c r="K19" i="9"/>
  <c r="G20" i="9"/>
  <c r="K20" i="9"/>
  <c r="G22" i="9"/>
  <c r="F23" i="9"/>
  <c r="F25" i="9"/>
  <c r="C27" i="9"/>
  <c r="F31" i="9"/>
  <c r="F32" i="9"/>
  <c r="F33" i="9"/>
  <c r="F34" i="9"/>
  <c r="F35" i="9"/>
  <c r="F36" i="9"/>
  <c r="F37" i="9"/>
  <c r="F38" i="9"/>
  <c r="C6" i="7"/>
  <c r="E6" i="7"/>
  <c r="F6" i="7"/>
  <c r="G6" i="7"/>
  <c r="H6" i="7"/>
  <c r="J6" i="7"/>
  <c r="L6" i="7"/>
  <c r="M6" i="7"/>
  <c r="N6" i="7"/>
  <c r="E7" i="7"/>
  <c r="G7" i="7"/>
  <c r="C9" i="7"/>
  <c r="E9" i="7"/>
  <c r="F9" i="7"/>
  <c r="G9" i="7"/>
  <c r="H9" i="7"/>
  <c r="I9" i="7"/>
  <c r="J9" i="7"/>
  <c r="K9" i="7"/>
  <c r="L9" i="7"/>
  <c r="M9" i="7"/>
  <c r="N9" i="7"/>
  <c r="E10" i="7"/>
  <c r="G10" i="7"/>
  <c r="H10" i="7"/>
  <c r="C11" i="7"/>
  <c r="E11" i="7"/>
  <c r="F11" i="7"/>
  <c r="H11" i="7"/>
  <c r="I11" i="7"/>
  <c r="K11" i="7"/>
  <c r="M11" i="7"/>
  <c r="N11" i="7"/>
  <c r="G14" i="7"/>
  <c r="H14" i="7"/>
  <c r="G15" i="7"/>
  <c r="G16" i="7"/>
  <c r="G18" i="7"/>
  <c r="G23" i="7"/>
  <c r="C24" i="7"/>
  <c r="E24" i="7"/>
  <c r="F24" i="7"/>
  <c r="G24" i="7"/>
  <c r="H24" i="7"/>
  <c r="I24" i="7"/>
  <c r="J24" i="7"/>
  <c r="K24" i="7"/>
  <c r="L24" i="7"/>
  <c r="M24" i="7"/>
  <c r="N24" i="7"/>
  <c r="E25" i="7"/>
  <c r="G25" i="7"/>
  <c r="G26" i="7"/>
  <c r="C27" i="7"/>
  <c r="E27" i="7"/>
  <c r="F27" i="7"/>
  <c r="H27" i="7"/>
  <c r="I27" i="7"/>
  <c r="J27" i="7"/>
  <c r="K27" i="7"/>
  <c r="L27" i="7"/>
  <c r="M27" i="7"/>
  <c r="N27" i="7"/>
  <c r="G30" i="7"/>
  <c r="H30" i="7"/>
  <c r="G31" i="7"/>
  <c r="G32" i="7"/>
  <c r="C34" i="7"/>
  <c r="C8" i="8"/>
  <c r="E8" i="8"/>
  <c r="F8" i="8"/>
  <c r="G8" i="8"/>
  <c r="H8" i="8"/>
  <c r="J8" i="8"/>
  <c r="L8" i="8"/>
  <c r="M8" i="8"/>
  <c r="N8" i="8"/>
  <c r="C9" i="8"/>
  <c r="G9" i="8"/>
  <c r="H9" i="8"/>
  <c r="C10" i="8"/>
  <c r="E10" i="8"/>
  <c r="F10" i="8"/>
  <c r="H10" i="8"/>
  <c r="I10" i="8"/>
  <c r="K10" i="8"/>
  <c r="M10" i="8"/>
  <c r="N10" i="8"/>
  <c r="G13" i="8"/>
  <c r="H13" i="8"/>
  <c r="G14" i="8"/>
  <c r="G15" i="8"/>
  <c r="G24" i="8"/>
  <c r="C25" i="8"/>
  <c r="E25" i="8"/>
  <c r="F25" i="8"/>
  <c r="G25" i="8"/>
  <c r="H25" i="8"/>
  <c r="I25" i="8"/>
  <c r="J25" i="8"/>
  <c r="K25" i="8"/>
  <c r="L25" i="8"/>
  <c r="M25" i="8"/>
  <c r="N25" i="8"/>
  <c r="C26" i="8"/>
  <c r="G26" i="8"/>
  <c r="G27" i="8"/>
  <c r="C28" i="8"/>
  <c r="E28" i="8"/>
  <c r="F28" i="8"/>
  <c r="H28" i="8"/>
  <c r="I28" i="8"/>
  <c r="J28" i="8"/>
  <c r="K28" i="8"/>
  <c r="L28" i="8"/>
  <c r="M28" i="8"/>
  <c r="N28" i="8"/>
  <c r="C31" i="8"/>
  <c r="G31" i="8"/>
  <c r="H31" i="8"/>
  <c r="G32" i="8"/>
  <c r="G33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C6" i="3"/>
  <c r="E6" i="3"/>
  <c r="F6" i="3"/>
  <c r="G6" i="3"/>
  <c r="H6" i="3"/>
  <c r="J6" i="3"/>
  <c r="L6" i="3"/>
  <c r="M6" i="3"/>
  <c r="N6" i="3"/>
  <c r="E7" i="3"/>
  <c r="G7" i="3"/>
  <c r="C9" i="3"/>
  <c r="E9" i="3"/>
  <c r="F9" i="3"/>
  <c r="G9" i="3"/>
  <c r="H9" i="3"/>
  <c r="I9" i="3"/>
  <c r="J9" i="3"/>
  <c r="K9" i="3"/>
  <c r="L9" i="3"/>
  <c r="M9" i="3"/>
  <c r="N9" i="3"/>
  <c r="E10" i="3"/>
  <c r="G10" i="3"/>
  <c r="H10" i="3"/>
  <c r="C11" i="3"/>
  <c r="E11" i="3"/>
  <c r="F11" i="3"/>
  <c r="H11" i="3"/>
  <c r="I11" i="3"/>
  <c r="J11" i="3"/>
  <c r="K11" i="3"/>
  <c r="L11" i="3"/>
  <c r="M11" i="3"/>
  <c r="N11" i="3"/>
  <c r="C12" i="3"/>
  <c r="G14" i="3"/>
  <c r="H14" i="3"/>
  <c r="G15" i="3"/>
  <c r="H15" i="3"/>
  <c r="G16" i="3"/>
  <c r="C21" i="3"/>
  <c r="G23" i="3"/>
  <c r="C24" i="3"/>
  <c r="E24" i="3"/>
  <c r="F24" i="3"/>
  <c r="G24" i="3"/>
  <c r="H24" i="3"/>
  <c r="I24" i="3"/>
  <c r="J24" i="3"/>
  <c r="K24" i="3"/>
  <c r="L24" i="3"/>
  <c r="M24" i="3"/>
  <c r="N24" i="3"/>
  <c r="E25" i="3"/>
  <c r="G25" i="3"/>
  <c r="G26" i="3"/>
  <c r="C27" i="3"/>
  <c r="E27" i="3"/>
  <c r="F27" i="3"/>
  <c r="H27" i="3"/>
  <c r="I27" i="3"/>
  <c r="J27" i="3"/>
  <c r="K27" i="3"/>
  <c r="L27" i="3"/>
  <c r="M27" i="3"/>
  <c r="N27" i="3"/>
  <c r="G30" i="3"/>
  <c r="H30" i="3"/>
  <c r="G31" i="3"/>
  <c r="K31" i="3"/>
  <c r="G32" i="3"/>
  <c r="D39" i="3"/>
  <c r="D40" i="3"/>
  <c r="D41" i="3"/>
  <c r="D42" i="3"/>
  <c r="D43" i="3"/>
  <c r="D44" i="3"/>
  <c r="D45" i="3"/>
  <c r="D46" i="3"/>
  <c r="C8" i="4"/>
  <c r="E8" i="4"/>
  <c r="F8" i="4"/>
  <c r="G8" i="4"/>
  <c r="H8" i="4"/>
  <c r="J8" i="4"/>
  <c r="L8" i="4"/>
  <c r="M8" i="4"/>
  <c r="N8" i="4"/>
  <c r="C9" i="4"/>
  <c r="G9" i="4"/>
  <c r="H9" i="4"/>
  <c r="C10" i="4"/>
  <c r="E10" i="4"/>
  <c r="F10" i="4"/>
  <c r="H10" i="4"/>
  <c r="I10" i="4"/>
  <c r="J10" i="4"/>
  <c r="K10" i="4"/>
  <c r="L10" i="4"/>
  <c r="M10" i="4"/>
  <c r="N10" i="4"/>
  <c r="G13" i="4"/>
  <c r="H13" i="4"/>
  <c r="C14" i="4"/>
  <c r="G14" i="4"/>
  <c r="G15" i="4"/>
  <c r="G24" i="4"/>
  <c r="C25" i="4"/>
  <c r="E25" i="4"/>
  <c r="F25" i="4"/>
  <c r="G25" i="4"/>
  <c r="H25" i="4"/>
  <c r="I25" i="4"/>
  <c r="J25" i="4"/>
  <c r="K25" i="4"/>
  <c r="L25" i="4"/>
  <c r="M25" i="4"/>
  <c r="N25" i="4"/>
  <c r="C26" i="4"/>
  <c r="G26" i="4"/>
  <c r="G27" i="4"/>
  <c r="C28" i="4"/>
  <c r="E28" i="4"/>
  <c r="F28" i="4"/>
  <c r="H28" i="4"/>
  <c r="I28" i="4"/>
  <c r="J28" i="4"/>
  <c r="K28" i="4"/>
  <c r="L28" i="4"/>
  <c r="M28" i="4"/>
  <c r="N28" i="4"/>
  <c r="G31" i="4"/>
  <c r="H31" i="4"/>
  <c r="C32" i="4"/>
  <c r="G32" i="4"/>
  <c r="G33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C6" i="11"/>
  <c r="E6" i="11"/>
  <c r="F6" i="11"/>
  <c r="G6" i="11"/>
  <c r="H6" i="11"/>
  <c r="J6" i="11"/>
  <c r="L6" i="11"/>
  <c r="E7" i="11"/>
  <c r="G7" i="11"/>
  <c r="C9" i="11"/>
  <c r="E9" i="11"/>
  <c r="F9" i="11"/>
  <c r="G9" i="11"/>
  <c r="H9" i="11"/>
  <c r="I9" i="11"/>
  <c r="J9" i="11"/>
  <c r="K9" i="11"/>
  <c r="L9" i="11"/>
  <c r="E10" i="11"/>
  <c r="G10" i="11"/>
  <c r="H10" i="11"/>
  <c r="C11" i="11"/>
  <c r="E11" i="11"/>
  <c r="F11" i="11"/>
  <c r="H11" i="11"/>
  <c r="I11" i="11"/>
  <c r="K11" i="11"/>
  <c r="C13" i="11"/>
  <c r="E13" i="11"/>
  <c r="F13" i="11"/>
  <c r="G13" i="11"/>
  <c r="H13" i="11"/>
  <c r="J13" i="11"/>
  <c r="L13" i="11"/>
  <c r="G14" i="11"/>
  <c r="H14" i="11"/>
  <c r="G15" i="11"/>
  <c r="E16" i="11"/>
  <c r="G16" i="11"/>
  <c r="C17" i="11"/>
  <c r="E17" i="11"/>
  <c r="F17" i="11"/>
  <c r="G17" i="11"/>
  <c r="H17" i="11"/>
  <c r="I17" i="11"/>
  <c r="J17" i="11"/>
  <c r="K17" i="11"/>
  <c r="L17" i="11"/>
  <c r="E18" i="11"/>
  <c r="G18" i="11"/>
  <c r="G19" i="11"/>
  <c r="E20" i="11"/>
  <c r="G20" i="11"/>
  <c r="G21" i="11"/>
  <c r="E22" i="11"/>
  <c r="G22" i="11"/>
  <c r="C23" i="11"/>
  <c r="E23" i="11"/>
  <c r="F23" i="11"/>
  <c r="G23" i="11"/>
  <c r="H23" i="11"/>
  <c r="I23" i="11"/>
  <c r="J23" i="11"/>
  <c r="K23" i="11"/>
  <c r="L23" i="11"/>
  <c r="C25" i="11"/>
  <c r="D25" i="11"/>
  <c r="F26" i="11"/>
  <c r="C27" i="11"/>
  <c r="D28" i="11"/>
  <c r="F29" i="11"/>
  <c r="D30" i="11"/>
  <c r="E30" i="11"/>
  <c r="G33" i="11"/>
  <c r="H33" i="11"/>
  <c r="M33" i="11"/>
  <c r="G34" i="11"/>
  <c r="K34" i="11"/>
  <c r="L34" i="11"/>
  <c r="G35" i="11"/>
  <c r="K35" i="11"/>
  <c r="G36" i="11"/>
  <c r="H50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17" i="13"/>
  <c r="D18" i="13"/>
  <c r="C19" i="13"/>
  <c r="E20" i="13"/>
  <c r="A21" i="13"/>
  <c r="E21" i="13"/>
  <c r="A22" i="13"/>
  <c r="F22" i="13"/>
  <c r="A23" i="13"/>
  <c r="C23" i="13"/>
  <c r="A24" i="13"/>
  <c r="D24" i="13"/>
  <c r="A26" i="13"/>
  <c r="E26" i="13"/>
  <c r="A27" i="13"/>
  <c r="F27" i="13"/>
  <c r="A28" i="13"/>
  <c r="F28" i="13"/>
  <c r="A30" i="13"/>
  <c r="C30" i="13"/>
  <c r="A31" i="13"/>
  <c r="D31" i="13"/>
  <c r="A32" i="13"/>
  <c r="F32" i="13"/>
  <c r="A33" i="13"/>
  <c r="F33" i="13"/>
  <c r="A34" i="13"/>
  <c r="F34" i="13"/>
  <c r="A36" i="13"/>
  <c r="C36" i="13"/>
  <c r="B37" i="13"/>
  <c r="A38" i="13"/>
  <c r="D38" i="13"/>
  <c r="A39" i="13"/>
  <c r="C39" i="13"/>
  <c r="A40" i="13"/>
  <c r="D40" i="13"/>
  <c r="A41" i="13"/>
  <c r="E41" i="13"/>
  <c r="A42" i="13"/>
  <c r="E42" i="13"/>
  <c r="A43" i="13"/>
  <c r="B43" i="13"/>
  <c r="A44" i="13"/>
  <c r="B44" i="13"/>
  <c r="A45" i="13"/>
  <c r="D45" i="13"/>
  <c r="A46" i="13"/>
  <c r="E46" i="13"/>
  <c r="A47" i="13"/>
  <c r="C47" i="13"/>
  <c r="A48" i="13"/>
  <c r="D48" i="13"/>
  <c r="A49" i="13"/>
  <c r="E49" i="13"/>
  <c r="A50" i="13"/>
  <c r="C50" i="13"/>
  <c r="C6" i="5"/>
  <c r="E6" i="5"/>
  <c r="F6" i="5"/>
  <c r="G6" i="5"/>
  <c r="H6" i="5"/>
  <c r="J6" i="5"/>
  <c r="L6" i="5"/>
  <c r="M6" i="5"/>
  <c r="N6" i="5"/>
  <c r="E7" i="5"/>
  <c r="G7" i="5"/>
  <c r="C9" i="5"/>
  <c r="E9" i="5"/>
  <c r="F9" i="5"/>
  <c r="G9" i="5"/>
  <c r="H9" i="5"/>
  <c r="I9" i="5"/>
  <c r="J9" i="5"/>
  <c r="K9" i="5"/>
  <c r="L9" i="5"/>
  <c r="M9" i="5"/>
  <c r="N9" i="5"/>
  <c r="E10" i="5"/>
  <c r="G10" i="5"/>
  <c r="G11" i="5"/>
  <c r="E12" i="5"/>
  <c r="G12" i="5"/>
  <c r="H12" i="5"/>
  <c r="C13" i="5"/>
  <c r="E13" i="5"/>
  <c r="F13" i="5"/>
  <c r="G13" i="5"/>
  <c r="H13" i="5"/>
  <c r="I13" i="5"/>
  <c r="J13" i="5"/>
  <c r="K13" i="5"/>
  <c r="L13" i="5"/>
  <c r="M13" i="5"/>
  <c r="N13" i="5"/>
  <c r="G27" i="5"/>
  <c r="H27" i="5"/>
  <c r="G28" i="5"/>
  <c r="K28" i="5"/>
  <c r="G29" i="5"/>
  <c r="J30" i="5"/>
  <c r="C32" i="5"/>
  <c r="G36" i="5"/>
  <c r="C37" i="5"/>
  <c r="E37" i="5"/>
  <c r="F37" i="5"/>
  <c r="G37" i="5"/>
  <c r="H37" i="5"/>
  <c r="I37" i="5"/>
  <c r="J37" i="5"/>
  <c r="K37" i="5"/>
  <c r="L37" i="5"/>
  <c r="M37" i="5"/>
  <c r="N37" i="5"/>
  <c r="E38" i="5"/>
  <c r="G38" i="5"/>
  <c r="G39" i="5"/>
  <c r="C40" i="5"/>
  <c r="E40" i="5"/>
  <c r="F40" i="5"/>
  <c r="H40" i="5"/>
  <c r="I40" i="5"/>
  <c r="J40" i="5"/>
  <c r="K40" i="5"/>
  <c r="L40" i="5"/>
  <c r="M40" i="5"/>
  <c r="N40" i="5"/>
  <c r="G43" i="5"/>
  <c r="H43" i="5"/>
  <c r="G44" i="5"/>
  <c r="G45" i="5"/>
  <c r="L46" i="5"/>
  <c r="E52" i="5"/>
  <c r="E53" i="5"/>
  <c r="E54" i="5"/>
  <c r="E55" i="5"/>
  <c r="E56" i="5"/>
  <c r="E57" i="5"/>
  <c r="E58" i="5"/>
  <c r="E59" i="5"/>
  <c r="E60" i="5"/>
  <c r="E61" i="5"/>
  <c r="C8" i="6"/>
  <c r="E8" i="6"/>
  <c r="F8" i="6"/>
  <c r="G8" i="6"/>
  <c r="H8" i="6"/>
  <c r="J8" i="6"/>
  <c r="L8" i="6"/>
  <c r="M8" i="6"/>
  <c r="N8" i="6"/>
  <c r="C9" i="6"/>
  <c r="G9" i="6"/>
  <c r="H9" i="6"/>
  <c r="C10" i="6"/>
  <c r="E10" i="6"/>
  <c r="F10" i="6"/>
  <c r="G10" i="6"/>
  <c r="H10" i="6"/>
  <c r="I10" i="6"/>
  <c r="J10" i="6"/>
  <c r="K10" i="6"/>
  <c r="L10" i="6"/>
  <c r="M10" i="6"/>
  <c r="N10" i="6"/>
  <c r="G13" i="6"/>
  <c r="H13" i="6"/>
  <c r="C14" i="6"/>
  <c r="G14" i="6"/>
  <c r="G15" i="6"/>
  <c r="G24" i="6"/>
  <c r="C25" i="6"/>
  <c r="E25" i="6"/>
  <c r="F25" i="6"/>
  <c r="G25" i="6"/>
  <c r="H25" i="6"/>
  <c r="I25" i="6"/>
  <c r="J25" i="6"/>
  <c r="K25" i="6"/>
  <c r="L25" i="6"/>
  <c r="M25" i="6"/>
  <c r="N25" i="6"/>
  <c r="C26" i="6"/>
  <c r="G26" i="6"/>
  <c r="G27" i="6"/>
  <c r="C28" i="6"/>
  <c r="E28" i="6"/>
  <c r="F28" i="6"/>
  <c r="H28" i="6"/>
  <c r="I28" i="6"/>
  <c r="J28" i="6"/>
  <c r="K28" i="6"/>
  <c r="L28" i="6"/>
  <c r="M28" i="6"/>
  <c r="N28" i="6"/>
  <c r="C31" i="6"/>
  <c r="F31" i="6"/>
  <c r="G31" i="6"/>
  <c r="F32" i="6"/>
  <c r="F33" i="6"/>
  <c r="C40" i="6"/>
  <c r="B41" i="6"/>
  <c r="C41" i="6"/>
  <c r="J41" i="6"/>
  <c r="B42" i="6"/>
  <c r="C42" i="6"/>
  <c r="F42" i="6"/>
  <c r="H42" i="6"/>
  <c r="I42" i="6"/>
  <c r="J42" i="6"/>
  <c r="K42" i="6"/>
  <c r="L42" i="6"/>
  <c r="M42" i="6"/>
  <c r="N42" i="6"/>
  <c r="O42" i="6"/>
  <c r="P42" i="6"/>
  <c r="Q42" i="6"/>
  <c r="B43" i="6"/>
  <c r="C43" i="6"/>
  <c r="H43" i="6"/>
  <c r="J43" i="6"/>
  <c r="B44" i="6"/>
  <c r="C44" i="6"/>
  <c r="J44" i="6"/>
  <c r="B45" i="6"/>
  <c r="C45" i="6"/>
  <c r="F45" i="6"/>
  <c r="H45" i="6"/>
  <c r="I45" i="6"/>
  <c r="K45" i="6"/>
  <c r="L45" i="6"/>
  <c r="M45" i="6"/>
  <c r="N45" i="6"/>
  <c r="O45" i="6"/>
  <c r="P45" i="6"/>
  <c r="Q45" i="6"/>
  <c r="B46" i="6"/>
  <c r="C46" i="6"/>
  <c r="F48" i="6"/>
  <c r="J48" i="6"/>
  <c r="K48" i="6"/>
  <c r="J49" i="6"/>
  <c r="J50" i="6"/>
</calcChain>
</file>

<file path=xl/sharedStrings.xml><?xml version="1.0" encoding="utf-8"?>
<sst xmlns="http://schemas.openxmlformats.org/spreadsheetml/2006/main" count="685" uniqueCount="138">
  <si>
    <t>Computed</t>
  </si>
  <si>
    <t>Input</t>
  </si>
  <si>
    <t>Calculation block</t>
  </si>
  <si>
    <t>NE SPREADER</t>
  </si>
  <si>
    <t>gap(inches)</t>
  </si>
  <si>
    <t>Magnet</t>
  </si>
  <si>
    <t>Angle</t>
  </si>
  <si>
    <t>effective steel</t>
  </si>
  <si>
    <t>Lelement</t>
  </si>
  <si>
    <t>Rho</t>
  </si>
  <si>
    <t>Elevation</t>
  </si>
  <si>
    <t>B[kG]</t>
  </si>
  <si>
    <t>F. Entrance</t>
  </si>
  <si>
    <t>F. Exit</t>
  </si>
  <si>
    <t>Leff entrance</t>
  </si>
  <si>
    <t>Leff exit</t>
  </si>
  <si>
    <t>MXQ1S01</t>
  </si>
  <si>
    <t>Floor distance</t>
  </si>
  <si>
    <t>MXJ1S03</t>
  </si>
  <si>
    <t>]</t>
  </si>
  <si>
    <t>Solve for MAQ1S01 angle</t>
  </si>
  <si>
    <t xml:space="preserve"> </t>
  </si>
  <si>
    <t>x(k)</t>
  </si>
  <si>
    <t>f(x)</t>
  </si>
  <si>
    <t>To next</t>
  </si>
  <si>
    <t>F'(x)</t>
  </si>
  <si>
    <t>P(MeV/c)</t>
  </si>
  <si>
    <t>Kinetic Energy</t>
  </si>
  <si>
    <t>MXI1S05</t>
  </si>
  <si>
    <t>MXI1S06</t>
  </si>
  <si>
    <t>Solve for MAI1S04/MAI1S06 angle</t>
  </si>
  <si>
    <t>Floor</t>
  </si>
  <si>
    <t>ARC1 dipole settings</t>
  </si>
  <si>
    <t>Lsteel</t>
  </si>
  <si>
    <t>Leff</t>
  </si>
  <si>
    <t>Efflen</t>
  </si>
  <si>
    <t>Me</t>
  </si>
  <si>
    <t>SW SPREADER</t>
  </si>
  <si>
    <t>From previous</t>
  </si>
  <si>
    <t>BDL</t>
  </si>
  <si>
    <t>BDL design</t>
  </si>
  <si>
    <t>MXR2S01</t>
  </si>
  <si>
    <t>MXH2S02</t>
  </si>
  <si>
    <t>MXY2S03</t>
  </si>
  <si>
    <t>Solve for MXH2S02 angle</t>
  </si>
  <si>
    <r>
      <t>2</t>
    </r>
    <r>
      <rPr>
        <vertAlign val="superscript"/>
        <sz val="10"/>
        <rFont val="Luxi Sans"/>
        <family val="2"/>
      </rPr>
      <t>nd</t>
    </r>
    <r>
      <rPr>
        <sz val="10"/>
        <rFont val="Luxi Sans"/>
        <family val="2"/>
      </rPr>
      <t xml:space="preserve"> step</t>
    </r>
  </si>
  <si>
    <t>MXK2S04</t>
  </si>
  <si>
    <t>MXK2S06</t>
  </si>
  <si>
    <t>Solve for MAI2S04/MAI2S06 angle</t>
  </si>
  <si>
    <t>Floor length</t>
  </si>
  <si>
    <t>ARC2 dipole settings</t>
  </si>
  <si>
    <t>MXS3S02</t>
  </si>
  <si>
    <t>MXM3S03</t>
  </si>
  <si>
    <t>Solve for MAS3S02 angle</t>
  </si>
  <si>
    <t>ZS03out</t>
  </si>
  <si>
    <t>ZS04in</t>
  </si>
  <si>
    <t>MXA3S05</t>
  </si>
  <si>
    <t>MXA3S06</t>
  </si>
  <si>
    <t>Solve for MAA3S04/MAA3S06 angle</t>
  </si>
  <si>
    <t>ARC3 dipole settings</t>
  </si>
  <si>
    <t>MAW2S01</t>
  </si>
  <si>
    <t>MAX4S02</t>
  </si>
  <si>
    <t>MAV4S03</t>
  </si>
  <si>
    <t>Solve for MAX4S02 angle</t>
  </si>
  <si>
    <t>MAF4S04</t>
  </si>
  <si>
    <t>MAF4S06</t>
  </si>
  <si>
    <t>Solve for MAF4S04/MAF4S06 angle</t>
  </si>
  <si>
    <t>ARC4 dipole settings</t>
  </si>
  <si>
    <t>MXN5S03</t>
  </si>
  <si>
    <t>MXW5S04</t>
  </si>
  <si>
    <t>ZS02out</t>
  </si>
  <si>
    <t>Zso3in</t>
  </si>
  <si>
    <t>5S03 length</t>
  </si>
  <si>
    <t>MXD5S05</t>
  </si>
  <si>
    <t>MXD5S06</t>
  </si>
  <si>
    <t>Solve for MAC5S04/MAC5S06 angle</t>
  </si>
  <si>
    <t>ARC5 dipole settings</t>
  </si>
  <si>
    <t>MAU6S03</t>
  </si>
  <si>
    <t>MAB6S04</t>
  </si>
  <si>
    <t>MAB6S06</t>
  </si>
  <si>
    <t>Solve for MAB6S04/MAB6S06 angle</t>
  </si>
  <si>
    <t>Distance btw 6S04 and 6S06 is not the usual 4.0m (as in 6GeV). It was changed to solve interferences problems</t>
  </si>
  <si>
    <t>Steel</t>
  </si>
  <si>
    <t>MAB6R01</t>
  </si>
  <si>
    <t>MAB6R03</t>
  </si>
  <si>
    <t>Solve for MAB6R01/MAB6R03 angle</t>
  </si>
  <si>
    <t>ARC6 dipole settings</t>
  </si>
  <si>
    <t>Distance btw 6R01 and 6R03 is not the same as distance between 6S04 and 6S06. Was changed to solve interference problems</t>
  </si>
  <si>
    <t>MZA7S03</t>
  </si>
  <si>
    <t>MXC7S05</t>
  </si>
  <si>
    <t>MXC7S06</t>
  </si>
  <si>
    <t>Solve for MAC7S04/MAC7S06 angle</t>
  </si>
  <si>
    <t>Exit of</t>
  </si>
  <si>
    <t xml:space="preserve">Floor </t>
  </si>
  <si>
    <t>MAQ1S01</t>
  </si>
  <si>
    <t>MAS3S02</t>
  </si>
  <si>
    <t>MYR7S03</t>
  </si>
  <si>
    <t>MAC7S04</t>
  </si>
  <si>
    <t>MAC7S06</t>
  </si>
  <si>
    <t>ARC7 dipole settings</t>
  </si>
  <si>
    <t>MYR8S03</t>
  </si>
  <si>
    <t>MAE8S04</t>
  </si>
  <si>
    <t>MAE8S06</t>
  </si>
  <si>
    <t>Solve for MAB8S04/MAB8S06 angle</t>
  </si>
  <si>
    <t>Lengthening MYR8S03 will result in higher elevation at the exit of it instead of the usual 100.3 we get 100.344</t>
  </si>
  <si>
    <t>ARC8 dipole settings</t>
  </si>
  <si>
    <t>MYR9S04</t>
  </si>
  <si>
    <t>MAR9S06</t>
  </si>
  <si>
    <t>Solve for MYR9S04/MAH9S05 angles</t>
  </si>
  <si>
    <t>ARC9 dipole settings</t>
  </si>
  <si>
    <t>MYRAS04</t>
  </si>
  <si>
    <t>MAHAS06</t>
  </si>
  <si>
    <t>Solve for MYRAS04/MAHAS06 angles</t>
  </si>
  <si>
    <t>MAHAS05</t>
  </si>
  <si>
    <t>ARCA dipole settings</t>
  </si>
  <si>
    <t>gonio to wall</t>
  </si>
  <si>
    <t>MYBBS04</t>
  </si>
  <si>
    <t>MYRBS05</t>
  </si>
  <si>
    <t>jay</t>
  </si>
  <si>
    <t>new</t>
  </si>
  <si>
    <t>diff</t>
  </si>
  <si>
    <t>MYBBS06</t>
  </si>
  <si>
    <t>MAGBS07</t>
  </si>
  <si>
    <t>MBQBS08</t>
  </si>
  <si>
    <t>MQBBS09</t>
  </si>
  <si>
    <t>Solve for total angle</t>
  </si>
  <si>
    <t/>
  </si>
  <si>
    <t>goniotodipole</t>
  </si>
  <si>
    <t>gonio</t>
  </si>
  <si>
    <t>east face dip</t>
  </si>
  <si>
    <t>goniotoquadcenter</t>
  </si>
  <si>
    <t>quadleftface</t>
  </si>
  <si>
    <t>west face dip</t>
  </si>
  <si>
    <t>2S</t>
  </si>
  <si>
    <t>4S</t>
  </si>
  <si>
    <t>6S</t>
  </si>
  <si>
    <t>8S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</si>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</sst>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0.0000E+00"/>
    <numFmt numFmtId="165" formatCode="#,##0.000000"/>
    <numFmt numFmtId="166" formatCode="#,##0.0000"/>
    <numFmt numFmtId="167" formatCode="#,##0.00000000"/>
    <numFmt numFmtId="168" formatCode="0.000&quot; m&quot;"/>
    <numFmt numFmtId="169" formatCode="#,###.0000"/>
    <numFmt numFmtId="170" formatCode="0.000"/>
    <numFmt numFmtId="171" formatCode="0.00000000"/>
    <numFmt numFmtId="172" formatCode="0.00000000000000"/>
    <numFmt numFmtId="173" formatCode="0.0000000000"/>
    <numFmt numFmtId="174" formatCode="#,##0.0000000000"/>
    <numFmt numFmtId="175" formatCode="#,##0.000000000_);\(#,##0.000000000\)"/>
    <numFmt numFmtId="176" formatCode="0.000000000_);\(0.000000000\)"/>
    <numFmt numFmtId="177" formatCode="#,##0.0000000000_);\(#,##0.0000000000\)"/>
    <numFmt numFmtId="178" formatCode="0.000000000"/>
    <numFmt numFmtId="179" formatCode="#,##0.000000000"/>
    <numFmt numFmtId="180" formatCode="0.000&quot; deg&quot;"/>
  </numFmts>
  <fonts count="29"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Luxi Sans"/>
      <family val="2"/>
    </font>
    <font>
      <sz val="10"/>
      <name val="Luxi Sans"/>
      <family val="2"/>
    </font>
    <font>
      <sz val="9"/>
      <name val="Times New Roman"/>
      <family val="1"/>
    </font>
    <font>
      <vertAlign val="superscript"/>
      <sz val="10"/>
      <name val="Luxi Sans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3.8"/>
      <color indexed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1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24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1"/>
      </patternFill>
    </fill>
    <fill>
      <patternFill patternType="solid">
        <fgColor indexed="46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2" tint="-9.9948118533890809E-2"/>
        <bgColor indexed="39"/>
      </patternFill>
    </fill>
    <fill>
      <patternFill patternType="solid">
        <fgColor rgb="FFFFC000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39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39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4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" fillId="18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8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6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2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6" borderId="1" applyNumberFormat="0" applyAlignment="0" applyProtection="0"/>
    <xf numFmtId="0" fontId="5" fillId="27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4" applyNumberFormat="0" applyFill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6" fillId="4" borderId="12" applyNumberFormat="0" applyAlignment="0" applyProtection="0"/>
    <xf numFmtId="0" fontId="14" fillId="26" borderId="8" applyNumberFormat="0" applyAlignment="0" applyProtection="0"/>
    <xf numFmtId="0" fontId="21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</cellStyleXfs>
  <cellXfs count="195">
    <xf numFmtId="0" fontId="0" fillId="0" borderId="0" xfId="0"/>
    <xf numFmtId="0" fontId="0" fillId="28" borderId="0" xfId="0" applyFill="1"/>
    <xf numFmtId="0" fontId="0" fillId="29" borderId="0" xfId="0" applyFill="1"/>
    <xf numFmtId="0" fontId="0" fillId="10" borderId="0" xfId="0" applyFill="1"/>
    <xf numFmtId="0" fontId="22" fillId="0" borderId="0" xfId="0" applyFont="1"/>
    <xf numFmtId="164" fontId="23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29" borderId="0" xfId="0" applyNumberFormat="1" applyFill="1" applyProtection="1">
      <protection locked="0"/>
    </xf>
    <xf numFmtId="168" fontId="0" fillId="29" borderId="0" xfId="0" applyNumberFormat="1" applyFill="1" applyAlignment="1">
      <alignment horizontal="center"/>
    </xf>
    <xf numFmtId="167" fontId="0" fillId="28" borderId="0" xfId="0" applyNumberFormat="1" applyFill="1"/>
    <xf numFmtId="165" fontId="0" fillId="28" borderId="0" xfId="0" applyNumberFormat="1" applyFill="1"/>
    <xf numFmtId="166" fontId="0" fillId="28" borderId="0" xfId="0" applyNumberFormat="1" applyFill="1"/>
    <xf numFmtId="165" fontId="0" fillId="28" borderId="0" xfId="0" applyNumberFormat="1" applyFill="1" applyAlignment="1">
      <alignment horizontal="right"/>
    </xf>
    <xf numFmtId="167" fontId="0" fillId="0" borderId="0" xfId="0" applyNumberFormat="1"/>
    <xf numFmtId="165" fontId="24" fillId="28" borderId="0" xfId="0" applyNumberFormat="1" applyFont="1" applyFill="1"/>
    <xf numFmtId="168" fontId="0" fillId="0" borderId="0" xfId="0" applyNumberFormat="1" applyAlignment="1">
      <alignment horizontal="center"/>
    </xf>
    <xf numFmtId="169" fontId="0" fillId="28" borderId="0" xfId="0" applyNumberFormat="1" applyFill="1"/>
    <xf numFmtId="170" fontId="0" fillId="29" borderId="14" xfId="0" applyNumberForma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16" xfId="0" applyFont="1" applyFill="1" applyBorder="1" applyAlignment="1">
      <alignment horizontal="right"/>
    </xf>
    <xf numFmtId="0" fontId="0" fillId="0" borderId="0" xfId="0" applyFill="1"/>
    <xf numFmtId="165" fontId="0" fillId="0" borderId="17" xfId="0" applyNumberFormat="1" applyFill="1" applyBorder="1"/>
    <xf numFmtId="165" fontId="0" fillId="0" borderId="0" xfId="0" applyNumberFormat="1" applyFill="1"/>
    <xf numFmtId="0" fontId="0" fillId="0" borderId="17" xfId="0" applyFill="1" applyBorder="1"/>
    <xf numFmtId="168" fontId="0" fillId="0" borderId="18" xfId="0" applyNumberFormat="1" applyBorder="1" applyAlignment="1">
      <alignment horizontal="center"/>
    </xf>
    <xf numFmtId="0" fontId="23" fillId="0" borderId="19" xfId="0" applyFont="1" applyFill="1" applyBorder="1" applyAlignment="1">
      <alignment horizontal="right"/>
    </xf>
    <xf numFmtId="165" fontId="0" fillId="0" borderId="20" xfId="0" applyNumberFormat="1" applyFill="1" applyBorder="1"/>
    <xf numFmtId="0" fontId="0" fillId="0" borderId="21" xfId="0" applyFill="1" applyBorder="1"/>
    <xf numFmtId="169" fontId="0" fillId="0" borderId="0" xfId="0" applyNumberFormat="1"/>
    <xf numFmtId="0" fontId="0" fillId="29" borderId="0" xfId="0" applyFill="1" applyProtection="1">
      <protection locked="0"/>
    </xf>
    <xf numFmtId="165" fontId="0" fillId="29" borderId="0" xfId="0" applyNumberFormat="1" applyFill="1" applyProtection="1">
      <protection locked="0"/>
    </xf>
    <xf numFmtId="0" fontId="0" fillId="0" borderId="0" xfId="0" applyNumberFormat="1"/>
    <xf numFmtId="165" fontId="24" fillId="0" borderId="0" xfId="0" applyNumberFormat="1" applyFont="1" applyFill="1"/>
    <xf numFmtId="165" fontId="0" fillId="29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169" fontId="0" fillId="0" borderId="0" xfId="0" applyNumberFormat="1" applyFill="1"/>
    <xf numFmtId="166" fontId="0" fillId="0" borderId="0" xfId="0" applyNumberFormat="1" applyFill="1"/>
    <xf numFmtId="0" fontId="0" fillId="0" borderId="0" xfId="0" applyProtection="1"/>
    <xf numFmtId="0" fontId="22" fillId="0" borderId="0" xfId="0" applyFont="1" applyProtection="1"/>
    <xf numFmtId="0" fontId="0" fillId="29" borderId="0" xfId="0" applyFill="1" applyProtection="1"/>
    <xf numFmtId="0" fontId="0" fillId="10" borderId="0" xfId="0" applyFill="1" applyProtection="1"/>
    <xf numFmtId="164" fontId="23" fillId="0" borderId="0" xfId="0" applyNumberFormat="1" applyFont="1" applyProtection="1"/>
    <xf numFmtId="165" fontId="0" fillId="0" borderId="0" xfId="0" applyNumberFormat="1" applyProtection="1"/>
    <xf numFmtId="166" fontId="0" fillId="0" borderId="0" xfId="0" applyNumberFormat="1" applyFill="1" applyProtection="1"/>
    <xf numFmtId="166" fontId="0" fillId="0" borderId="0" xfId="0" applyNumberFormat="1" applyProtection="1"/>
    <xf numFmtId="0" fontId="23" fillId="0" borderId="0" xfId="0" applyFont="1" applyAlignment="1" applyProtection="1">
      <alignment horizontal="left"/>
    </xf>
    <xf numFmtId="0" fontId="23" fillId="0" borderId="16" xfId="0" applyFont="1" applyFill="1" applyBorder="1" applyAlignment="1" applyProtection="1">
      <alignment horizontal="right"/>
    </xf>
    <xf numFmtId="165" fontId="0" fillId="0" borderId="17" xfId="0" applyNumberFormat="1" applyFill="1" applyBorder="1" applyProtection="1"/>
    <xf numFmtId="165" fontId="0" fillId="0" borderId="0" xfId="0" applyNumberFormat="1" applyFill="1" applyProtection="1"/>
    <xf numFmtId="0" fontId="0" fillId="0" borderId="17" xfId="0" applyFill="1" applyBorder="1" applyProtection="1"/>
    <xf numFmtId="0" fontId="23" fillId="0" borderId="19" xfId="0" applyFont="1" applyFill="1" applyBorder="1" applyAlignment="1" applyProtection="1">
      <alignment horizontal="right"/>
    </xf>
    <xf numFmtId="165" fontId="0" fillId="0" borderId="20" xfId="0" applyNumberFormat="1" applyFill="1" applyBorder="1" applyProtection="1"/>
    <xf numFmtId="0" fontId="0" fillId="0" borderId="21" xfId="0" applyFill="1" applyBorder="1" applyProtection="1"/>
    <xf numFmtId="0" fontId="0" fillId="0" borderId="0" xfId="0" applyNumberFormat="1" applyProtection="1"/>
    <xf numFmtId="169" fontId="0" fillId="0" borderId="0" xfId="0" applyNumberFormat="1" applyProtection="1"/>
    <xf numFmtId="165" fontId="0" fillId="26" borderId="0" xfId="0" applyNumberFormat="1" applyFill="1" applyProtection="1"/>
    <xf numFmtId="165" fontId="23" fillId="0" borderId="22" xfId="0" applyNumberFormat="1" applyFont="1" applyFill="1" applyBorder="1" applyProtection="1"/>
    <xf numFmtId="165" fontId="23" fillId="0" borderId="23" xfId="0" applyNumberFormat="1" applyFont="1" applyFill="1" applyBorder="1" applyProtection="1"/>
    <xf numFmtId="165" fontId="23" fillId="0" borderId="24" xfId="0" applyNumberFormat="1" applyFont="1" applyFill="1" applyBorder="1" applyProtection="1"/>
    <xf numFmtId="0" fontId="0" fillId="26" borderId="0" xfId="0" applyFill="1"/>
    <xf numFmtId="167" fontId="0" fillId="10" borderId="0" xfId="0" applyNumberFormat="1" applyFill="1"/>
    <xf numFmtId="167" fontId="0" fillId="29" borderId="0" xfId="0" applyNumberFormat="1" applyFill="1" applyProtection="1">
      <protection locked="0"/>
    </xf>
    <xf numFmtId="171" fontId="0" fillId="29" borderId="0" xfId="0" applyNumberFormat="1" applyFill="1" applyAlignment="1">
      <alignment horizontal="center"/>
    </xf>
    <xf numFmtId="0" fontId="0" fillId="29" borderId="0" xfId="0" applyNumberFormat="1" applyFill="1" applyProtection="1">
      <protection locked="0"/>
    </xf>
    <xf numFmtId="171" fontId="0" fillId="29" borderId="14" xfId="0" applyNumberFormat="1" applyFill="1" applyBorder="1" applyAlignment="1">
      <alignment horizontal="center"/>
    </xf>
    <xf numFmtId="171" fontId="0" fillId="0" borderId="25" xfId="0" applyNumberFormat="1" applyBorder="1" applyAlignment="1">
      <alignment horizontal="center"/>
    </xf>
    <xf numFmtId="165" fontId="0" fillId="26" borderId="0" xfId="0" applyNumberFormat="1" applyFill="1"/>
    <xf numFmtId="167" fontId="0" fillId="26" borderId="0" xfId="0" applyNumberFormat="1" applyFill="1"/>
    <xf numFmtId="165" fontId="0" fillId="10" borderId="0" xfId="0" applyNumberFormat="1" applyFill="1" applyProtection="1"/>
    <xf numFmtId="0" fontId="23" fillId="0" borderId="22" xfId="0" applyFont="1" applyFill="1" applyBorder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168" fontId="0" fillId="0" borderId="25" xfId="0" applyNumberFormat="1" applyBorder="1" applyAlignment="1">
      <alignment horizontal="center"/>
    </xf>
    <xf numFmtId="0" fontId="23" fillId="0" borderId="16" xfId="0" applyFont="1" applyFill="1" applyBorder="1" applyProtection="1"/>
    <xf numFmtId="0" fontId="23" fillId="0" borderId="19" xfId="0" applyFont="1" applyFill="1" applyBorder="1" applyProtection="1"/>
    <xf numFmtId="165" fontId="0" fillId="0" borderId="21" xfId="0" applyNumberFormat="1" applyFill="1" applyBorder="1" applyProtection="1"/>
    <xf numFmtId="0" fontId="23" fillId="0" borderId="22" xfId="0" applyFont="1" applyFill="1" applyBorder="1"/>
    <xf numFmtId="0" fontId="0" fillId="0" borderId="23" xfId="0" applyFill="1" applyBorder="1"/>
    <xf numFmtId="0" fontId="0" fillId="0" borderId="24" xfId="0" applyFill="1" applyBorder="1"/>
    <xf numFmtId="0" fontId="23" fillId="0" borderId="16" xfId="0" applyFont="1" applyFill="1" applyBorder="1"/>
    <xf numFmtId="0" fontId="23" fillId="0" borderId="19" xfId="0" applyFont="1" applyFill="1" applyBorder="1"/>
    <xf numFmtId="165" fontId="0" fillId="0" borderId="21" xfId="0" applyNumberFormat="1" applyFill="1" applyBorder="1"/>
    <xf numFmtId="0" fontId="23" fillId="0" borderId="0" xfId="0" applyFont="1"/>
    <xf numFmtId="167" fontId="0" fillId="0" borderId="0" xfId="0" applyNumberFormat="1" applyFill="1"/>
    <xf numFmtId="0" fontId="23" fillId="0" borderId="0" xfId="0" applyFont="1" applyFill="1" applyAlignment="1">
      <alignment horizontal="right"/>
    </xf>
    <xf numFmtId="0" fontId="0" fillId="0" borderId="0" xfId="0" quotePrefix="1"/>
    <xf numFmtId="2" fontId="0" fillId="30" borderId="0" xfId="0" applyNumberFormat="1" applyFill="1" applyProtection="1">
      <protection locked="0"/>
    </xf>
    <xf numFmtId="171" fontId="0" fillId="0" borderId="0" xfId="0" applyNumberFormat="1"/>
    <xf numFmtId="172" fontId="0" fillId="0" borderId="0" xfId="0" applyNumberFormat="1"/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0" fontId="23" fillId="0" borderId="0" xfId="0" applyFont="1" applyFill="1" applyAlignment="1">
      <alignment horizontal="left"/>
    </xf>
    <xf numFmtId="0" fontId="0" fillId="0" borderId="0" xfId="0" applyFill="1" applyBorder="1"/>
    <xf numFmtId="0" fontId="23" fillId="0" borderId="0" xfId="0" applyFont="1" applyFill="1" applyBorder="1" applyAlignment="1">
      <alignment horizontal="right"/>
    </xf>
    <xf numFmtId="173" fontId="0" fillId="28" borderId="0" xfId="0" applyNumberFormat="1" applyFill="1"/>
    <xf numFmtId="173" fontId="0" fillId="0" borderId="0" xfId="0" applyNumberFormat="1"/>
    <xf numFmtId="174" fontId="24" fillId="28" borderId="0" xfId="0" applyNumberFormat="1" applyFont="1" applyFill="1"/>
    <xf numFmtId="174" fontId="0" fillId="26" borderId="0" xfId="0" applyNumberFormat="1" applyFill="1"/>
    <xf numFmtId="173" fontId="0" fillId="26" borderId="0" xfId="0" applyNumberFormat="1" applyFill="1"/>
    <xf numFmtId="173" fontId="0" fillId="31" borderId="0" xfId="0" applyNumberFormat="1" applyFill="1" applyAlignment="1">
      <alignment horizontal="center"/>
    </xf>
    <xf numFmtId="173" fontId="0" fillId="30" borderId="0" xfId="0" applyNumberFormat="1" applyFill="1" applyAlignment="1" applyProtection="1">
      <alignment horizontal="center"/>
      <protection locked="0"/>
    </xf>
    <xf numFmtId="173" fontId="0" fillId="0" borderId="0" xfId="0" applyNumberFormat="1" applyAlignment="1">
      <alignment horizontal="center"/>
    </xf>
    <xf numFmtId="173" fontId="0" fillId="0" borderId="0" xfId="0" applyNumberFormat="1" applyAlignment="1" applyProtection="1">
      <alignment horizontal="center"/>
      <protection locked="0"/>
    </xf>
    <xf numFmtId="173" fontId="24" fillId="28" borderId="0" xfId="0" applyNumberFormat="1" applyFont="1" applyFill="1"/>
    <xf numFmtId="173" fontId="0" fillId="29" borderId="0" xfId="0" applyNumberFormat="1" applyFill="1" applyProtection="1">
      <protection locked="0"/>
    </xf>
    <xf numFmtId="173" fontId="0" fillId="29" borderId="0" xfId="0" applyNumberFormat="1" applyFill="1"/>
    <xf numFmtId="174" fontId="0" fillId="0" borderId="0" xfId="0" applyNumberFormat="1"/>
    <xf numFmtId="174" fontId="0" fillId="28" borderId="0" xfId="0" applyNumberFormat="1" applyFill="1"/>
    <xf numFmtId="174" fontId="0" fillId="32" borderId="0" xfId="0" applyNumberFormat="1" applyFill="1"/>
    <xf numFmtId="0" fontId="0" fillId="30" borderId="0" xfId="0" applyFill="1"/>
    <xf numFmtId="0" fontId="27" fillId="0" borderId="0" xfId="0" applyFont="1"/>
    <xf numFmtId="11" fontId="0" fillId="0" borderId="0" xfId="0" applyNumberFormat="1" applyFill="1"/>
    <xf numFmtId="0" fontId="28" fillId="0" borderId="0" xfId="0" applyFont="1"/>
    <xf numFmtId="175" fontId="0" fillId="0" borderId="0" xfId="0" applyNumberFormat="1"/>
    <xf numFmtId="168" fontId="0" fillId="0" borderId="26" xfId="0" applyNumberFormat="1" applyBorder="1" applyAlignment="1">
      <alignment horizontal="center"/>
    </xf>
    <xf numFmtId="178" fontId="0" fillId="0" borderId="26" xfId="0" applyNumberFormat="1" applyBorder="1" applyAlignment="1">
      <alignment horizontal="center"/>
    </xf>
    <xf numFmtId="170" fontId="0" fillId="0" borderId="27" xfId="0" applyNumberFormat="1" applyBorder="1" applyAlignment="1">
      <alignment horizontal="center"/>
    </xf>
    <xf numFmtId="178" fontId="0" fillId="0" borderId="0" xfId="0" applyNumberFormat="1"/>
    <xf numFmtId="178" fontId="23" fillId="0" borderId="16" xfId="0" applyNumberFormat="1" applyFont="1" applyFill="1" applyBorder="1" applyAlignment="1">
      <alignment horizontal="right"/>
    </xf>
    <xf numFmtId="178" fontId="0" fillId="0" borderId="0" xfId="0" applyNumberFormat="1" applyFill="1"/>
    <xf numFmtId="178" fontId="0" fillId="0" borderId="17" xfId="0" applyNumberFormat="1" applyFill="1" applyBorder="1"/>
    <xf numFmtId="178" fontId="23" fillId="0" borderId="19" xfId="0" applyNumberFormat="1" applyFont="1" applyFill="1" applyBorder="1" applyAlignment="1">
      <alignment horizontal="right"/>
    </xf>
    <xf numFmtId="178" fontId="0" fillId="0" borderId="20" xfId="0" applyNumberFormat="1" applyFill="1" applyBorder="1"/>
    <xf numFmtId="178" fontId="0" fillId="0" borderId="21" xfId="0" applyNumberFormat="1" applyFill="1" applyBorder="1"/>
    <xf numFmtId="178" fontId="0" fillId="0" borderId="0" xfId="0" applyNumberFormat="1" applyProtection="1"/>
    <xf numFmtId="178" fontId="22" fillId="0" borderId="0" xfId="0" applyNumberFormat="1" applyFont="1" applyProtection="1"/>
    <xf numFmtId="178" fontId="0" fillId="26" borderId="0" xfId="0" applyNumberFormat="1" applyFill="1" applyProtection="1"/>
    <xf numFmtId="179" fontId="0" fillId="28" borderId="0" xfId="0" applyNumberFormat="1" applyFill="1"/>
    <xf numFmtId="173" fontId="0" fillId="0" borderId="26" xfId="0" applyNumberFormat="1" applyBorder="1" applyAlignment="1">
      <alignment horizontal="center"/>
    </xf>
    <xf numFmtId="173" fontId="0" fillId="0" borderId="0" xfId="0" applyNumberFormat="1" applyProtection="1"/>
    <xf numFmtId="180" fontId="0" fillId="0" borderId="0" xfId="0" applyNumberFormat="1" applyAlignment="1">
      <alignment horizontal="center"/>
    </xf>
    <xf numFmtId="165" fontId="0" fillId="0" borderId="0" xfId="0" applyNumberFormat="1" applyFill="1" applyBorder="1"/>
    <xf numFmtId="165" fontId="23" fillId="0" borderId="15" xfId="0" applyNumberFormat="1" applyFont="1" applyFill="1" applyBorder="1"/>
    <xf numFmtId="0" fontId="22" fillId="0" borderId="0" xfId="0" applyFont="1" applyBorder="1"/>
    <xf numFmtId="0" fontId="22" fillId="0" borderId="0" xfId="0" applyFont="1" applyBorder="1" applyProtection="1"/>
    <xf numFmtId="178" fontId="0" fillId="30" borderId="0" xfId="0" applyNumberFormat="1" applyFill="1" applyProtection="1">
      <protection locked="0"/>
    </xf>
    <xf numFmtId="178" fontId="0" fillId="30" borderId="0" xfId="0" applyNumberFormat="1" applyFill="1" applyAlignment="1">
      <alignment horizontal="center"/>
    </xf>
    <xf numFmtId="173" fontId="0" fillId="30" borderId="26" xfId="0" applyNumberFormat="1" applyFill="1" applyBorder="1" applyAlignment="1">
      <alignment horizontal="center"/>
    </xf>
    <xf numFmtId="178" fontId="0" fillId="30" borderId="26" xfId="0" applyNumberFormat="1" applyFill="1" applyBorder="1" applyAlignment="1">
      <alignment horizontal="center"/>
    </xf>
    <xf numFmtId="165" fontId="0" fillId="30" borderId="0" xfId="0" applyNumberFormat="1" applyFill="1" applyProtection="1"/>
    <xf numFmtId="173" fontId="0" fillId="30" borderId="0" xfId="0" applyNumberFormat="1" applyFill="1" applyAlignment="1">
      <alignment horizontal="center"/>
    </xf>
    <xf numFmtId="170" fontId="0" fillId="0" borderId="0" xfId="0" applyNumberFormat="1"/>
    <xf numFmtId="168" fontId="0" fillId="30" borderId="0" xfId="0" applyNumberFormat="1" applyFill="1" applyAlignment="1">
      <alignment horizontal="center"/>
    </xf>
    <xf numFmtId="0" fontId="0" fillId="33" borderId="0" xfId="0" applyFill="1"/>
    <xf numFmtId="167" fontId="0" fillId="33" borderId="0" xfId="0" applyNumberFormat="1" applyFill="1" applyProtection="1">
      <protection locked="0"/>
    </xf>
    <xf numFmtId="171" fontId="0" fillId="34" borderId="0" xfId="0" applyNumberFormat="1" applyFill="1" applyAlignment="1">
      <alignment horizontal="center"/>
    </xf>
    <xf numFmtId="0" fontId="0" fillId="35" borderId="0" xfId="0" applyFill="1"/>
    <xf numFmtId="165" fontId="0" fillId="35" borderId="0" xfId="0" applyNumberFormat="1" applyFill="1"/>
    <xf numFmtId="0" fontId="22" fillId="0" borderId="0" xfId="0" applyFont="1" applyFill="1" applyBorder="1" applyAlignment="1"/>
    <xf numFmtId="165" fontId="0" fillId="0" borderId="0" xfId="0" applyNumberFormat="1" applyFill="1" applyBorder="1" applyAlignment="1"/>
    <xf numFmtId="165" fontId="23" fillId="0" borderId="15" xfId="0" applyNumberFormat="1" applyFont="1" applyFill="1" applyBorder="1" applyAlignment="1"/>
    <xf numFmtId="0" fontId="22" fillId="0" borderId="0" xfId="0" applyFont="1" applyBorder="1" applyAlignment="1"/>
    <xf numFmtId="178" fontId="23" fillId="0" borderId="15" xfId="0" applyNumberFormat="1" applyFont="1" applyFill="1" applyBorder="1" applyAlignment="1"/>
    <xf numFmtId="0" fontId="22" fillId="0" borderId="0" xfId="0" applyFont="1" applyBorder="1" applyAlignment="1" applyProtection="1"/>
    <xf numFmtId="165" fontId="23" fillId="0" borderId="15" xfId="0" applyNumberFormat="1" applyFont="1" applyFill="1" applyBorder="1" applyAlignment="1" applyProtection="1"/>
    <xf numFmtId="0" fontId="0" fillId="0" borderId="0" xfId="0" applyBorder="1" applyAlignment="1"/>
    <xf numFmtId="165" fontId="23" fillId="0" borderId="0" xfId="0" applyNumberFormat="1" applyFont="1" applyFill="1" applyBorder="1" applyAlignment="1"/>
    <xf numFmtId="0" fontId="0" fillId="36" borderId="0" xfId="0" applyFill="1"/>
    <xf numFmtId="167" fontId="24" fillId="36" borderId="0" xfId="0" applyNumberFormat="1" applyFont="1" applyFill="1"/>
    <xf numFmtId="173" fontId="0" fillId="36" borderId="0" xfId="0" applyNumberFormat="1" applyFill="1"/>
    <xf numFmtId="165" fontId="0" fillId="36" borderId="0" xfId="0" applyNumberFormat="1" applyFill="1"/>
    <xf numFmtId="166" fontId="0" fillId="36" borderId="0" xfId="0" applyNumberFormat="1" applyFill="1"/>
    <xf numFmtId="165" fontId="0" fillId="36" borderId="0" xfId="0" applyNumberFormat="1" applyFill="1" applyAlignment="1">
      <alignment horizontal="right"/>
    </xf>
    <xf numFmtId="165" fontId="24" fillId="36" borderId="0" xfId="0" applyNumberFormat="1" applyFont="1" applyFill="1"/>
    <xf numFmtId="169" fontId="0" fillId="36" borderId="0" xfId="0" applyNumberFormat="1" applyFill="1"/>
    <xf numFmtId="167" fontId="0" fillId="36" borderId="0" xfId="0" applyNumberFormat="1" applyFill="1"/>
    <xf numFmtId="178" fontId="0" fillId="36" borderId="0" xfId="0" applyNumberFormat="1" applyFill="1"/>
    <xf numFmtId="178" fontId="0" fillId="36" borderId="0" xfId="0" applyNumberFormat="1" applyFill="1" applyAlignment="1">
      <alignment horizontal="right"/>
    </xf>
    <xf numFmtId="173" fontId="24" fillId="36" borderId="0" xfId="0" applyNumberFormat="1" applyFont="1" applyFill="1" applyProtection="1"/>
    <xf numFmtId="173" fontId="0" fillId="36" borderId="0" xfId="0" applyNumberFormat="1" applyFill="1" applyProtection="1"/>
    <xf numFmtId="166" fontId="0" fillId="36" borderId="0" xfId="0" applyNumberFormat="1" applyFill="1" applyProtection="1"/>
    <xf numFmtId="175" fontId="24" fillId="36" borderId="0" xfId="0" applyNumberFormat="1" applyFont="1" applyFill="1"/>
    <xf numFmtId="165" fontId="0" fillId="37" borderId="0" xfId="0" applyNumberFormat="1" applyFill="1"/>
    <xf numFmtId="175" fontId="0" fillId="36" borderId="0" xfId="0" applyNumberFormat="1" applyFill="1"/>
    <xf numFmtId="176" fontId="0" fillId="36" borderId="0" xfId="0" applyNumberFormat="1" applyFill="1"/>
    <xf numFmtId="0" fontId="0" fillId="36" borderId="0" xfId="0" applyNumberFormat="1" applyFill="1"/>
    <xf numFmtId="177" fontId="24" fillId="36" borderId="0" xfId="0" applyNumberFormat="1" applyFont="1" applyFill="1"/>
    <xf numFmtId="177" fontId="0" fillId="36" borderId="0" xfId="0" applyNumberFormat="1" applyFill="1"/>
    <xf numFmtId="174" fontId="0" fillId="36" borderId="0" xfId="0" applyNumberFormat="1" applyFill="1"/>
    <xf numFmtId="168" fontId="0" fillId="38" borderId="0" xfId="0" applyNumberFormat="1" applyFill="1" applyAlignment="1">
      <alignment horizontal="center"/>
    </xf>
    <xf numFmtId="0" fontId="0" fillId="39" borderId="0" xfId="0" applyFill="1"/>
    <xf numFmtId="165" fontId="24" fillId="39" borderId="0" xfId="0" applyNumberFormat="1" applyFont="1" applyFill="1"/>
    <xf numFmtId="165" fontId="0" fillId="39" borderId="0" xfId="0" applyNumberFormat="1" applyFill="1"/>
    <xf numFmtId="167" fontId="0" fillId="39" borderId="0" xfId="0" applyNumberFormat="1" applyFill="1"/>
    <xf numFmtId="166" fontId="0" fillId="39" borderId="0" xfId="0" applyNumberFormat="1" applyFill="1"/>
    <xf numFmtId="165" fontId="0" fillId="39" borderId="0" xfId="0" applyNumberFormat="1" applyFill="1" applyAlignment="1">
      <alignment horizontal="right"/>
    </xf>
    <xf numFmtId="169" fontId="0" fillId="39" borderId="0" xfId="0" applyNumberFormat="1" applyFill="1"/>
    <xf numFmtId="0" fontId="0" fillId="36" borderId="0" xfId="0" applyFill="1" applyProtection="1"/>
    <xf numFmtId="165" fontId="24" fillId="36" borderId="0" xfId="0" applyNumberFormat="1" applyFont="1" applyFill="1" applyProtection="1"/>
    <xf numFmtId="165" fontId="0" fillId="36" borderId="0" xfId="0" applyNumberFormat="1" applyFill="1" applyProtection="1"/>
    <xf numFmtId="165" fontId="0" fillId="36" borderId="0" xfId="0" applyNumberFormat="1" applyFill="1" applyProtection="1">
      <protection locked="0"/>
    </xf>
    <xf numFmtId="165" fontId="0" fillId="36" borderId="0" xfId="0" applyNumberFormat="1" applyFill="1" applyAlignment="1" applyProtection="1">
      <alignment horizontal="right"/>
    </xf>
    <xf numFmtId="167" fontId="0" fillId="36" borderId="0" xfId="0" applyNumberFormat="1" applyFill="1" applyProtection="1"/>
  </cellXfs>
  <cellStyles count="411">
    <cellStyle name="20% - Accent1" xfId="1" builtinId="30" customBuiltin="1"/>
    <cellStyle name="20% - Accent1 1" xfId="42" xr:uid="{00000000-0005-0000-0000-000001000000}"/>
    <cellStyle name="20% - Accent1 2" xfId="83" xr:uid="{00000000-0005-0000-0000-000002000000}"/>
    <cellStyle name="20% - Accent1 3" xfId="124" xr:uid="{00000000-0005-0000-0000-000003000000}"/>
    <cellStyle name="20% - Accent1 4" xfId="165" xr:uid="{00000000-0005-0000-0000-000004000000}"/>
    <cellStyle name="20% - Accent1 5" xfId="206" xr:uid="{00000000-0005-0000-0000-000005000000}"/>
    <cellStyle name="20% - Accent1 6" xfId="247" xr:uid="{00000000-0005-0000-0000-000006000000}"/>
    <cellStyle name="20% - Accent1 7" xfId="288" xr:uid="{00000000-0005-0000-0000-000007000000}"/>
    <cellStyle name="20% - Accent1 8" xfId="329" xr:uid="{00000000-0005-0000-0000-000008000000}"/>
    <cellStyle name="20% - Accent1 9" xfId="370" xr:uid="{00000000-0005-0000-0000-000009000000}"/>
    <cellStyle name="20% - Accent2" xfId="2" builtinId="34" customBuiltin="1"/>
    <cellStyle name="20% - Accent2 1" xfId="43" xr:uid="{00000000-0005-0000-0000-00000B000000}"/>
    <cellStyle name="20% - Accent2 2" xfId="84" xr:uid="{00000000-0005-0000-0000-00000C000000}"/>
    <cellStyle name="20% - Accent2 3" xfId="125" xr:uid="{00000000-0005-0000-0000-00000D000000}"/>
    <cellStyle name="20% - Accent2 4" xfId="166" xr:uid="{00000000-0005-0000-0000-00000E000000}"/>
    <cellStyle name="20% - Accent2 5" xfId="207" xr:uid="{00000000-0005-0000-0000-00000F000000}"/>
    <cellStyle name="20% - Accent2 6" xfId="248" xr:uid="{00000000-0005-0000-0000-000010000000}"/>
    <cellStyle name="20% - Accent2 7" xfId="289" xr:uid="{00000000-0005-0000-0000-000011000000}"/>
    <cellStyle name="20% - Accent2 8" xfId="330" xr:uid="{00000000-0005-0000-0000-000012000000}"/>
    <cellStyle name="20% - Accent2 9" xfId="371" xr:uid="{00000000-0005-0000-0000-000013000000}"/>
    <cellStyle name="20% - Accent3" xfId="3" builtinId="38" customBuiltin="1"/>
    <cellStyle name="20% - Accent3 1" xfId="44" xr:uid="{00000000-0005-0000-0000-000015000000}"/>
    <cellStyle name="20% - Accent3 2" xfId="85" xr:uid="{00000000-0005-0000-0000-000016000000}"/>
    <cellStyle name="20% - Accent3 3" xfId="126" xr:uid="{00000000-0005-0000-0000-000017000000}"/>
    <cellStyle name="20% - Accent3 4" xfId="167" xr:uid="{00000000-0005-0000-0000-000018000000}"/>
    <cellStyle name="20% - Accent3 5" xfId="208" xr:uid="{00000000-0005-0000-0000-000019000000}"/>
    <cellStyle name="20% - Accent3 6" xfId="249" xr:uid="{00000000-0005-0000-0000-00001A000000}"/>
    <cellStyle name="20% - Accent3 7" xfId="290" xr:uid="{00000000-0005-0000-0000-00001B000000}"/>
    <cellStyle name="20% - Accent3 8" xfId="331" xr:uid="{00000000-0005-0000-0000-00001C000000}"/>
    <cellStyle name="20% - Accent3 9" xfId="372" xr:uid="{00000000-0005-0000-0000-00001D000000}"/>
    <cellStyle name="20% - Accent4" xfId="4" builtinId="42" customBuiltin="1"/>
    <cellStyle name="20% - Accent4 1" xfId="45" xr:uid="{00000000-0005-0000-0000-00001F000000}"/>
    <cellStyle name="20% - Accent4 2" xfId="86" xr:uid="{00000000-0005-0000-0000-000020000000}"/>
    <cellStyle name="20% - Accent4 3" xfId="127" xr:uid="{00000000-0005-0000-0000-000021000000}"/>
    <cellStyle name="20% - Accent4 4" xfId="168" xr:uid="{00000000-0005-0000-0000-000022000000}"/>
    <cellStyle name="20% - Accent4 5" xfId="209" xr:uid="{00000000-0005-0000-0000-000023000000}"/>
    <cellStyle name="20% - Accent4 6" xfId="250" xr:uid="{00000000-0005-0000-0000-000024000000}"/>
    <cellStyle name="20% - Accent4 7" xfId="291" xr:uid="{00000000-0005-0000-0000-000025000000}"/>
    <cellStyle name="20% - Accent4 8" xfId="332" xr:uid="{00000000-0005-0000-0000-000026000000}"/>
    <cellStyle name="20% - Accent4 9" xfId="373" xr:uid="{00000000-0005-0000-0000-000027000000}"/>
    <cellStyle name="20% - Accent5" xfId="5" builtinId="46" customBuiltin="1"/>
    <cellStyle name="20% - Accent5 1" xfId="46" xr:uid="{00000000-0005-0000-0000-000029000000}"/>
    <cellStyle name="20% - Accent5 2" xfId="87" xr:uid="{00000000-0005-0000-0000-00002A000000}"/>
    <cellStyle name="20% - Accent5 3" xfId="128" xr:uid="{00000000-0005-0000-0000-00002B000000}"/>
    <cellStyle name="20% - Accent5 4" xfId="169" xr:uid="{00000000-0005-0000-0000-00002C000000}"/>
    <cellStyle name="20% - Accent5 5" xfId="210" xr:uid="{00000000-0005-0000-0000-00002D000000}"/>
    <cellStyle name="20% - Accent5 6" xfId="251" xr:uid="{00000000-0005-0000-0000-00002E000000}"/>
    <cellStyle name="20% - Accent5 7" xfId="292" xr:uid="{00000000-0005-0000-0000-00002F000000}"/>
    <cellStyle name="20% - Accent5 8" xfId="333" xr:uid="{00000000-0005-0000-0000-000030000000}"/>
    <cellStyle name="20% - Accent5 9" xfId="374" xr:uid="{00000000-0005-0000-0000-000031000000}"/>
    <cellStyle name="20% - Accent6" xfId="6" builtinId="50" customBuiltin="1"/>
    <cellStyle name="20% - Accent6 1" xfId="47" xr:uid="{00000000-0005-0000-0000-000033000000}"/>
    <cellStyle name="20% - Accent6 2" xfId="88" xr:uid="{00000000-0005-0000-0000-000034000000}"/>
    <cellStyle name="20% - Accent6 3" xfId="129" xr:uid="{00000000-0005-0000-0000-000035000000}"/>
    <cellStyle name="20% - Accent6 4" xfId="170" xr:uid="{00000000-0005-0000-0000-000036000000}"/>
    <cellStyle name="20% - Accent6 5" xfId="211" xr:uid="{00000000-0005-0000-0000-000037000000}"/>
    <cellStyle name="20% - Accent6 6" xfId="252" xr:uid="{00000000-0005-0000-0000-000038000000}"/>
    <cellStyle name="20% - Accent6 7" xfId="293" xr:uid="{00000000-0005-0000-0000-000039000000}"/>
    <cellStyle name="20% - Accent6 8" xfId="334" xr:uid="{00000000-0005-0000-0000-00003A000000}"/>
    <cellStyle name="20% - Accent6 9" xfId="375" xr:uid="{00000000-0005-0000-0000-00003B000000}"/>
    <cellStyle name="40% - Accent1" xfId="7" builtinId="31" customBuiltin="1"/>
    <cellStyle name="40% - Accent1 1" xfId="48" xr:uid="{00000000-0005-0000-0000-00003D000000}"/>
    <cellStyle name="40% - Accent1 2" xfId="89" xr:uid="{00000000-0005-0000-0000-00003E000000}"/>
    <cellStyle name="40% - Accent1 3" xfId="130" xr:uid="{00000000-0005-0000-0000-00003F000000}"/>
    <cellStyle name="40% - Accent1 4" xfId="171" xr:uid="{00000000-0005-0000-0000-000040000000}"/>
    <cellStyle name="40% - Accent1 5" xfId="212" xr:uid="{00000000-0005-0000-0000-000041000000}"/>
    <cellStyle name="40% - Accent1 6" xfId="253" xr:uid="{00000000-0005-0000-0000-000042000000}"/>
    <cellStyle name="40% - Accent1 7" xfId="294" xr:uid="{00000000-0005-0000-0000-000043000000}"/>
    <cellStyle name="40% - Accent1 8" xfId="335" xr:uid="{00000000-0005-0000-0000-000044000000}"/>
    <cellStyle name="40% - Accent1 9" xfId="376" xr:uid="{00000000-0005-0000-0000-000045000000}"/>
    <cellStyle name="40% - Accent2" xfId="8" builtinId="35" customBuiltin="1"/>
    <cellStyle name="40% - Accent2 1" xfId="49" xr:uid="{00000000-0005-0000-0000-000047000000}"/>
    <cellStyle name="40% - Accent2 2" xfId="90" xr:uid="{00000000-0005-0000-0000-000048000000}"/>
    <cellStyle name="40% - Accent2 3" xfId="131" xr:uid="{00000000-0005-0000-0000-000049000000}"/>
    <cellStyle name="40% - Accent2 4" xfId="172" xr:uid="{00000000-0005-0000-0000-00004A000000}"/>
    <cellStyle name="40% - Accent2 5" xfId="213" xr:uid="{00000000-0005-0000-0000-00004B000000}"/>
    <cellStyle name="40% - Accent2 6" xfId="254" xr:uid="{00000000-0005-0000-0000-00004C000000}"/>
    <cellStyle name="40% - Accent2 7" xfId="295" xr:uid="{00000000-0005-0000-0000-00004D000000}"/>
    <cellStyle name="40% - Accent2 8" xfId="336" xr:uid="{00000000-0005-0000-0000-00004E000000}"/>
    <cellStyle name="40% - Accent2 9" xfId="377" xr:uid="{00000000-0005-0000-0000-00004F000000}"/>
    <cellStyle name="40% - Accent3" xfId="9" builtinId="39" customBuiltin="1"/>
    <cellStyle name="40% - Accent3 1" xfId="50" xr:uid="{00000000-0005-0000-0000-000051000000}"/>
    <cellStyle name="40% - Accent3 2" xfId="91" xr:uid="{00000000-0005-0000-0000-000052000000}"/>
    <cellStyle name="40% - Accent3 3" xfId="132" xr:uid="{00000000-0005-0000-0000-000053000000}"/>
    <cellStyle name="40% - Accent3 4" xfId="173" xr:uid="{00000000-0005-0000-0000-000054000000}"/>
    <cellStyle name="40% - Accent3 5" xfId="214" xr:uid="{00000000-0005-0000-0000-000055000000}"/>
    <cellStyle name="40% - Accent3 6" xfId="255" xr:uid="{00000000-0005-0000-0000-000056000000}"/>
    <cellStyle name="40% - Accent3 7" xfId="296" xr:uid="{00000000-0005-0000-0000-000057000000}"/>
    <cellStyle name="40% - Accent3 8" xfId="337" xr:uid="{00000000-0005-0000-0000-000058000000}"/>
    <cellStyle name="40% - Accent3 9" xfId="378" xr:uid="{00000000-0005-0000-0000-000059000000}"/>
    <cellStyle name="40% - Accent4" xfId="10" builtinId="43" customBuiltin="1"/>
    <cellStyle name="40% - Accent4 1" xfId="51" xr:uid="{00000000-0005-0000-0000-00005B000000}"/>
    <cellStyle name="40% - Accent4 2" xfId="92" xr:uid="{00000000-0005-0000-0000-00005C000000}"/>
    <cellStyle name="40% - Accent4 3" xfId="133" xr:uid="{00000000-0005-0000-0000-00005D000000}"/>
    <cellStyle name="40% - Accent4 4" xfId="174" xr:uid="{00000000-0005-0000-0000-00005E000000}"/>
    <cellStyle name="40% - Accent4 5" xfId="215" xr:uid="{00000000-0005-0000-0000-00005F000000}"/>
    <cellStyle name="40% - Accent4 6" xfId="256" xr:uid="{00000000-0005-0000-0000-000060000000}"/>
    <cellStyle name="40% - Accent4 7" xfId="297" xr:uid="{00000000-0005-0000-0000-000061000000}"/>
    <cellStyle name="40% - Accent4 8" xfId="338" xr:uid="{00000000-0005-0000-0000-000062000000}"/>
    <cellStyle name="40% - Accent4 9" xfId="379" xr:uid="{00000000-0005-0000-0000-000063000000}"/>
    <cellStyle name="40% - Accent5" xfId="11" builtinId="47" customBuiltin="1"/>
    <cellStyle name="40% - Accent5 1" xfId="52" xr:uid="{00000000-0005-0000-0000-000065000000}"/>
    <cellStyle name="40% - Accent5 2" xfId="93" xr:uid="{00000000-0005-0000-0000-000066000000}"/>
    <cellStyle name="40% - Accent5 3" xfId="134" xr:uid="{00000000-0005-0000-0000-000067000000}"/>
    <cellStyle name="40% - Accent5 4" xfId="175" xr:uid="{00000000-0005-0000-0000-000068000000}"/>
    <cellStyle name="40% - Accent5 5" xfId="216" xr:uid="{00000000-0005-0000-0000-000069000000}"/>
    <cellStyle name="40% - Accent5 6" xfId="257" xr:uid="{00000000-0005-0000-0000-00006A000000}"/>
    <cellStyle name="40% - Accent5 7" xfId="298" xr:uid="{00000000-0005-0000-0000-00006B000000}"/>
    <cellStyle name="40% - Accent5 8" xfId="339" xr:uid="{00000000-0005-0000-0000-00006C000000}"/>
    <cellStyle name="40% - Accent5 9" xfId="380" xr:uid="{00000000-0005-0000-0000-00006D000000}"/>
    <cellStyle name="40% - Accent6" xfId="12" builtinId="51" customBuiltin="1"/>
    <cellStyle name="40% - Accent6 1" xfId="53" xr:uid="{00000000-0005-0000-0000-00006F000000}"/>
    <cellStyle name="40% - Accent6 2" xfId="94" xr:uid="{00000000-0005-0000-0000-000070000000}"/>
    <cellStyle name="40% - Accent6 3" xfId="135" xr:uid="{00000000-0005-0000-0000-000071000000}"/>
    <cellStyle name="40% - Accent6 4" xfId="176" xr:uid="{00000000-0005-0000-0000-000072000000}"/>
    <cellStyle name="40% - Accent6 5" xfId="217" xr:uid="{00000000-0005-0000-0000-000073000000}"/>
    <cellStyle name="40% - Accent6 6" xfId="258" xr:uid="{00000000-0005-0000-0000-000074000000}"/>
    <cellStyle name="40% - Accent6 7" xfId="299" xr:uid="{00000000-0005-0000-0000-000075000000}"/>
    <cellStyle name="40% - Accent6 8" xfId="340" xr:uid="{00000000-0005-0000-0000-000076000000}"/>
    <cellStyle name="40% - Accent6 9" xfId="381" xr:uid="{00000000-0005-0000-0000-000077000000}"/>
    <cellStyle name="60% - Accent1" xfId="13" builtinId="32" customBuiltin="1"/>
    <cellStyle name="60% - Accent1 1" xfId="54" xr:uid="{00000000-0005-0000-0000-000079000000}"/>
    <cellStyle name="60% - Accent1 2" xfId="95" xr:uid="{00000000-0005-0000-0000-00007A000000}"/>
    <cellStyle name="60% - Accent1 3" xfId="136" xr:uid="{00000000-0005-0000-0000-00007B000000}"/>
    <cellStyle name="60% - Accent1 4" xfId="177" xr:uid="{00000000-0005-0000-0000-00007C000000}"/>
    <cellStyle name="60% - Accent1 5" xfId="218" xr:uid="{00000000-0005-0000-0000-00007D000000}"/>
    <cellStyle name="60% - Accent1 6" xfId="259" xr:uid="{00000000-0005-0000-0000-00007E000000}"/>
    <cellStyle name="60% - Accent1 7" xfId="300" xr:uid="{00000000-0005-0000-0000-00007F000000}"/>
    <cellStyle name="60% - Accent1 8" xfId="341" xr:uid="{00000000-0005-0000-0000-000080000000}"/>
    <cellStyle name="60% - Accent1 9" xfId="382" xr:uid="{00000000-0005-0000-0000-000081000000}"/>
    <cellStyle name="60% - Accent2" xfId="14" builtinId="36" customBuiltin="1"/>
    <cellStyle name="60% - Accent2 1" xfId="55" xr:uid="{00000000-0005-0000-0000-000083000000}"/>
    <cellStyle name="60% - Accent2 2" xfId="96" xr:uid="{00000000-0005-0000-0000-000084000000}"/>
    <cellStyle name="60% - Accent2 3" xfId="137" xr:uid="{00000000-0005-0000-0000-000085000000}"/>
    <cellStyle name="60% - Accent2 4" xfId="178" xr:uid="{00000000-0005-0000-0000-000086000000}"/>
    <cellStyle name="60% - Accent2 5" xfId="219" xr:uid="{00000000-0005-0000-0000-000087000000}"/>
    <cellStyle name="60% - Accent2 6" xfId="260" xr:uid="{00000000-0005-0000-0000-000088000000}"/>
    <cellStyle name="60% - Accent2 7" xfId="301" xr:uid="{00000000-0005-0000-0000-000089000000}"/>
    <cellStyle name="60% - Accent2 8" xfId="342" xr:uid="{00000000-0005-0000-0000-00008A000000}"/>
    <cellStyle name="60% - Accent2 9" xfId="383" xr:uid="{00000000-0005-0000-0000-00008B000000}"/>
    <cellStyle name="60% - Accent3" xfId="15" builtinId="40" customBuiltin="1"/>
    <cellStyle name="60% - Accent3 1" xfId="56" xr:uid="{00000000-0005-0000-0000-00008D000000}"/>
    <cellStyle name="60% - Accent3 2" xfId="97" xr:uid="{00000000-0005-0000-0000-00008E000000}"/>
    <cellStyle name="60% - Accent3 3" xfId="138" xr:uid="{00000000-0005-0000-0000-00008F000000}"/>
    <cellStyle name="60% - Accent3 4" xfId="179" xr:uid="{00000000-0005-0000-0000-000090000000}"/>
    <cellStyle name="60% - Accent3 5" xfId="220" xr:uid="{00000000-0005-0000-0000-000091000000}"/>
    <cellStyle name="60% - Accent3 6" xfId="261" xr:uid="{00000000-0005-0000-0000-000092000000}"/>
    <cellStyle name="60% - Accent3 7" xfId="302" xr:uid="{00000000-0005-0000-0000-000093000000}"/>
    <cellStyle name="60% - Accent3 8" xfId="343" xr:uid="{00000000-0005-0000-0000-000094000000}"/>
    <cellStyle name="60% - Accent3 9" xfId="384" xr:uid="{00000000-0005-0000-0000-000095000000}"/>
    <cellStyle name="60% - Accent4" xfId="16" builtinId="44" customBuiltin="1"/>
    <cellStyle name="60% - Accent4 1" xfId="57" xr:uid="{00000000-0005-0000-0000-000097000000}"/>
    <cellStyle name="60% - Accent4 2" xfId="98" xr:uid="{00000000-0005-0000-0000-000098000000}"/>
    <cellStyle name="60% - Accent4 3" xfId="139" xr:uid="{00000000-0005-0000-0000-000099000000}"/>
    <cellStyle name="60% - Accent4 4" xfId="180" xr:uid="{00000000-0005-0000-0000-00009A000000}"/>
    <cellStyle name="60% - Accent4 5" xfId="221" xr:uid="{00000000-0005-0000-0000-00009B000000}"/>
    <cellStyle name="60% - Accent4 6" xfId="262" xr:uid="{00000000-0005-0000-0000-00009C000000}"/>
    <cellStyle name="60% - Accent4 7" xfId="303" xr:uid="{00000000-0005-0000-0000-00009D000000}"/>
    <cellStyle name="60% - Accent4 8" xfId="344" xr:uid="{00000000-0005-0000-0000-00009E000000}"/>
    <cellStyle name="60% - Accent4 9" xfId="385" xr:uid="{00000000-0005-0000-0000-00009F000000}"/>
    <cellStyle name="60% - Accent5" xfId="17" builtinId="48" customBuiltin="1"/>
    <cellStyle name="60% - Accent5 1" xfId="58" xr:uid="{00000000-0005-0000-0000-0000A1000000}"/>
    <cellStyle name="60% - Accent5 2" xfId="99" xr:uid="{00000000-0005-0000-0000-0000A2000000}"/>
    <cellStyle name="60% - Accent5 3" xfId="140" xr:uid="{00000000-0005-0000-0000-0000A3000000}"/>
    <cellStyle name="60% - Accent5 4" xfId="181" xr:uid="{00000000-0005-0000-0000-0000A4000000}"/>
    <cellStyle name="60% - Accent5 5" xfId="222" xr:uid="{00000000-0005-0000-0000-0000A5000000}"/>
    <cellStyle name="60% - Accent5 6" xfId="263" xr:uid="{00000000-0005-0000-0000-0000A6000000}"/>
    <cellStyle name="60% - Accent5 7" xfId="304" xr:uid="{00000000-0005-0000-0000-0000A7000000}"/>
    <cellStyle name="60% - Accent5 8" xfId="345" xr:uid="{00000000-0005-0000-0000-0000A8000000}"/>
    <cellStyle name="60% - Accent5 9" xfId="386" xr:uid="{00000000-0005-0000-0000-0000A9000000}"/>
    <cellStyle name="60% - Accent6" xfId="18" builtinId="52" customBuiltin="1"/>
    <cellStyle name="60% - Accent6 1" xfId="59" xr:uid="{00000000-0005-0000-0000-0000AB000000}"/>
    <cellStyle name="60% - Accent6 2" xfId="100" xr:uid="{00000000-0005-0000-0000-0000AC000000}"/>
    <cellStyle name="60% - Accent6 3" xfId="141" xr:uid="{00000000-0005-0000-0000-0000AD000000}"/>
    <cellStyle name="60% - Accent6 4" xfId="182" xr:uid="{00000000-0005-0000-0000-0000AE000000}"/>
    <cellStyle name="60% - Accent6 5" xfId="223" xr:uid="{00000000-0005-0000-0000-0000AF000000}"/>
    <cellStyle name="60% - Accent6 6" xfId="264" xr:uid="{00000000-0005-0000-0000-0000B0000000}"/>
    <cellStyle name="60% - Accent6 7" xfId="305" xr:uid="{00000000-0005-0000-0000-0000B1000000}"/>
    <cellStyle name="60% - Accent6 8" xfId="346" xr:uid="{00000000-0005-0000-0000-0000B2000000}"/>
    <cellStyle name="60% - Accent6 9" xfId="387" xr:uid="{00000000-0005-0000-0000-0000B3000000}"/>
    <cellStyle name="Accent1" xfId="19" builtinId="29" customBuiltin="1"/>
    <cellStyle name="Accent1 1" xfId="60" xr:uid="{00000000-0005-0000-0000-0000B5000000}"/>
    <cellStyle name="Accent1 2" xfId="101" xr:uid="{00000000-0005-0000-0000-0000B6000000}"/>
    <cellStyle name="Accent1 3" xfId="142" xr:uid="{00000000-0005-0000-0000-0000B7000000}"/>
    <cellStyle name="Accent1 4" xfId="183" xr:uid="{00000000-0005-0000-0000-0000B8000000}"/>
    <cellStyle name="Accent1 5" xfId="224" xr:uid="{00000000-0005-0000-0000-0000B9000000}"/>
    <cellStyle name="Accent1 6" xfId="265" xr:uid="{00000000-0005-0000-0000-0000BA000000}"/>
    <cellStyle name="Accent1 7" xfId="306" xr:uid="{00000000-0005-0000-0000-0000BB000000}"/>
    <cellStyle name="Accent1 8" xfId="347" xr:uid="{00000000-0005-0000-0000-0000BC000000}"/>
    <cellStyle name="Accent1 9" xfId="388" xr:uid="{00000000-0005-0000-0000-0000BD000000}"/>
    <cellStyle name="Accent2" xfId="20" builtinId="33" customBuiltin="1"/>
    <cellStyle name="Accent2 1" xfId="61" xr:uid="{00000000-0005-0000-0000-0000BF000000}"/>
    <cellStyle name="Accent2 2" xfId="102" xr:uid="{00000000-0005-0000-0000-0000C0000000}"/>
    <cellStyle name="Accent2 3" xfId="143" xr:uid="{00000000-0005-0000-0000-0000C1000000}"/>
    <cellStyle name="Accent2 4" xfId="184" xr:uid="{00000000-0005-0000-0000-0000C2000000}"/>
    <cellStyle name="Accent2 5" xfId="225" xr:uid="{00000000-0005-0000-0000-0000C3000000}"/>
    <cellStyle name="Accent2 6" xfId="266" xr:uid="{00000000-0005-0000-0000-0000C4000000}"/>
    <cellStyle name="Accent2 7" xfId="307" xr:uid="{00000000-0005-0000-0000-0000C5000000}"/>
    <cellStyle name="Accent2 8" xfId="348" xr:uid="{00000000-0005-0000-0000-0000C6000000}"/>
    <cellStyle name="Accent2 9" xfId="389" xr:uid="{00000000-0005-0000-0000-0000C7000000}"/>
    <cellStyle name="Accent3" xfId="21" builtinId="37" customBuiltin="1"/>
    <cellStyle name="Accent3 1" xfId="62" xr:uid="{00000000-0005-0000-0000-0000C9000000}"/>
    <cellStyle name="Accent3 2" xfId="103" xr:uid="{00000000-0005-0000-0000-0000CA000000}"/>
    <cellStyle name="Accent3 3" xfId="144" xr:uid="{00000000-0005-0000-0000-0000CB000000}"/>
    <cellStyle name="Accent3 4" xfId="185" xr:uid="{00000000-0005-0000-0000-0000CC000000}"/>
    <cellStyle name="Accent3 5" xfId="226" xr:uid="{00000000-0005-0000-0000-0000CD000000}"/>
    <cellStyle name="Accent3 6" xfId="267" xr:uid="{00000000-0005-0000-0000-0000CE000000}"/>
    <cellStyle name="Accent3 7" xfId="308" xr:uid="{00000000-0005-0000-0000-0000CF000000}"/>
    <cellStyle name="Accent3 8" xfId="349" xr:uid="{00000000-0005-0000-0000-0000D0000000}"/>
    <cellStyle name="Accent3 9" xfId="390" xr:uid="{00000000-0005-0000-0000-0000D1000000}"/>
    <cellStyle name="Accent4" xfId="22" builtinId="41" customBuiltin="1"/>
    <cellStyle name="Accent4 1" xfId="63" xr:uid="{00000000-0005-0000-0000-0000D3000000}"/>
    <cellStyle name="Accent4 2" xfId="104" xr:uid="{00000000-0005-0000-0000-0000D4000000}"/>
    <cellStyle name="Accent4 3" xfId="145" xr:uid="{00000000-0005-0000-0000-0000D5000000}"/>
    <cellStyle name="Accent4 4" xfId="186" xr:uid="{00000000-0005-0000-0000-0000D6000000}"/>
    <cellStyle name="Accent4 5" xfId="227" xr:uid="{00000000-0005-0000-0000-0000D7000000}"/>
    <cellStyle name="Accent4 6" xfId="268" xr:uid="{00000000-0005-0000-0000-0000D8000000}"/>
    <cellStyle name="Accent4 7" xfId="309" xr:uid="{00000000-0005-0000-0000-0000D9000000}"/>
    <cellStyle name="Accent4 8" xfId="350" xr:uid="{00000000-0005-0000-0000-0000DA000000}"/>
    <cellStyle name="Accent4 9" xfId="391" xr:uid="{00000000-0005-0000-0000-0000DB000000}"/>
    <cellStyle name="Accent5" xfId="23" builtinId="45" customBuiltin="1"/>
    <cellStyle name="Accent5 1" xfId="64" xr:uid="{00000000-0005-0000-0000-0000DD000000}"/>
    <cellStyle name="Accent5 2" xfId="105" xr:uid="{00000000-0005-0000-0000-0000DE000000}"/>
    <cellStyle name="Accent5 3" xfId="146" xr:uid="{00000000-0005-0000-0000-0000DF000000}"/>
    <cellStyle name="Accent5 4" xfId="187" xr:uid="{00000000-0005-0000-0000-0000E0000000}"/>
    <cellStyle name="Accent5 5" xfId="228" xr:uid="{00000000-0005-0000-0000-0000E1000000}"/>
    <cellStyle name="Accent5 6" xfId="269" xr:uid="{00000000-0005-0000-0000-0000E2000000}"/>
    <cellStyle name="Accent5 7" xfId="310" xr:uid="{00000000-0005-0000-0000-0000E3000000}"/>
    <cellStyle name="Accent5 8" xfId="351" xr:uid="{00000000-0005-0000-0000-0000E4000000}"/>
    <cellStyle name="Accent5 9" xfId="392" xr:uid="{00000000-0005-0000-0000-0000E5000000}"/>
    <cellStyle name="Accent6" xfId="24" builtinId="49" customBuiltin="1"/>
    <cellStyle name="Accent6 1" xfId="65" xr:uid="{00000000-0005-0000-0000-0000E7000000}"/>
    <cellStyle name="Accent6 2" xfId="106" xr:uid="{00000000-0005-0000-0000-0000E8000000}"/>
    <cellStyle name="Accent6 3" xfId="147" xr:uid="{00000000-0005-0000-0000-0000E9000000}"/>
    <cellStyle name="Accent6 4" xfId="188" xr:uid="{00000000-0005-0000-0000-0000EA000000}"/>
    <cellStyle name="Accent6 5" xfId="229" xr:uid="{00000000-0005-0000-0000-0000EB000000}"/>
    <cellStyle name="Accent6 6" xfId="270" xr:uid="{00000000-0005-0000-0000-0000EC000000}"/>
    <cellStyle name="Accent6 7" xfId="311" xr:uid="{00000000-0005-0000-0000-0000ED000000}"/>
    <cellStyle name="Accent6 8" xfId="352" xr:uid="{00000000-0005-0000-0000-0000EE000000}"/>
    <cellStyle name="Accent6 9" xfId="393" xr:uid="{00000000-0005-0000-0000-0000EF000000}"/>
    <cellStyle name="Bad" xfId="25" builtinId="27" customBuiltin="1"/>
    <cellStyle name="Bad 1" xfId="66" xr:uid="{00000000-0005-0000-0000-0000F1000000}"/>
    <cellStyle name="Bad 2" xfId="107" xr:uid="{00000000-0005-0000-0000-0000F2000000}"/>
    <cellStyle name="Bad 3" xfId="148" xr:uid="{00000000-0005-0000-0000-0000F3000000}"/>
    <cellStyle name="Bad 4" xfId="189" xr:uid="{00000000-0005-0000-0000-0000F4000000}"/>
    <cellStyle name="Bad 5" xfId="230" xr:uid="{00000000-0005-0000-0000-0000F5000000}"/>
    <cellStyle name="Bad 6" xfId="271" xr:uid="{00000000-0005-0000-0000-0000F6000000}"/>
    <cellStyle name="Bad 7" xfId="312" xr:uid="{00000000-0005-0000-0000-0000F7000000}"/>
    <cellStyle name="Bad 8" xfId="353" xr:uid="{00000000-0005-0000-0000-0000F8000000}"/>
    <cellStyle name="Bad 9" xfId="394" xr:uid="{00000000-0005-0000-0000-0000F9000000}"/>
    <cellStyle name="Calculation" xfId="26" builtinId="22" customBuiltin="1"/>
    <cellStyle name="Calculation 1" xfId="67" xr:uid="{00000000-0005-0000-0000-0000FB000000}"/>
    <cellStyle name="Calculation 2" xfId="108" xr:uid="{00000000-0005-0000-0000-0000FC000000}"/>
    <cellStyle name="Calculation 3" xfId="149" xr:uid="{00000000-0005-0000-0000-0000FD000000}"/>
    <cellStyle name="Calculation 4" xfId="190" xr:uid="{00000000-0005-0000-0000-0000FE000000}"/>
    <cellStyle name="Calculation 5" xfId="231" xr:uid="{00000000-0005-0000-0000-0000FF000000}"/>
    <cellStyle name="Calculation 6" xfId="272" xr:uid="{00000000-0005-0000-0000-000000010000}"/>
    <cellStyle name="Calculation 7" xfId="313" xr:uid="{00000000-0005-0000-0000-000001010000}"/>
    <cellStyle name="Calculation 8" xfId="354" xr:uid="{00000000-0005-0000-0000-000002010000}"/>
    <cellStyle name="Calculation 9" xfId="395" xr:uid="{00000000-0005-0000-0000-000003010000}"/>
    <cellStyle name="Check Cell" xfId="27" builtinId="23" customBuiltin="1"/>
    <cellStyle name="Check Cell 1" xfId="68" xr:uid="{00000000-0005-0000-0000-000005010000}"/>
    <cellStyle name="Check Cell 2" xfId="109" xr:uid="{00000000-0005-0000-0000-000006010000}"/>
    <cellStyle name="Check Cell 3" xfId="150" xr:uid="{00000000-0005-0000-0000-000007010000}"/>
    <cellStyle name="Check Cell 4" xfId="191" xr:uid="{00000000-0005-0000-0000-000008010000}"/>
    <cellStyle name="Check Cell 5" xfId="232" xr:uid="{00000000-0005-0000-0000-000009010000}"/>
    <cellStyle name="Check Cell 6" xfId="273" xr:uid="{00000000-0005-0000-0000-00000A010000}"/>
    <cellStyle name="Check Cell 7" xfId="314" xr:uid="{00000000-0005-0000-0000-00000B010000}"/>
    <cellStyle name="Check Cell 8" xfId="355" xr:uid="{00000000-0005-0000-0000-00000C010000}"/>
    <cellStyle name="Check Cell 9" xfId="396" xr:uid="{00000000-0005-0000-0000-00000D010000}"/>
    <cellStyle name="Explanatory Text" xfId="28" builtinId="53" customBuiltin="1"/>
    <cellStyle name="Explanatory Text 1" xfId="69" xr:uid="{00000000-0005-0000-0000-00000F010000}"/>
    <cellStyle name="Explanatory Text 2" xfId="110" xr:uid="{00000000-0005-0000-0000-000010010000}"/>
    <cellStyle name="Explanatory Text 3" xfId="151" xr:uid="{00000000-0005-0000-0000-000011010000}"/>
    <cellStyle name="Explanatory Text 4" xfId="192" xr:uid="{00000000-0005-0000-0000-000012010000}"/>
    <cellStyle name="Explanatory Text 5" xfId="233" xr:uid="{00000000-0005-0000-0000-000013010000}"/>
    <cellStyle name="Explanatory Text 6" xfId="274" xr:uid="{00000000-0005-0000-0000-000014010000}"/>
    <cellStyle name="Explanatory Text 7" xfId="315" xr:uid="{00000000-0005-0000-0000-000015010000}"/>
    <cellStyle name="Explanatory Text 8" xfId="356" xr:uid="{00000000-0005-0000-0000-000016010000}"/>
    <cellStyle name="Explanatory Text 9" xfId="397" xr:uid="{00000000-0005-0000-0000-000017010000}"/>
    <cellStyle name="Good" xfId="29" builtinId="26" customBuiltin="1"/>
    <cellStyle name="Good 1" xfId="70" xr:uid="{00000000-0005-0000-0000-000019010000}"/>
    <cellStyle name="Good 2" xfId="111" xr:uid="{00000000-0005-0000-0000-00001A010000}"/>
    <cellStyle name="Good 3" xfId="152" xr:uid="{00000000-0005-0000-0000-00001B010000}"/>
    <cellStyle name="Good 4" xfId="193" xr:uid="{00000000-0005-0000-0000-00001C010000}"/>
    <cellStyle name="Good 5" xfId="234" xr:uid="{00000000-0005-0000-0000-00001D010000}"/>
    <cellStyle name="Good 6" xfId="275" xr:uid="{00000000-0005-0000-0000-00001E010000}"/>
    <cellStyle name="Good 7" xfId="316" xr:uid="{00000000-0005-0000-0000-00001F010000}"/>
    <cellStyle name="Good 8" xfId="357" xr:uid="{00000000-0005-0000-0000-000020010000}"/>
    <cellStyle name="Good 9" xfId="398" xr:uid="{00000000-0005-0000-0000-000021010000}"/>
    <cellStyle name="Heading 1" xfId="30" builtinId="16" customBuiltin="1"/>
    <cellStyle name="Heading 1 1" xfId="71" xr:uid="{00000000-0005-0000-0000-000023010000}"/>
    <cellStyle name="Heading 1 2" xfId="112" xr:uid="{00000000-0005-0000-0000-000024010000}"/>
    <cellStyle name="Heading 1 3" xfId="153" xr:uid="{00000000-0005-0000-0000-000025010000}"/>
    <cellStyle name="Heading 1 4" xfId="194" xr:uid="{00000000-0005-0000-0000-000026010000}"/>
    <cellStyle name="Heading 1 5" xfId="235" xr:uid="{00000000-0005-0000-0000-000027010000}"/>
    <cellStyle name="Heading 1 6" xfId="276" xr:uid="{00000000-0005-0000-0000-000028010000}"/>
    <cellStyle name="Heading 1 7" xfId="317" xr:uid="{00000000-0005-0000-0000-000029010000}"/>
    <cellStyle name="Heading 1 8" xfId="358" xr:uid="{00000000-0005-0000-0000-00002A010000}"/>
    <cellStyle name="Heading 1 9" xfId="399" xr:uid="{00000000-0005-0000-0000-00002B010000}"/>
    <cellStyle name="Heading 2" xfId="31" builtinId="17" customBuiltin="1"/>
    <cellStyle name="Heading 2 1" xfId="72" xr:uid="{00000000-0005-0000-0000-00002D010000}"/>
    <cellStyle name="Heading 2 2" xfId="113" xr:uid="{00000000-0005-0000-0000-00002E010000}"/>
    <cellStyle name="Heading 2 3" xfId="154" xr:uid="{00000000-0005-0000-0000-00002F010000}"/>
    <cellStyle name="Heading 2 4" xfId="195" xr:uid="{00000000-0005-0000-0000-000030010000}"/>
    <cellStyle name="Heading 2 5" xfId="236" xr:uid="{00000000-0005-0000-0000-000031010000}"/>
    <cellStyle name="Heading 2 6" xfId="277" xr:uid="{00000000-0005-0000-0000-000032010000}"/>
    <cellStyle name="Heading 2 7" xfId="318" xr:uid="{00000000-0005-0000-0000-000033010000}"/>
    <cellStyle name="Heading 2 8" xfId="359" xr:uid="{00000000-0005-0000-0000-000034010000}"/>
    <cellStyle name="Heading 2 9" xfId="400" xr:uid="{00000000-0005-0000-0000-000035010000}"/>
    <cellStyle name="Heading 3" xfId="32" builtinId="18" customBuiltin="1"/>
    <cellStyle name="Heading 3 1" xfId="73" xr:uid="{00000000-0005-0000-0000-000037010000}"/>
    <cellStyle name="Heading 3 2" xfId="114" xr:uid="{00000000-0005-0000-0000-000038010000}"/>
    <cellStyle name="Heading 3 3" xfId="155" xr:uid="{00000000-0005-0000-0000-000039010000}"/>
    <cellStyle name="Heading 3 4" xfId="196" xr:uid="{00000000-0005-0000-0000-00003A010000}"/>
    <cellStyle name="Heading 3 5" xfId="237" xr:uid="{00000000-0005-0000-0000-00003B010000}"/>
    <cellStyle name="Heading 3 6" xfId="278" xr:uid="{00000000-0005-0000-0000-00003C010000}"/>
    <cellStyle name="Heading 3 7" xfId="319" xr:uid="{00000000-0005-0000-0000-00003D010000}"/>
    <cellStyle name="Heading 3 8" xfId="360" xr:uid="{00000000-0005-0000-0000-00003E010000}"/>
    <cellStyle name="Heading 3 9" xfId="401" xr:uid="{00000000-0005-0000-0000-00003F010000}"/>
    <cellStyle name="Heading 4" xfId="33" builtinId="19" customBuiltin="1"/>
    <cellStyle name="Heading 4 1" xfId="74" xr:uid="{00000000-0005-0000-0000-000041010000}"/>
    <cellStyle name="Heading 4 2" xfId="115" xr:uid="{00000000-0005-0000-0000-000042010000}"/>
    <cellStyle name="Heading 4 3" xfId="156" xr:uid="{00000000-0005-0000-0000-000043010000}"/>
    <cellStyle name="Heading 4 4" xfId="197" xr:uid="{00000000-0005-0000-0000-000044010000}"/>
    <cellStyle name="Heading 4 5" xfId="238" xr:uid="{00000000-0005-0000-0000-000045010000}"/>
    <cellStyle name="Heading 4 6" xfId="279" xr:uid="{00000000-0005-0000-0000-000046010000}"/>
    <cellStyle name="Heading 4 7" xfId="320" xr:uid="{00000000-0005-0000-0000-000047010000}"/>
    <cellStyle name="Heading 4 8" xfId="361" xr:uid="{00000000-0005-0000-0000-000048010000}"/>
    <cellStyle name="Heading 4 9" xfId="402" xr:uid="{00000000-0005-0000-0000-000049010000}"/>
    <cellStyle name="Input" xfId="34" builtinId="20" customBuiltin="1"/>
    <cellStyle name="Input 1" xfId="75" xr:uid="{00000000-0005-0000-0000-00004B010000}"/>
    <cellStyle name="Input 2" xfId="116" xr:uid="{00000000-0005-0000-0000-00004C010000}"/>
    <cellStyle name="Input 3" xfId="157" xr:uid="{00000000-0005-0000-0000-00004D010000}"/>
    <cellStyle name="Input 4" xfId="198" xr:uid="{00000000-0005-0000-0000-00004E010000}"/>
    <cellStyle name="Input 5" xfId="239" xr:uid="{00000000-0005-0000-0000-00004F010000}"/>
    <cellStyle name="Input 6" xfId="280" xr:uid="{00000000-0005-0000-0000-000050010000}"/>
    <cellStyle name="Input 7" xfId="321" xr:uid="{00000000-0005-0000-0000-000051010000}"/>
    <cellStyle name="Input 8" xfId="362" xr:uid="{00000000-0005-0000-0000-000052010000}"/>
    <cellStyle name="Input 9" xfId="403" xr:uid="{00000000-0005-0000-0000-000053010000}"/>
    <cellStyle name="Linked Cell" xfId="35" builtinId="24" customBuiltin="1"/>
    <cellStyle name="Linked Cell 1" xfId="76" xr:uid="{00000000-0005-0000-0000-000055010000}"/>
    <cellStyle name="Linked Cell 2" xfId="117" xr:uid="{00000000-0005-0000-0000-000056010000}"/>
    <cellStyle name="Linked Cell 3" xfId="158" xr:uid="{00000000-0005-0000-0000-000057010000}"/>
    <cellStyle name="Linked Cell 4" xfId="199" xr:uid="{00000000-0005-0000-0000-000058010000}"/>
    <cellStyle name="Linked Cell 5" xfId="240" xr:uid="{00000000-0005-0000-0000-000059010000}"/>
    <cellStyle name="Linked Cell 6" xfId="281" xr:uid="{00000000-0005-0000-0000-00005A010000}"/>
    <cellStyle name="Linked Cell 7" xfId="322" xr:uid="{00000000-0005-0000-0000-00005B010000}"/>
    <cellStyle name="Linked Cell 8" xfId="363" xr:uid="{00000000-0005-0000-0000-00005C010000}"/>
    <cellStyle name="Linked Cell 9" xfId="404" xr:uid="{00000000-0005-0000-0000-00005D010000}"/>
    <cellStyle name="Neutral" xfId="36" builtinId="28" customBuiltin="1"/>
    <cellStyle name="Neutral 1" xfId="77" xr:uid="{00000000-0005-0000-0000-00005F010000}"/>
    <cellStyle name="Neutral 2" xfId="118" xr:uid="{00000000-0005-0000-0000-000060010000}"/>
    <cellStyle name="Neutral 3" xfId="159" xr:uid="{00000000-0005-0000-0000-000061010000}"/>
    <cellStyle name="Neutral 4" xfId="200" xr:uid="{00000000-0005-0000-0000-000062010000}"/>
    <cellStyle name="Neutral 5" xfId="241" xr:uid="{00000000-0005-0000-0000-000063010000}"/>
    <cellStyle name="Neutral 6" xfId="282" xr:uid="{00000000-0005-0000-0000-000064010000}"/>
    <cellStyle name="Neutral 7" xfId="323" xr:uid="{00000000-0005-0000-0000-000065010000}"/>
    <cellStyle name="Neutral 8" xfId="364" xr:uid="{00000000-0005-0000-0000-000066010000}"/>
    <cellStyle name="Neutral 9" xfId="405" xr:uid="{00000000-0005-0000-0000-000067010000}"/>
    <cellStyle name="Normal" xfId="0" builtinId="0"/>
    <cellStyle name="Note" xfId="37" builtinId="10" customBuiltin="1"/>
    <cellStyle name="Note 1" xfId="78" xr:uid="{00000000-0005-0000-0000-00006A010000}"/>
    <cellStyle name="Note 2" xfId="119" xr:uid="{00000000-0005-0000-0000-00006B010000}"/>
    <cellStyle name="Note 3" xfId="160" xr:uid="{00000000-0005-0000-0000-00006C010000}"/>
    <cellStyle name="Note 4" xfId="201" xr:uid="{00000000-0005-0000-0000-00006D010000}"/>
    <cellStyle name="Note 5" xfId="242" xr:uid="{00000000-0005-0000-0000-00006E010000}"/>
    <cellStyle name="Note 6" xfId="283" xr:uid="{00000000-0005-0000-0000-00006F010000}"/>
    <cellStyle name="Note 7" xfId="324" xr:uid="{00000000-0005-0000-0000-000070010000}"/>
    <cellStyle name="Note 8" xfId="365" xr:uid="{00000000-0005-0000-0000-000071010000}"/>
    <cellStyle name="Note 9" xfId="406" xr:uid="{00000000-0005-0000-0000-000072010000}"/>
    <cellStyle name="Output" xfId="38" builtinId="21" customBuiltin="1"/>
    <cellStyle name="Output 1" xfId="79" xr:uid="{00000000-0005-0000-0000-000074010000}"/>
    <cellStyle name="Output 2" xfId="120" xr:uid="{00000000-0005-0000-0000-000075010000}"/>
    <cellStyle name="Output 3" xfId="161" xr:uid="{00000000-0005-0000-0000-000076010000}"/>
    <cellStyle name="Output 4" xfId="202" xr:uid="{00000000-0005-0000-0000-000077010000}"/>
    <cellStyle name="Output 5" xfId="243" xr:uid="{00000000-0005-0000-0000-000078010000}"/>
    <cellStyle name="Output 6" xfId="284" xr:uid="{00000000-0005-0000-0000-000079010000}"/>
    <cellStyle name="Output 7" xfId="325" xr:uid="{00000000-0005-0000-0000-00007A010000}"/>
    <cellStyle name="Output 8" xfId="366" xr:uid="{00000000-0005-0000-0000-00007B010000}"/>
    <cellStyle name="Output 9" xfId="407" xr:uid="{00000000-0005-0000-0000-00007C010000}"/>
    <cellStyle name="Title" xfId="39" builtinId="15" customBuiltin="1"/>
    <cellStyle name="Title 1" xfId="80" xr:uid="{00000000-0005-0000-0000-00007E010000}"/>
    <cellStyle name="Title 2" xfId="121" xr:uid="{00000000-0005-0000-0000-00007F010000}"/>
    <cellStyle name="Title 3" xfId="162" xr:uid="{00000000-0005-0000-0000-000080010000}"/>
    <cellStyle name="Title 4" xfId="203" xr:uid="{00000000-0005-0000-0000-000081010000}"/>
    <cellStyle name="Title 5" xfId="244" xr:uid="{00000000-0005-0000-0000-000082010000}"/>
    <cellStyle name="Title 6" xfId="285" xr:uid="{00000000-0005-0000-0000-000083010000}"/>
    <cellStyle name="Title 7" xfId="326" xr:uid="{00000000-0005-0000-0000-000084010000}"/>
    <cellStyle name="Title 8" xfId="367" xr:uid="{00000000-0005-0000-0000-000085010000}"/>
    <cellStyle name="Title 9" xfId="408" xr:uid="{00000000-0005-0000-0000-000086010000}"/>
    <cellStyle name="Total" xfId="40" builtinId="25" customBuiltin="1"/>
    <cellStyle name="Total 1" xfId="81" xr:uid="{00000000-0005-0000-0000-000088010000}"/>
    <cellStyle name="Total 2" xfId="122" xr:uid="{00000000-0005-0000-0000-000089010000}"/>
    <cellStyle name="Total 3" xfId="163" xr:uid="{00000000-0005-0000-0000-00008A010000}"/>
    <cellStyle name="Total 4" xfId="204" xr:uid="{00000000-0005-0000-0000-00008B010000}"/>
    <cellStyle name="Total 5" xfId="245" xr:uid="{00000000-0005-0000-0000-00008C010000}"/>
    <cellStyle name="Total 6" xfId="286" xr:uid="{00000000-0005-0000-0000-00008D010000}"/>
    <cellStyle name="Total 7" xfId="327" xr:uid="{00000000-0005-0000-0000-00008E010000}"/>
    <cellStyle name="Total 8" xfId="368" xr:uid="{00000000-0005-0000-0000-00008F010000}"/>
    <cellStyle name="Total 9" xfId="409" xr:uid="{00000000-0005-0000-0000-000090010000}"/>
    <cellStyle name="Warning Text" xfId="41" builtinId="11" customBuiltin="1"/>
    <cellStyle name="Warning Text 1" xfId="82" xr:uid="{00000000-0005-0000-0000-000092010000}"/>
    <cellStyle name="Warning Text 2" xfId="123" xr:uid="{00000000-0005-0000-0000-000093010000}"/>
    <cellStyle name="Warning Text 3" xfId="164" xr:uid="{00000000-0005-0000-0000-000094010000}"/>
    <cellStyle name="Warning Text 4" xfId="205" xr:uid="{00000000-0005-0000-0000-000095010000}"/>
    <cellStyle name="Warning Text 5" xfId="246" xr:uid="{00000000-0005-0000-0000-000096010000}"/>
    <cellStyle name="Warning Text 6" xfId="287" xr:uid="{00000000-0005-0000-0000-000097010000}"/>
    <cellStyle name="Warning Text 7" xfId="328" xr:uid="{00000000-0005-0000-0000-000098010000}"/>
    <cellStyle name="Warning Text 8" xfId="369" xr:uid="{00000000-0005-0000-0000-000099010000}"/>
    <cellStyle name="Warning Text 9" xfId="410" xr:uid="{00000000-0005-0000-0000-00009A010000}"/>
  </cellStyles>
  <dxfs count="27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FFA NE SPREADERS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88837933719823"/>
          <c:y val="1.4345368324022967E-2"/>
          <c:w val="0.79466821455010428"/>
          <c:h val="0.84219743159749605"/>
        </c:manualLayout>
      </c:layout>
      <c:scatterChart>
        <c:scatterStyle val="lineMarker"/>
        <c:varyColors val="0"/>
        <c:ser>
          <c:idx val="0"/>
          <c:order val="0"/>
          <c:tx>
            <c:v>1S</c:v>
          </c:tx>
          <c:xVal>
            <c:numRef>
              <c:f>'first passNE'!$C$36:$C$43</c:f>
              <c:numCache>
                <c:formatCode>#,##0.000000</c:formatCode>
                <c:ptCount val="8"/>
                <c:pt idx="0">
                  <c:v>90.553719999999998</c:v>
                </c:pt>
                <c:pt idx="1">
                  <c:v>92.053719999999998</c:v>
                </c:pt>
                <c:pt idx="2">
                  <c:v>95.176258099999998</c:v>
                </c:pt>
                <c:pt idx="3">
                  <c:v>96.676258099999998</c:v>
                </c:pt>
                <c:pt idx="4">
                  <c:v>106.36887417823216</c:v>
                </c:pt>
                <c:pt idx="5">
                  <c:v>107.3776900063384</c:v>
                </c:pt>
                <c:pt idx="6">
                  <c:v>107.7353060863384</c:v>
                </c:pt>
                <c:pt idx="7">
                  <c:v>108.74412191444463</c:v>
                </c:pt>
              </c:numCache>
            </c:numRef>
          </c:xVal>
          <c:yVal>
            <c:numRef>
              <c:f>'first passNE'!$D$36:$D$43</c:f>
              <c:numCache>
                <c:formatCode>#,##0.000000</c:formatCode>
                <c:ptCount val="8"/>
                <c:pt idx="0">
                  <c:v>100</c:v>
                </c:pt>
                <c:pt idx="1">
                  <c:v>100.27038441631875</c:v>
                </c:pt>
                <c:pt idx="2">
                  <c:v>101.43390406436082</c:v>
                </c:pt>
                <c:pt idx="3">
                  <c:v>101.69999999999999</c:v>
                </c:pt>
                <c:pt idx="4">
                  <c:v>101.69999999999999</c:v>
                </c:pt>
                <c:pt idx="5">
                  <c:v>101.81021418413677</c:v>
                </c:pt>
                <c:pt idx="6">
                  <c:v>101.88978581586322</c:v>
                </c:pt>
                <c:pt idx="7">
                  <c:v>101.99999999999999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4323-BF2D-974BE1E753EE}"/>
            </c:ext>
          </c:extLst>
        </c:ser>
        <c:ser>
          <c:idx val="1"/>
          <c:order val="1"/>
          <c:tx>
            <c:v>3S</c:v>
          </c:tx>
          <c:xVal>
            <c:numRef>
              <c:f>'second pass NE'!$C$38:$C$47</c:f>
              <c:numCache>
                <c:formatCode>#,##0.000000</c:formatCode>
                <c:ptCount val="10"/>
                <c:pt idx="0">
                  <c:v>90.553719999999998</c:v>
                </c:pt>
                <c:pt idx="1">
                  <c:v>92.053719999999998</c:v>
                </c:pt>
                <c:pt idx="2">
                  <c:v>92.543273137</c:v>
                </c:pt>
                <c:pt idx="3">
                  <c:v>93.558800146079435</c:v>
                </c:pt>
                <c:pt idx="4">
                  <c:v>96.029273222079439</c:v>
                </c:pt>
                <c:pt idx="5">
                  <c:v>98.067742124237583</c:v>
                </c:pt>
                <c:pt idx="6">
                  <c:v>107.73818116411566</c:v>
                </c:pt>
                <c:pt idx="7">
                  <c:v>108.7610716016423</c:v>
                </c:pt>
                <c:pt idx="8">
                  <c:v>112.9809496816423</c:v>
                </c:pt>
                <c:pt idx="9">
                  <c:v>114.00384011916894</c:v>
                </c:pt>
              </c:numCache>
            </c:numRef>
          </c:xVal>
          <c:yVal>
            <c:numRef>
              <c:f>'second pass NE'!$D$38:$D$47</c:f>
              <c:numCache>
                <c:formatCode>#,##0.000000</c:formatCode>
                <c:ptCount val="10"/>
                <c:pt idx="0">
                  <c:v>100</c:v>
                </c:pt>
                <c:pt idx="1">
                  <c:v>100.11672331616268</c:v>
                </c:pt>
                <c:pt idx="2">
                  <c:v>100.19337716249962</c:v>
                </c:pt>
                <c:pt idx="3">
                  <c:v>100.37826518125426</c:v>
                </c:pt>
                <c:pt idx="4">
                  <c:v>100.89156529080559</c:v>
                </c:pt>
                <c:pt idx="5">
                  <c:v>101.10000000000001</c:v>
                </c:pt>
                <c:pt idx="6">
                  <c:v>101.10000000000001</c:v>
                </c:pt>
                <c:pt idx="7">
                  <c:v>101.13895261353866</c:v>
                </c:pt>
                <c:pt idx="8">
                  <c:v>101.46104738646135</c:v>
                </c:pt>
                <c:pt idx="9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A-4323-BF2D-974BE1E753EE}"/>
            </c:ext>
          </c:extLst>
        </c:ser>
        <c:ser>
          <c:idx val="2"/>
          <c:order val="2"/>
          <c:tx>
            <c:v>5S</c:v>
          </c:tx>
          <c:xVal>
            <c:numRef>
              <c:f>'third pass NE'!$D$51:$D$62</c:f>
              <c:numCache>
                <c:formatCode>#,##0.000000</c:formatCode>
                <c:ptCount val="12"/>
                <c:pt idx="0">
                  <c:v>90.553719999999998</c:v>
                </c:pt>
                <c:pt idx="1">
                  <c:v>92.053719999999998</c:v>
                </c:pt>
                <c:pt idx="2">
                  <c:v>92.543273137</c:v>
                </c:pt>
                <c:pt idx="3">
                  <c:v>93.558800146079435</c:v>
                </c:pt>
                <c:pt idx="4">
                  <c:v>97.183831146079427</c:v>
                </c:pt>
                <c:pt idx="5">
                  <c:v>98.183183970005416</c:v>
                </c:pt>
                <c:pt idx="6">
                  <c:v>98.602183970005413</c:v>
                </c:pt>
                <c:pt idx="7">
                  <c:v>99.602781183318484</c:v>
                </c:pt>
                <c:pt idx="8">
                  <c:v>111.28277826231269</c:v>
                </c:pt>
                <c:pt idx="9">
                  <c:v>112.32161438678155</c:v>
                </c:pt>
                <c:pt idx="10">
                  <c:v>113.28649238678155</c:v>
                </c:pt>
                <c:pt idx="11">
                  <c:v>114.3253285112504</c:v>
                </c:pt>
              </c:numCache>
            </c:numRef>
          </c:xVal>
          <c:yVal>
            <c:numRef>
              <c:f>'third pass NE'!$E$51:$E$62</c:f>
              <c:numCache>
                <c:formatCode>#,##0.000000</c:formatCode>
                <c:ptCount val="12"/>
                <c:pt idx="0">
                  <c:v>100</c:v>
                </c:pt>
                <c:pt idx="1">
                  <c:v>100.07470222855869</c:v>
                </c:pt>
                <c:pt idx="2">
                  <c:v>100.12358441267317</c:v>
                </c:pt>
                <c:pt idx="3">
                  <c:v>100.24117228119268</c:v>
                </c:pt>
                <c:pt idx="4">
                  <c:v>100.71890657101936</c:v>
                </c:pt>
                <c:pt idx="5">
                  <c:v>100.81683562572162</c:v>
                </c:pt>
                <c:pt idx="6">
                  <c:v>100.84413390963802</c:v>
                </c:pt>
                <c:pt idx="7">
                  <c:v>100.87667714081167</c:v>
                </c:pt>
                <c:pt idx="8">
                  <c:v>100.87667714081167</c:v>
                </c:pt>
                <c:pt idx="9">
                  <c:v>100.90862397046959</c:v>
                </c:pt>
                <c:pt idx="10">
                  <c:v>100.96805317034209</c:v>
                </c:pt>
                <c:pt idx="11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2A-4323-BF2D-974BE1E753EE}"/>
            </c:ext>
          </c:extLst>
        </c:ser>
        <c:ser>
          <c:idx val="3"/>
          <c:order val="3"/>
          <c:tx>
            <c:v>7S</c:v>
          </c:tx>
          <c:xVal>
            <c:numRef>
              <c:f>'fourth pass NE'!$E$37:$E$46</c:f>
              <c:numCache>
                <c:formatCode>#,##0.000000</c:formatCode>
                <c:ptCount val="10"/>
                <c:pt idx="0">
                  <c:v>90.553719999999998</c:v>
                </c:pt>
                <c:pt idx="1">
                  <c:v>92.053719999999998</c:v>
                </c:pt>
                <c:pt idx="2">
                  <c:v>92.543273137</c:v>
                </c:pt>
                <c:pt idx="3">
                  <c:v>93.558800146079435</c:v>
                </c:pt>
                <c:pt idx="4">
                  <c:v>94.44690024007943</c:v>
                </c:pt>
                <c:pt idx="5">
                  <c:v>97.482206310691566</c:v>
                </c:pt>
                <c:pt idx="6">
                  <c:v>107.35689631069157</c:v>
                </c:pt>
                <c:pt idx="7">
                  <c:v>108.35586801331294</c:v>
                </c:pt>
                <c:pt idx="8">
                  <c:v>109.87824609331294</c:v>
                </c:pt>
                <c:pt idx="9">
                  <c:v>110.87721779593431</c:v>
                </c:pt>
              </c:numCache>
            </c:numRef>
          </c:xVal>
          <c:yVal>
            <c:numRef>
              <c:f>'fourth pass NE'!$F$37:$F$46</c:f>
              <c:numCache>
                <c:formatCode>#,##0.000000</c:formatCode>
                <c:ptCount val="10"/>
                <c:pt idx="0">
                  <c:v>100</c:v>
                </c:pt>
                <c:pt idx="1">
                  <c:v>100.024939023296</c:v>
                </c:pt>
                <c:pt idx="2">
                  <c:v>100.07484811109001</c:v>
                </c:pt>
                <c:pt idx="3">
                  <c:v>100.14791752022001</c:v>
                </c:pt>
                <c:pt idx="4">
                  <c:v>100.232849589705</c:v>
                </c:pt>
                <c:pt idx="5">
                  <c:v>100.376812059578</c:v>
                </c:pt>
                <c:pt idx="6">
                  <c:v>100.376812059578</c:v>
                </c:pt>
                <c:pt idx="7">
                  <c:v>100.390496617661</c:v>
                </c:pt>
                <c:pt idx="8">
                  <c:v>100.486315441917</c:v>
                </c:pt>
                <c:pt idx="9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A-4323-BF2D-974BE1E7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136"/>
        <c:axId val="53660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9S</c:v>
                </c:tx>
                <c:xVal>
                  <c:numRef>
                    <c:extLst>
                      <c:ext uri="{02D57815-91ED-43cb-92C2-25804820EDAC}">
                        <c15:formulaRef>
                          <c15:sqref>'fith pass NE'!$E$30:$E$39</c15:sqref>
                        </c15:formulaRef>
                      </c:ext>
                    </c:extLst>
                    <c:numCache>
                      <c:formatCode>#,##0.000000</c:formatCode>
                      <c:ptCount val="10"/>
                      <c:pt idx="0">
                        <c:v>90.553719999999998</c:v>
                      </c:pt>
                      <c:pt idx="1">
                        <c:v>92.053719999999998</c:v>
                      </c:pt>
                      <c:pt idx="2">
                        <c:v>92.543273137</c:v>
                      </c:pt>
                      <c:pt idx="3">
                        <c:v>93.558800146079435</c:v>
                      </c:pt>
                      <c:pt idx="4">
                        <c:v>94.44690024007943</c:v>
                      </c:pt>
                      <c:pt idx="5">
                        <c:v>97.482206310691566</c:v>
                      </c:pt>
                      <c:pt idx="6">
                        <c:v>99.342663427691562</c:v>
                      </c:pt>
                      <c:pt idx="7">
                        <c:v>101.34418743073957</c:v>
                      </c:pt>
                      <c:pt idx="8">
                        <c:v>109.78953452273957</c:v>
                      </c:pt>
                      <c:pt idx="9">
                        <c:v>110.80183286786168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'fith pass NE'!$F$30:$F$39</c15:sqref>
                        </c15:formulaRef>
                      </c:ext>
                    </c:extLst>
                    <c:numCache>
                      <c:formatCode>#,##0.000000</c:formatCode>
                      <c:ptCount val="10"/>
                      <c:pt idx="0">
                        <c:v>100</c:v>
                      </c:pt>
                      <c:pt idx="1">
                        <c:v>100.04618105982918</c:v>
                      </c:pt>
                      <c:pt idx="2">
                        <c:v>100.07635376968399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A2A-4323-BF2D-974BE1E753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11S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'sixth pass NE'!$E$51:$E$68</c15:sqref>
                        </c15:formulaRef>
                      </c:ext>
                    </c:extLst>
                    <c:numCache>
                      <c:formatCode>#,##0.000000</c:formatCode>
                      <c:ptCount val="18"/>
                      <c:pt idx="0">
                        <c:v>90.553719999999998</c:v>
                      </c:pt>
                      <c:pt idx="1">
                        <c:v>92.053719999999998</c:v>
                      </c:pt>
                      <c:pt idx="2">
                        <c:v>92.543273137</c:v>
                      </c:pt>
                      <c:pt idx="3">
                        <c:v>93.558800146079435</c:v>
                      </c:pt>
                      <c:pt idx="4">
                        <c:v>94.44690024007943</c:v>
                      </c:pt>
                      <c:pt idx="5">
                        <c:v>97.482206310691566</c:v>
                      </c:pt>
                      <c:pt idx="6">
                        <c:v>99.342663427691562</c:v>
                      </c:pt>
                      <c:pt idx="7">
                        <c:v>100.32259738755948</c:v>
                      </c:pt>
                      <c:pt idx="8">
                        <c:v>100.79393851055949</c:v>
                      </c:pt>
                      <c:pt idx="9">
                        <c:v>102.79546251360749</c:v>
                      </c:pt>
                      <c:pt idx="10">
                        <c:v>103.3928036366075</c:v>
                      </c:pt>
                      <c:pt idx="11">
                        <c:v>104.37273759647542</c:v>
                      </c:pt>
                      <c:pt idx="12">
                        <c:v>115.23810970647541</c:v>
                      </c:pt>
                      <c:pt idx="13">
                        <c:v>116.23816603431688</c:v>
                      </c:pt>
                      <c:pt idx="14">
                        <c:v>116.63810507431688</c:v>
                      </c:pt>
                      <c:pt idx="15">
                        <c:v>117.67874515559704</c:v>
                      </c:pt>
                      <c:pt idx="16">
                        <c:v>119.72124515559705</c:v>
                      </c:pt>
                      <c:pt idx="17">
                        <c:v>120.76594924500523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'sixth pass NE'!$F$51:$F$68</c15:sqref>
                        </c15:formulaRef>
                      </c:ext>
                    </c:extLst>
                    <c:numCache>
                      <c:formatCode>#,##0.000000</c:formatCode>
                      <c:ptCount val="18"/>
                      <c:pt idx="0">
                        <c:v>100</c:v>
                      </c:pt>
                      <c:pt idx="1">
                        <c:v>100.03798989621566</c:v>
                      </c:pt>
                      <c:pt idx="2">
                        <c:v>100.0628032428918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 formatCode="#,##0.00000000">
                        <c:v>0</c:v>
                      </c:pt>
                      <c:pt idx="17" formatCode="#,##0.000000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2A-4323-BF2D-974BE1E753EE}"/>
                  </c:ext>
                </c:extLst>
              </c15:ser>
            </c15:filteredScatterSeries>
          </c:ext>
        </c:extLst>
      </c:scatterChart>
      <c:valAx>
        <c:axId val="53659136"/>
        <c:scaling>
          <c:orientation val="minMax"/>
          <c:max val="130"/>
          <c:min val="85"/>
        </c:scaling>
        <c:delete val="0"/>
        <c:axPos val="b"/>
        <c:numFmt formatCode="#,##0.00" sourceLinked="0"/>
        <c:majorTickMark val="out"/>
        <c:minorTickMark val="none"/>
        <c:tickLblPos val="nextTo"/>
        <c:crossAx val="53660672"/>
        <c:crosses val="autoZero"/>
        <c:crossBetween val="midCat"/>
        <c:majorUnit val="5"/>
        <c:minorUnit val="0.4"/>
      </c:valAx>
      <c:valAx>
        <c:axId val="53660672"/>
        <c:scaling>
          <c:orientation val="minMax"/>
        </c:scaling>
        <c:delete val="0"/>
        <c:axPos val="l"/>
        <c:majorGridlines/>
        <c:numFmt formatCode="#,##0.000000" sourceLinked="1"/>
        <c:majorTickMark val="out"/>
        <c:minorTickMark val="none"/>
        <c:tickLblPos val="nextTo"/>
        <c:crossAx val="5365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700" b="0" i="0" u="none" strike="noStrike" baseline="0">
                <a:solidFill>
                  <a:srgbClr val="000000"/>
                </a:solidFill>
                <a:latin typeface="Luxi Sans"/>
                <a:ea typeface="Luxi Sans"/>
                <a:cs typeface="Luxi Sans"/>
              </a:defRPr>
            </a:pPr>
            <a:r>
              <a:rPr lang="en-US"/>
              <a:t>12 GeV SW spreader elevations</a:t>
            </a:r>
          </a:p>
        </c:rich>
      </c:tx>
      <c:layout>
        <c:manualLayout>
          <c:xMode val="edge"/>
          <c:yMode val="edge"/>
          <c:x val="0.12734870791439071"/>
          <c:y val="2.67022696929239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31322901370706"/>
          <c:y val="0.20160213618157544"/>
          <c:w val="0.67849721429798482"/>
          <c:h val="0.57276368491321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'SW spreader elevations'!$B$2</c:f>
              <c:strCache>
                <c:ptCount val="1"/>
                <c:pt idx="0">
                  <c:v>2S</c:v>
                </c:pt>
              </c:strCache>
            </c:strRef>
          </c:tx>
          <c:spPr>
            <a:ln w="3175">
              <a:solidFill>
                <a:srgbClr val="993366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'SW spreader elevations'!$A$3:$A$50</c:f>
              <c:numCache>
                <c:formatCode>#,##0.000000</c:formatCode>
                <c:ptCount val="48"/>
                <c:pt idx="0">
                  <c:v>-91.525080000000003</c:v>
                </c:pt>
                <c:pt idx="1">
                  <c:v>-91.525080000000003</c:v>
                </c:pt>
                <c:pt idx="2">
                  <c:v>-91.525080000000003</c:v>
                </c:pt>
                <c:pt idx="3">
                  <c:v>-91.525080000000003</c:v>
                </c:pt>
                <c:pt idx="4">
                  <c:v>-91.525080000000003</c:v>
                </c:pt>
                <c:pt idx="5">
                  <c:v>-90.510503126100488</c:v>
                </c:pt>
                <c:pt idx="6">
                  <c:v>-90.510503126100488</c:v>
                </c:pt>
                <c:pt idx="7">
                  <c:v>-90.510503126100488</c:v>
                </c:pt>
                <c:pt idx="8">
                  <c:v>-90.510503126100488</c:v>
                </c:pt>
                <c:pt idx="9">
                  <c:v>-90.510503126100488</c:v>
                </c:pt>
                <c:pt idx="10">
                  <c:v>-88.530746577713103</c:v>
                </c:pt>
                <c:pt idx="11">
                  <c:v>-88.530746577713103</c:v>
                </c:pt>
                <c:pt idx="12">
                  <c:v>-88.530746577713103</c:v>
                </c:pt>
                <c:pt idx="13">
                  <c:v>-88.530746577713103</c:v>
                </c:pt>
                <c:pt idx="14">
                  <c:v>-87.504971008687392</c:v>
                </c:pt>
                <c:pt idx="15">
                  <c:v>-87.504971008687392</c:v>
                </c:pt>
                <c:pt idx="16">
                  <c:v>-87.504971008687392</c:v>
                </c:pt>
                <c:pt idx="17">
                  <c:v>-87.504971008687392</c:v>
                </c:pt>
                <c:pt idx="18">
                  <c:v>-87.29237911804033</c:v>
                </c:pt>
                <c:pt idx="19">
                  <c:v>-87.29237911804033</c:v>
                </c:pt>
                <c:pt idx="20">
                  <c:v>-84.730503405658396</c:v>
                </c:pt>
                <c:pt idx="21">
                  <c:v>-84.187185241014063</c:v>
                </c:pt>
                <c:pt idx="22">
                  <c:v>-83.77066502602429</c:v>
                </c:pt>
                <c:pt idx="23">
                  <c:v>-84.257073047428193</c:v>
                </c:pt>
                <c:pt idx="24">
                  <c:v>-84.257073047428193</c:v>
                </c:pt>
                <c:pt idx="25">
                  <c:v>-83.652083188722045</c:v>
                </c:pt>
                <c:pt idx="26">
                  <c:v>-82.768734622163478</c:v>
                </c:pt>
                <c:pt idx="27">
                  <c:v>-81.627615860078222</c:v>
                </c:pt>
                <c:pt idx="28">
                  <c:v>-81.655435488556932</c:v>
                </c:pt>
                <c:pt idx="29">
                  <c:v>-80.616777118109908</c:v>
                </c:pt>
                <c:pt idx="30">
                  <c:v>-79.265241218784041</c:v>
                </c:pt>
                <c:pt idx="31">
                  <c:v>-77.225290600357383</c:v>
                </c:pt>
                <c:pt idx="32">
                  <c:v>-72.615397835928533</c:v>
                </c:pt>
                <c:pt idx="33">
                  <c:v>-73.352176820200143</c:v>
                </c:pt>
                <c:pt idx="34">
                  <c:v>-71.61498973352758</c:v>
                </c:pt>
                <c:pt idx="35">
                  <c:v>-71.930496448678852</c:v>
                </c:pt>
                <c:pt idx="36">
                  <c:v>-72.350977121987185</c:v>
                </c:pt>
                <c:pt idx="37">
                  <c:v>-70.926916803934489</c:v>
                </c:pt>
                <c:pt idx="38">
                  <c:v>-72.249683047428192</c:v>
                </c:pt>
                <c:pt idx="39">
                  <c:v>-71.251170602362151</c:v>
                </c:pt>
                <c:pt idx="40">
                  <c:v>-70.282870137380129</c:v>
                </c:pt>
                <c:pt idx="41">
                  <c:v>-69.282462034979176</c:v>
                </c:pt>
                <c:pt idx="42">
                  <c:v>-68.590048119938103</c:v>
                </c:pt>
                <c:pt idx="43">
                  <c:v>-68.824805920378878</c:v>
                </c:pt>
                <c:pt idx="44">
                  <c:v>-68.563098753811872</c:v>
                </c:pt>
                <c:pt idx="45">
                  <c:v>-67.58646847519374</c:v>
                </c:pt>
                <c:pt idx="46">
                  <c:v>-67.826293475312838</c:v>
                </c:pt>
                <c:pt idx="47">
                  <c:v>-67.561899055598914</c:v>
                </c:pt>
              </c:numCache>
            </c:numRef>
          </c:xVal>
          <c:yVal>
            <c:numRef>
              <c:f>'SW spreader elevations'!$B$3:$B$50</c:f>
              <c:numCache>
                <c:formatCode>General</c:formatCode>
                <c:ptCount val="48"/>
                <c:pt idx="4" formatCode="#,##0.000000">
                  <c:v>100</c:v>
                </c:pt>
                <c:pt idx="9" formatCode="#,##0.0000">
                  <c:v>100.09592253652573</c:v>
                </c:pt>
                <c:pt idx="22" formatCode="#,##0.000000">
                  <c:v>101.38184449127077</c:v>
                </c:pt>
                <c:pt idx="26" formatCode="#,##0.000000">
                  <c:v>0</c:v>
                </c:pt>
                <c:pt idx="32" formatCode="#,##0.000000">
                  <c:v>101.6120112353767</c:v>
                </c:pt>
                <c:pt idx="34" formatCode="#,##0.000000">
                  <c:v>101.69472355443621</c:v>
                </c:pt>
                <c:pt idx="40" formatCode="#,##0.000000">
                  <c:v>101.91728768094049</c:v>
                </c:pt>
                <c:pt idx="41" formatCode="#,##0.0000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FEA-A27D-5FB47DAED94B}"/>
            </c:ext>
          </c:extLst>
        </c:ser>
        <c:ser>
          <c:idx val="1"/>
          <c:order val="1"/>
          <c:tx>
            <c:strRef>
              <c:f>'SW spreader elevations'!$C$2</c:f>
              <c:strCache>
                <c:ptCount val="1"/>
                <c:pt idx="0">
                  <c:v>4S</c:v>
                </c:pt>
              </c:strCache>
            </c:strRef>
          </c:tx>
          <c:spPr>
            <a:ln w="3175">
              <a:solidFill>
                <a:srgbClr val="FFFFCC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FFCC"/>
              </a:solidFill>
              <a:ln>
                <a:solidFill>
                  <a:srgbClr val="FFFFCC"/>
                </a:solidFill>
                <a:prstDash val="solid"/>
              </a:ln>
            </c:spPr>
          </c:marker>
          <c:xVal>
            <c:numRef>
              <c:f>'SW spreader elevations'!$A$3:$A$50</c:f>
              <c:numCache>
                <c:formatCode>#,##0.000000</c:formatCode>
                <c:ptCount val="48"/>
                <c:pt idx="0">
                  <c:v>-91.525080000000003</c:v>
                </c:pt>
                <c:pt idx="1">
                  <c:v>-91.525080000000003</c:v>
                </c:pt>
                <c:pt idx="2">
                  <c:v>-91.525080000000003</c:v>
                </c:pt>
                <c:pt idx="3">
                  <c:v>-91.525080000000003</c:v>
                </c:pt>
                <c:pt idx="4">
                  <c:v>-91.525080000000003</c:v>
                </c:pt>
                <c:pt idx="5">
                  <c:v>-90.510503126100488</c:v>
                </c:pt>
                <c:pt idx="6">
                  <c:v>-90.510503126100488</c:v>
                </c:pt>
                <c:pt idx="7">
                  <c:v>-90.510503126100488</c:v>
                </c:pt>
                <c:pt idx="8">
                  <c:v>-90.510503126100488</c:v>
                </c:pt>
                <c:pt idx="9">
                  <c:v>-90.510503126100488</c:v>
                </c:pt>
                <c:pt idx="10">
                  <c:v>-88.530746577713103</c:v>
                </c:pt>
                <c:pt idx="11">
                  <c:v>-88.530746577713103</c:v>
                </c:pt>
                <c:pt idx="12">
                  <c:v>-88.530746577713103</c:v>
                </c:pt>
                <c:pt idx="13">
                  <c:v>-88.530746577713103</c:v>
                </c:pt>
                <c:pt idx="14">
                  <c:v>-87.504971008687392</c:v>
                </c:pt>
                <c:pt idx="15">
                  <c:v>-87.504971008687392</c:v>
                </c:pt>
                <c:pt idx="16">
                  <c:v>-87.504971008687392</c:v>
                </c:pt>
                <c:pt idx="17">
                  <c:v>-87.504971008687392</c:v>
                </c:pt>
                <c:pt idx="18">
                  <c:v>-87.29237911804033</c:v>
                </c:pt>
                <c:pt idx="19">
                  <c:v>-87.29237911804033</c:v>
                </c:pt>
                <c:pt idx="20">
                  <c:v>-84.730503405658396</c:v>
                </c:pt>
                <c:pt idx="21">
                  <c:v>-84.187185241014063</c:v>
                </c:pt>
                <c:pt idx="22">
                  <c:v>-83.77066502602429</c:v>
                </c:pt>
                <c:pt idx="23">
                  <c:v>-84.257073047428193</c:v>
                </c:pt>
                <c:pt idx="24">
                  <c:v>-84.257073047428193</c:v>
                </c:pt>
                <c:pt idx="25">
                  <c:v>-83.652083188722045</c:v>
                </c:pt>
                <c:pt idx="26">
                  <c:v>-82.768734622163478</c:v>
                </c:pt>
                <c:pt idx="27">
                  <c:v>-81.627615860078222</c:v>
                </c:pt>
                <c:pt idx="28">
                  <c:v>-81.655435488556932</c:v>
                </c:pt>
                <c:pt idx="29">
                  <c:v>-80.616777118109908</c:v>
                </c:pt>
                <c:pt idx="30">
                  <c:v>-79.265241218784041</c:v>
                </c:pt>
                <c:pt idx="31">
                  <c:v>-77.225290600357383</c:v>
                </c:pt>
                <c:pt idx="32">
                  <c:v>-72.615397835928533</c:v>
                </c:pt>
                <c:pt idx="33">
                  <c:v>-73.352176820200143</c:v>
                </c:pt>
                <c:pt idx="34">
                  <c:v>-71.61498973352758</c:v>
                </c:pt>
                <c:pt idx="35">
                  <c:v>-71.930496448678852</c:v>
                </c:pt>
                <c:pt idx="36">
                  <c:v>-72.350977121987185</c:v>
                </c:pt>
                <c:pt idx="37">
                  <c:v>-70.926916803934489</c:v>
                </c:pt>
                <c:pt idx="38">
                  <c:v>-72.249683047428192</c:v>
                </c:pt>
                <c:pt idx="39">
                  <c:v>-71.251170602362151</c:v>
                </c:pt>
                <c:pt idx="40">
                  <c:v>-70.282870137380129</c:v>
                </c:pt>
                <c:pt idx="41">
                  <c:v>-69.282462034979176</c:v>
                </c:pt>
                <c:pt idx="42">
                  <c:v>-68.590048119938103</c:v>
                </c:pt>
                <c:pt idx="43">
                  <c:v>-68.824805920378878</c:v>
                </c:pt>
                <c:pt idx="44">
                  <c:v>-68.563098753811872</c:v>
                </c:pt>
                <c:pt idx="45">
                  <c:v>-67.58646847519374</c:v>
                </c:pt>
                <c:pt idx="46">
                  <c:v>-67.826293475312838</c:v>
                </c:pt>
                <c:pt idx="47">
                  <c:v>-67.561899055598914</c:v>
                </c:pt>
              </c:numCache>
            </c:numRef>
          </c:xVal>
          <c:yVal>
            <c:numRef>
              <c:f>'SW spreader elevations'!$C$3:$C$50</c:f>
              <c:numCache>
                <c:formatCode>General</c:formatCode>
                <c:ptCount val="48"/>
                <c:pt idx="0" formatCode="#,##0.000000">
                  <c:v>100</c:v>
                </c:pt>
                <c:pt idx="6" formatCode="#,##0.000000">
                  <c:v>100.04895431991615</c:v>
                </c:pt>
                <c:pt idx="12" formatCode="#,##0.000000">
                  <c:v>100.24045050689641</c:v>
                </c:pt>
                <c:pt idx="16" formatCode="#,##0.000000">
                  <c:v>100.38118412767254</c:v>
                </c:pt>
                <c:pt idx="20" formatCode="#,##0.000000">
                  <c:v>100.87535397628679</c:v>
                </c:pt>
                <c:pt idx="27" formatCode="#,##0.000000">
                  <c:v>101.14846524649887</c:v>
                </c:pt>
                <c:pt idx="33" formatCode="#,##0.000000">
                  <c:v>101.14846524649887</c:v>
                </c:pt>
                <c:pt idx="36" formatCode="#,##0.000000">
                  <c:v>101.18515239788729</c:v>
                </c:pt>
                <c:pt idx="44" formatCode="#,##0.000000">
                  <c:v>101.46331284861158</c:v>
                </c:pt>
                <c:pt idx="47" formatCode="#,##0.000000">
                  <c:v>101.5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FEA-A27D-5FB47DAED94B}"/>
            </c:ext>
          </c:extLst>
        </c:ser>
        <c:ser>
          <c:idx val="2"/>
          <c:order val="2"/>
          <c:tx>
            <c:strRef>
              <c:f>'SW spreader elevations'!$D$2</c:f>
              <c:strCache>
                <c:ptCount val="1"/>
                <c:pt idx="0">
                  <c:v>6S</c:v>
                </c:pt>
              </c:strCache>
            </c:strRef>
          </c:tx>
          <c:spPr>
            <a:ln w="3175">
              <a:solidFill>
                <a:srgbClr val="CCFFFF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'SW spreader elevations'!$A$3:$A$50</c:f>
              <c:numCache>
                <c:formatCode>#,##0.000000</c:formatCode>
                <c:ptCount val="48"/>
                <c:pt idx="0">
                  <c:v>-91.525080000000003</c:v>
                </c:pt>
                <c:pt idx="1">
                  <c:v>-91.525080000000003</c:v>
                </c:pt>
                <c:pt idx="2">
                  <c:v>-91.525080000000003</c:v>
                </c:pt>
                <c:pt idx="3">
                  <c:v>-91.525080000000003</c:v>
                </c:pt>
                <c:pt idx="4">
                  <c:v>-91.525080000000003</c:v>
                </c:pt>
                <c:pt idx="5">
                  <c:v>-90.510503126100488</c:v>
                </c:pt>
                <c:pt idx="6">
                  <c:v>-90.510503126100488</c:v>
                </c:pt>
                <c:pt idx="7">
                  <c:v>-90.510503126100488</c:v>
                </c:pt>
                <c:pt idx="8">
                  <c:v>-90.510503126100488</c:v>
                </c:pt>
                <c:pt idx="9">
                  <c:v>-90.510503126100488</c:v>
                </c:pt>
                <c:pt idx="10">
                  <c:v>-88.530746577713103</c:v>
                </c:pt>
                <c:pt idx="11">
                  <c:v>-88.530746577713103</c:v>
                </c:pt>
                <c:pt idx="12">
                  <c:v>-88.530746577713103</c:v>
                </c:pt>
                <c:pt idx="13">
                  <c:v>-88.530746577713103</c:v>
                </c:pt>
                <c:pt idx="14">
                  <c:v>-87.504971008687392</c:v>
                </c:pt>
                <c:pt idx="15">
                  <c:v>-87.504971008687392</c:v>
                </c:pt>
                <c:pt idx="16">
                  <c:v>-87.504971008687392</c:v>
                </c:pt>
                <c:pt idx="17">
                  <c:v>-87.504971008687392</c:v>
                </c:pt>
                <c:pt idx="18">
                  <c:v>-87.29237911804033</c:v>
                </c:pt>
                <c:pt idx="19">
                  <c:v>-87.29237911804033</c:v>
                </c:pt>
                <c:pt idx="20">
                  <c:v>-84.730503405658396</c:v>
                </c:pt>
                <c:pt idx="21">
                  <c:v>-84.187185241014063</c:v>
                </c:pt>
                <c:pt idx="22">
                  <c:v>-83.77066502602429</c:v>
                </c:pt>
                <c:pt idx="23">
                  <c:v>-84.257073047428193</c:v>
                </c:pt>
                <c:pt idx="24">
                  <c:v>-84.257073047428193</c:v>
                </c:pt>
                <c:pt idx="25">
                  <c:v>-83.652083188722045</c:v>
                </c:pt>
                <c:pt idx="26">
                  <c:v>-82.768734622163478</c:v>
                </c:pt>
                <c:pt idx="27">
                  <c:v>-81.627615860078222</c:v>
                </c:pt>
                <c:pt idx="28">
                  <c:v>-81.655435488556932</c:v>
                </c:pt>
                <c:pt idx="29">
                  <c:v>-80.616777118109908</c:v>
                </c:pt>
                <c:pt idx="30">
                  <c:v>-79.265241218784041</c:v>
                </c:pt>
                <c:pt idx="31">
                  <c:v>-77.225290600357383</c:v>
                </c:pt>
                <c:pt idx="32">
                  <c:v>-72.615397835928533</c:v>
                </c:pt>
                <c:pt idx="33">
                  <c:v>-73.352176820200143</c:v>
                </c:pt>
                <c:pt idx="34">
                  <c:v>-71.61498973352758</c:v>
                </c:pt>
                <c:pt idx="35">
                  <c:v>-71.930496448678852</c:v>
                </c:pt>
                <c:pt idx="36">
                  <c:v>-72.350977121987185</c:v>
                </c:pt>
                <c:pt idx="37">
                  <c:v>-70.926916803934489</c:v>
                </c:pt>
                <c:pt idx="38">
                  <c:v>-72.249683047428192</c:v>
                </c:pt>
                <c:pt idx="39">
                  <c:v>-71.251170602362151</c:v>
                </c:pt>
                <c:pt idx="40">
                  <c:v>-70.282870137380129</c:v>
                </c:pt>
                <c:pt idx="41">
                  <c:v>-69.282462034979176</c:v>
                </c:pt>
                <c:pt idx="42">
                  <c:v>-68.590048119938103</c:v>
                </c:pt>
                <c:pt idx="43">
                  <c:v>-68.824805920378878</c:v>
                </c:pt>
                <c:pt idx="44">
                  <c:v>-68.563098753811872</c:v>
                </c:pt>
                <c:pt idx="45">
                  <c:v>-67.58646847519374</c:v>
                </c:pt>
                <c:pt idx="46">
                  <c:v>-67.826293475312838</c:v>
                </c:pt>
                <c:pt idx="47">
                  <c:v>-67.561899055598914</c:v>
                </c:pt>
              </c:numCache>
            </c:numRef>
          </c:xVal>
          <c:yVal>
            <c:numRef>
              <c:f>'SW spreader elevations'!$D$3:$D$50</c:f>
              <c:numCache>
                <c:formatCode>#,##0.000000</c:formatCode>
                <c:ptCount val="48"/>
                <c:pt idx="1">
                  <c:v>100</c:v>
                </c:pt>
                <c:pt idx="5">
                  <c:v>100.03289548730302</c:v>
                </c:pt>
                <c:pt idx="10">
                  <c:v>100.16140933839222</c:v>
                </c:pt>
                <c:pt idx="15">
                  <c:v>100.25557193745905</c:v>
                </c:pt>
                <c:pt idx="21">
                  <c:v>100.64976215587262</c:v>
                </c:pt>
                <c:pt idx="28">
                  <c:v>100.79937334340325</c:v>
                </c:pt>
                <c:pt idx="35">
                  <c:v>100.79937334340325</c:v>
                </c:pt>
                <c:pt idx="37">
                  <c:v>100.8294822521334</c:v>
                </c:pt>
                <c:pt idx="42">
                  <c:v>100.96989109126984</c:v>
                </c:pt>
                <c:pt idx="4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FEA-A27D-5FB47DAED94B}"/>
            </c:ext>
          </c:extLst>
        </c:ser>
        <c:ser>
          <c:idx val="3"/>
          <c:order val="3"/>
          <c:tx>
            <c:strRef>
              <c:f>'SW spreader elevations'!$E$2</c:f>
              <c:strCache>
                <c:ptCount val="1"/>
                <c:pt idx="0">
                  <c:v>8S</c:v>
                </c:pt>
              </c:strCache>
            </c:strRef>
          </c:tx>
          <c:spPr>
            <a:ln w="3175">
              <a:solidFill>
                <a:srgbClr val="660066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660066"/>
                </a:solidFill>
                <a:prstDash val="solid"/>
              </a:ln>
            </c:spPr>
          </c:marker>
          <c:xVal>
            <c:numRef>
              <c:f>'SW spreader elevations'!$A$3:$A$50</c:f>
              <c:numCache>
                <c:formatCode>#,##0.000000</c:formatCode>
                <c:ptCount val="48"/>
                <c:pt idx="0">
                  <c:v>-91.525080000000003</c:v>
                </c:pt>
                <c:pt idx="1">
                  <c:v>-91.525080000000003</c:v>
                </c:pt>
                <c:pt idx="2">
                  <c:v>-91.525080000000003</c:v>
                </c:pt>
                <c:pt idx="3">
                  <c:v>-91.525080000000003</c:v>
                </c:pt>
                <c:pt idx="4">
                  <c:v>-91.525080000000003</c:v>
                </c:pt>
                <c:pt idx="5">
                  <c:v>-90.510503126100488</c:v>
                </c:pt>
                <c:pt idx="6">
                  <c:v>-90.510503126100488</c:v>
                </c:pt>
                <c:pt idx="7">
                  <c:v>-90.510503126100488</c:v>
                </c:pt>
                <c:pt idx="8">
                  <c:v>-90.510503126100488</c:v>
                </c:pt>
                <c:pt idx="9">
                  <c:v>-90.510503126100488</c:v>
                </c:pt>
                <c:pt idx="10">
                  <c:v>-88.530746577713103</c:v>
                </c:pt>
                <c:pt idx="11">
                  <c:v>-88.530746577713103</c:v>
                </c:pt>
                <c:pt idx="12">
                  <c:v>-88.530746577713103</c:v>
                </c:pt>
                <c:pt idx="13">
                  <c:v>-88.530746577713103</c:v>
                </c:pt>
                <c:pt idx="14">
                  <c:v>-87.504971008687392</c:v>
                </c:pt>
                <c:pt idx="15">
                  <c:v>-87.504971008687392</c:v>
                </c:pt>
                <c:pt idx="16">
                  <c:v>-87.504971008687392</c:v>
                </c:pt>
                <c:pt idx="17">
                  <c:v>-87.504971008687392</c:v>
                </c:pt>
                <c:pt idx="18">
                  <c:v>-87.29237911804033</c:v>
                </c:pt>
                <c:pt idx="19">
                  <c:v>-87.29237911804033</c:v>
                </c:pt>
                <c:pt idx="20">
                  <c:v>-84.730503405658396</c:v>
                </c:pt>
                <c:pt idx="21">
                  <c:v>-84.187185241014063</c:v>
                </c:pt>
                <c:pt idx="22">
                  <c:v>-83.77066502602429</c:v>
                </c:pt>
                <c:pt idx="23">
                  <c:v>-84.257073047428193</c:v>
                </c:pt>
                <c:pt idx="24">
                  <c:v>-84.257073047428193</c:v>
                </c:pt>
                <c:pt idx="25">
                  <c:v>-83.652083188722045</c:v>
                </c:pt>
                <c:pt idx="26">
                  <c:v>-82.768734622163478</c:v>
                </c:pt>
                <c:pt idx="27">
                  <c:v>-81.627615860078222</c:v>
                </c:pt>
                <c:pt idx="28">
                  <c:v>-81.655435488556932</c:v>
                </c:pt>
                <c:pt idx="29">
                  <c:v>-80.616777118109908</c:v>
                </c:pt>
                <c:pt idx="30">
                  <c:v>-79.265241218784041</c:v>
                </c:pt>
                <c:pt idx="31">
                  <c:v>-77.225290600357383</c:v>
                </c:pt>
                <c:pt idx="32">
                  <c:v>-72.615397835928533</c:v>
                </c:pt>
                <c:pt idx="33">
                  <c:v>-73.352176820200143</c:v>
                </c:pt>
                <c:pt idx="34">
                  <c:v>-71.61498973352758</c:v>
                </c:pt>
                <c:pt idx="35">
                  <c:v>-71.930496448678852</c:v>
                </c:pt>
                <c:pt idx="36">
                  <c:v>-72.350977121987185</c:v>
                </c:pt>
                <c:pt idx="37">
                  <c:v>-70.926916803934489</c:v>
                </c:pt>
                <c:pt idx="38">
                  <c:v>-72.249683047428192</c:v>
                </c:pt>
                <c:pt idx="39">
                  <c:v>-71.251170602362151</c:v>
                </c:pt>
                <c:pt idx="40">
                  <c:v>-70.282870137380129</c:v>
                </c:pt>
                <c:pt idx="41">
                  <c:v>-69.282462034979176</c:v>
                </c:pt>
                <c:pt idx="42">
                  <c:v>-68.590048119938103</c:v>
                </c:pt>
                <c:pt idx="43">
                  <c:v>-68.824805920378878</c:v>
                </c:pt>
                <c:pt idx="44">
                  <c:v>-68.563098753811872</c:v>
                </c:pt>
                <c:pt idx="45">
                  <c:v>-67.58646847519374</c:v>
                </c:pt>
                <c:pt idx="46">
                  <c:v>-67.826293475312838</c:v>
                </c:pt>
                <c:pt idx="47">
                  <c:v>-67.561899055598914</c:v>
                </c:pt>
              </c:numCache>
            </c:numRef>
          </c:xVal>
          <c:yVal>
            <c:numRef>
              <c:f>'SW spreader elevations'!$E$3:$E$50</c:f>
              <c:numCache>
                <c:formatCode>General</c:formatCode>
                <c:ptCount val="48"/>
                <c:pt idx="2" formatCode="#,##0.000000">
                  <c:v>100</c:v>
                </c:pt>
                <c:pt idx="8" formatCode="#,##0.000000">
                  <c:v>100.02477473888503</c:v>
                </c:pt>
                <c:pt idx="13" formatCode="#,##0.000000">
                  <c:v>100.12151894118772</c:v>
                </c:pt>
                <c:pt idx="17" formatCode="#,##0.000000">
                  <c:v>100.19232842398768</c:v>
                </c:pt>
                <c:pt idx="18" formatCode="#,##0.000000">
                  <c:v>100.21130218298151</c:v>
                </c:pt>
                <c:pt idx="23" formatCode="#,##0.000000">
                  <c:v>100.34648357322639</c:v>
                </c:pt>
                <c:pt idx="38" formatCode="#,##0.000000">
                  <c:v>100.34648357322639</c:v>
                </c:pt>
                <c:pt idx="39" formatCode="#,##0.000000">
                  <c:v>100.36885025780283</c:v>
                </c:pt>
                <c:pt idx="43" formatCode="#,##0.000000">
                  <c:v>100.47763331542355</c:v>
                </c:pt>
                <c:pt idx="46" formatCode="#,##0.000000">
                  <c:v>100.49999999999999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FEA-A27D-5FB47DAED94B}"/>
            </c:ext>
          </c:extLst>
        </c:ser>
        <c:ser>
          <c:idx val="4"/>
          <c:order val="4"/>
          <c:tx>
            <c:strRef>
              <c:f>'SW spreader elevations'!$F$2</c:f>
              <c:strCache>
                <c:ptCount val="1"/>
                <c:pt idx="0">
                  <c:v>AS</c:v>
                </c:pt>
              </c:strCache>
            </c:strRef>
          </c:tx>
          <c:spPr>
            <a:ln w="3175">
              <a:solidFill>
                <a:srgbClr val="FF8080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'SW spreader elevations'!$A$3:$A$50</c:f>
              <c:numCache>
                <c:formatCode>#,##0.000000</c:formatCode>
                <c:ptCount val="48"/>
                <c:pt idx="0">
                  <c:v>-91.525080000000003</c:v>
                </c:pt>
                <c:pt idx="1">
                  <c:v>-91.525080000000003</c:v>
                </c:pt>
                <c:pt idx="2">
                  <c:v>-91.525080000000003</c:v>
                </c:pt>
                <c:pt idx="3">
                  <c:v>-91.525080000000003</c:v>
                </c:pt>
                <c:pt idx="4">
                  <c:v>-91.525080000000003</c:v>
                </c:pt>
                <c:pt idx="5">
                  <c:v>-90.510503126100488</c:v>
                </c:pt>
                <c:pt idx="6">
                  <c:v>-90.510503126100488</c:v>
                </c:pt>
                <c:pt idx="7">
                  <c:v>-90.510503126100488</c:v>
                </c:pt>
                <c:pt idx="8">
                  <c:v>-90.510503126100488</c:v>
                </c:pt>
                <c:pt idx="9">
                  <c:v>-90.510503126100488</c:v>
                </c:pt>
                <c:pt idx="10">
                  <c:v>-88.530746577713103</c:v>
                </c:pt>
                <c:pt idx="11">
                  <c:v>-88.530746577713103</c:v>
                </c:pt>
                <c:pt idx="12">
                  <c:v>-88.530746577713103</c:v>
                </c:pt>
                <c:pt idx="13">
                  <c:v>-88.530746577713103</c:v>
                </c:pt>
                <c:pt idx="14">
                  <c:v>-87.504971008687392</c:v>
                </c:pt>
                <c:pt idx="15">
                  <c:v>-87.504971008687392</c:v>
                </c:pt>
                <c:pt idx="16">
                  <c:v>-87.504971008687392</c:v>
                </c:pt>
                <c:pt idx="17">
                  <c:v>-87.504971008687392</c:v>
                </c:pt>
                <c:pt idx="18">
                  <c:v>-87.29237911804033</c:v>
                </c:pt>
                <c:pt idx="19">
                  <c:v>-87.29237911804033</c:v>
                </c:pt>
                <c:pt idx="20">
                  <c:v>-84.730503405658396</c:v>
                </c:pt>
                <c:pt idx="21">
                  <c:v>-84.187185241014063</c:v>
                </c:pt>
                <c:pt idx="22">
                  <c:v>-83.77066502602429</c:v>
                </c:pt>
                <c:pt idx="23">
                  <c:v>-84.257073047428193</c:v>
                </c:pt>
                <c:pt idx="24">
                  <c:v>-84.257073047428193</c:v>
                </c:pt>
                <c:pt idx="25">
                  <c:v>-83.652083188722045</c:v>
                </c:pt>
                <c:pt idx="26">
                  <c:v>-82.768734622163478</c:v>
                </c:pt>
                <c:pt idx="27">
                  <c:v>-81.627615860078222</c:v>
                </c:pt>
                <c:pt idx="28">
                  <c:v>-81.655435488556932</c:v>
                </c:pt>
                <c:pt idx="29">
                  <c:v>-80.616777118109908</c:v>
                </c:pt>
                <c:pt idx="30">
                  <c:v>-79.265241218784041</c:v>
                </c:pt>
                <c:pt idx="31">
                  <c:v>-77.225290600357383</c:v>
                </c:pt>
                <c:pt idx="32">
                  <c:v>-72.615397835928533</c:v>
                </c:pt>
                <c:pt idx="33">
                  <c:v>-73.352176820200143</c:v>
                </c:pt>
                <c:pt idx="34">
                  <c:v>-71.61498973352758</c:v>
                </c:pt>
                <c:pt idx="35">
                  <c:v>-71.930496448678852</c:v>
                </c:pt>
                <c:pt idx="36">
                  <c:v>-72.350977121987185</c:v>
                </c:pt>
                <c:pt idx="37">
                  <c:v>-70.926916803934489</c:v>
                </c:pt>
                <c:pt idx="38">
                  <c:v>-72.249683047428192</c:v>
                </c:pt>
                <c:pt idx="39">
                  <c:v>-71.251170602362151</c:v>
                </c:pt>
                <c:pt idx="40">
                  <c:v>-70.282870137380129</c:v>
                </c:pt>
                <c:pt idx="41">
                  <c:v>-69.282462034979176</c:v>
                </c:pt>
                <c:pt idx="42">
                  <c:v>-68.590048119938103</c:v>
                </c:pt>
                <c:pt idx="43">
                  <c:v>-68.824805920378878</c:v>
                </c:pt>
                <c:pt idx="44">
                  <c:v>-68.563098753811872</c:v>
                </c:pt>
                <c:pt idx="45">
                  <c:v>-67.58646847519374</c:v>
                </c:pt>
                <c:pt idx="46">
                  <c:v>-67.826293475312838</c:v>
                </c:pt>
                <c:pt idx="47">
                  <c:v>-67.561899055598914</c:v>
                </c:pt>
              </c:numCache>
            </c:numRef>
          </c:xVal>
          <c:yVal>
            <c:numRef>
              <c:f>'SW spreader elevations'!$F$3:$F$50</c:f>
              <c:numCache>
                <c:formatCode>General</c:formatCode>
                <c:ptCount val="48"/>
                <c:pt idx="3" formatCode="#,##0.000000">
                  <c:v>100</c:v>
                </c:pt>
                <c:pt idx="7" formatCode="#,##0.000000">
                  <c:v>100.01987085608711</c:v>
                </c:pt>
                <c:pt idx="11" formatCode="#,##0.000000">
                  <c:v>100.09744911426678</c:v>
                </c:pt>
                <c:pt idx="14" formatCode="#,##0.000000">
                  <c:v>100.15420243787901</c:v>
                </c:pt>
                <c:pt idx="19" formatCode="#,##0.000000">
                  <c:v>100.16940222718536</c:v>
                </c:pt>
                <c:pt idx="24" formatCode="#,##0.000000">
                  <c:v>100.27777231186863</c:v>
                </c:pt>
                <c:pt idx="25" formatCode="#,##0.000000">
                  <c:v>100.27777231186863</c:v>
                </c:pt>
                <c:pt idx="29" formatCode="#,##0.000000">
                  <c:v>100.16940829652951</c:v>
                </c:pt>
                <c:pt idx="30" formatCode="#,##0.000000">
                  <c:v>100.0727822804492</c:v>
                </c:pt>
                <c:pt idx="31" formatCode="#,##0.000000">
                  <c:v>99.999999999999986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3-4FEA-A27D-5FB47DAED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6896"/>
        <c:axId val="64633472"/>
      </c:scatterChart>
      <c:valAx>
        <c:axId val="645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560" b="0" i="0" u="none" strike="noStrike" baseline="0">
                    <a:solidFill>
                      <a:srgbClr val="000000"/>
                    </a:solidFill>
                    <a:latin typeface="Luxi Sans"/>
                    <a:ea typeface="Luxi Sans"/>
                    <a:cs typeface="Luxi Sans"/>
                  </a:defRPr>
                </a:pPr>
                <a:r>
                  <a:rPr lang="en-US"/>
                  <a:t>Floor distance(m)</a:t>
                </a:r>
              </a:p>
            </c:rich>
          </c:tx>
          <c:layout>
            <c:manualLayout>
              <c:xMode val="edge"/>
              <c:yMode val="edge"/>
              <c:x val="0.35073086769865053"/>
              <c:y val="0.905206942590120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90" b="0" i="0" u="none" strike="noStrike" baseline="0">
                <a:solidFill>
                  <a:srgbClr val="000000"/>
                </a:solidFill>
                <a:latin typeface="Luxi Sans"/>
                <a:ea typeface="Luxi Sans"/>
                <a:cs typeface="Luxi Sans"/>
              </a:defRPr>
            </a:pPr>
            <a:endParaRPr lang="en-US"/>
          </a:p>
        </c:txPr>
        <c:crossAx val="64633472"/>
        <c:crosses val="autoZero"/>
        <c:crossBetween val="midCat"/>
      </c:valAx>
      <c:valAx>
        <c:axId val="64633472"/>
        <c:scaling>
          <c:orientation val="minMax"/>
          <c:max val="102.5"/>
          <c:min val="99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60" b="0" i="0" u="none" strike="noStrike" baseline="0">
                    <a:solidFill>
                      <a:srgbClr val="000000"/>
                    </a:solidFill>
                    <a:latin typeface="Luxi Sans"/>
                    <a:ea typeface="Luxi Sans"/>
                    <a:cs typeface="Luxi Sans"/>
                  </a:defRPr>
                </a:pPr>
                <a:r>
                  <a:rPr lang="en-US"/>
                  <a:t>Elevation(m)</a:t>
                </a:r>
              </a:p>
            </c:rich>
          </c:tx>
          <c:layout>
            <c:manualLayout>
              <c:xMode val="edge"/>
              <c:yMode val="edge"/>
              <c:x val="1.6701469890411939E-2"/>
              <c:y val="0.35781041388518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90" b="0" i="0" u="none" strike="noStrike" baseline="0">
                <a:solidFill>
                  <a:srgbClr val="000000"/>
                </a:solidFill>
                <a:latin typeface="Luxi Sans"/>
                <a:ea typeface="Luxi Sans"/>
                <a:cs typeface="Luxi Sans"/>
              </a:defRPr>
            </a:pPr>
            <a:endParaRPr lang="en-US"/>
          </a:p>
        </c:txPr>
        <c:crossAx val="64576896"/>
        <c:crosses val="autoZero"/>
        <c:crossBetween val="midCat"/>
      </c:valAx>
      <c:spPr>
        <a:solidFill>
          <a:srgbClr val="D9D9D9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544931836820265"/>
          <c:y val="0.38718291054739712"/>
          <c:w val="7.6200456375004263E-2"/>
          <c:h val="0.20160213618157544"/>
        </c:manualLayout>
      </c:layout>
      <c:overlay val="0"/>
      <c:spPr>
        <a:solidFill>
          <a:srgbClr val="D9D9D9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0" b="0" i="0" u="none" strike="noStrike" baseline="0">
              <a:solidFill>
                <a:srgbClr val="000000"/>
              </a:solidFill>
              <a:latin typeface="Luxi Sans"/>
              <a:ea typeface="Luxi Sans"/>
              <a:cs typeface="Luxi San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2</xdr:row>
      <xdr:rowOff>63500</xdr:rowOff>
    </xdr:from>
    <xdr:to>
      <xdr:col>20</xdr:col>
      <xdr:colOff>457200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22</xdr:col>
      <xdr:colOff>409575</xdr:colOff>
      <xdr:row>44</xdr:row>
      <xdr:rowOff>19050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00000000-0008-0000-0C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Y75"/>
  <sheetViews>
    <sheetView tabSelected="1" zoomScale="150" workbookViewId="0">
      <selection activeCell="E14" sqref="E14"/>
    </sheetView>
  </sheetViews>
  <sheetFormatPr baseColWidth="10" defaultColWidth="8.83203125" defaultRowHeight="13"/>
  <cols>
    <col min="1" max="1" width="10.33203125" customWidth="1"/>
    <col min="2" max="2" width="11.33203125" customWidth="1"/>
    <col min="3" max="3" width="15.5" customWidth="1"/>
    <col min="4" max="4" width="11.83203125" customWidth="1"/>
    <col min="5" max="5" width="19.6640625" customWidth="1"/>
    <col min="6" max="6" width="14.83203125" customWidth="1"/>
    <col min="7" max="7" width="14" customWidth="1"/>
    <col min="8" max="8" width="21.83203125" customWidth="1"/>
    <col min="9" max="9" width="9.1640625" customWidth="1"/>
    <col min="10" max="10" width="15.33203125" customWidth="1"/>
    <col min="13" max="13" width="11" customWidth="1"/>
  </cols>
  <sheetData>
    <row r="1" spans="1:16">
      <c r="C1" s="159"/>
      <c r="D1" t="s">
        <v>0</v>
      </c>
      <c r="F1" s="2"/>
      <c r="G1" t="s">
        <v>1</v>
      </c>
      <c r="I1" s="3"/>
      <c r="J1" t="s">
        <v>2</v>
      </c>
    </row>
    <row r="2" spans="1:16">
      <c r="A2" s="4" t="s">
        <v>3</v>
      </c>
    </row>
    <row r="4" spans="1:16">
      <c r="A4" s="5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6">
      <c r="C5" s="6"/>
      <c r="G5" s="7">
        <v>100</v>
      </c>
    </row>
    <row r="6" spans="1:16">
      <c r="A6" s="8">
        <v>1.5</v>
      </c>
      <c r="B6" t="s">
        <v>16</v>
      </c>
      <c r="C6" s="160">
        <f ca="1">DEGREES(G12)</f>
        <v>20.436391777811885</v>
      </c>
      <c r="D6" s="9">
        <v>1.5</v>
      </c>
      <c r="E6" s="161">
        <f ca="1">D6*G12/SIN(G12)</f>
        <v>1.5322840636736068</v>
      </c>
      <c r="F6" s="162">
        <f ca="1">E6/G12</f>
        <v>4.2959349584877051</v>
      </c>
      <c r="G6" s="162">
        <f ca="1">G5+D6*(1-COS(G12))/SIN(G12)</f>
        <v>100.27038441631875</v>
      </c>
      <c r="H6" s="161">
        <f ca="1">3.33564/100*$C$17*G12/E6</f>
        <v>13.58812472731378</v>
      </c>
      <c r="I6" s="163">
        <v>0</v>
      </c>
      <c r="J6" s="162">
        <f ca="1">H12</f>
        <v>20.436391777811885</v>
      </c>
      <c r="K6" s="162">
        <f>A6*2.54/2</f>
        <v>1.905</v>
      </c>
      <c r="L6" s="164">
        <f ca="1">(1+POWER(SIN(RADIANS(J6)),2))/POWER(COS(RADIANS(J6)),3)*2.54*A6*0.5</f>
        <v>2.5974862674877461</v>
      </c>
      <c r="M6" s="14"/>
    </row>
    <row r="7" spans="1:16">
      <c r="B7" t="s">
        <v>17</v>
      </c>
      <c r="C7" s="2">
        <v>3.1225380999999999</v>
      </c>
      <c r="D7" s="145">
        <v>3.6225380999999999</v>
      </c>
      <c r="E7" s="161">
        <f ca="1">C7/COS(G12)</f>
        <v>3.332269820607503</v>
      </c>
      <c r="F7" s="7"/>
      <c r="G7" s="162">
        <f ca="1">G6+C7*TAN(G12)</f>
        <v>101.43390406436082</v>
      </c>
      <c r="H7" s="97"/>
      <c r="M7" s="14"/>
    </row>
    <row r="8" spans="1:16">
      <c r="E8" s="97"/>
      <c r="G8" s="162">
        <f ca="1">G7+D9*SIN(RADIANS(C9)/2)</f>
        <v>101.69999999999999</v>
      </c>
      <c r="H8" s="97"/>
      <c r="N8" s="14"/>
    </row>
    <row r="9" spans="1:16">
      <c r="A9" s="8">
        <v>1.01</v>
      </c>
      <c r="B9" t="s">
        <v>18</v>
      </c>
      <c r="C9" s="165">
        <f ca="1">C6</f>
        <v>20.436391777811885</v>
      </c>
      <c r="D9" s="144">
        <v>1.5</v>
      </c>
      <c r="E9" s="161">
        <f ca="1">D9*RADIANS(C9)/2/SIN(RADIANS(C9)/2)</f>
        <v>1.507980996610248</v>
      </c>
      <c r="F9" s="166">
        <f ca="1">E9/RADIANS(C9)</f>
        <v>4.227798509201893</v>
      </c>
      <c r="G9" s="18">
        <v>101.7</v>
      </c>
      <c r="H9" s="161">
        <f ca="1">3.33564/100*$C$17*RADIANS(C9)/E9</f>
        <v>13.807114958129363</v>
      </c>
      <c r="I9" s="163">
        <f ca="1">H12/2</f>
        <v>10.218195888905942</v>
      </c>
      <c r="J9" s="162">
        <f ca="1">I9</f>
        <v>10.218195888905942</v>
      </c>
      <c r="K9" s="162">
        <f ca="1">(1+POWER(SIN(G12/2),2))/POWER(COS(G12/2),3)*2.54*A9*0.5</f>
        <v>1.3880715709581355</v>
      </c>
      <c r="L9" s="164">
        <f ca="1">K9</f>
        <v>1.3880715709581355</v>
      </c>
    </row>
    <row r="10" spans="1:16">
      <c r="G10" t="s">
        <v>19</v>
      </c>
    </row>
    <row r="11" spans="1:16">
      <c r="A11" s="6"/>
      <c r="B11" s="6"/>
      <c r="F11" s="152" t="s">
        <v>20</v>
      </c>
      <c r="G11" s="152"/>
      <c r="H11" s="152"/>
    </row>
    <row r="12" spans="1:16">
      <c r="B12" s="19"/>
      <c r="C12" s="6"/>
      <c r="D12" s="6" t="s">
        <v>21</v>
      </c>
      <c r="F12" s="20" t="s">
        <v>22</v>
      </c>
      <c r="G12" s="21">
        <f ca="1">G12-G13/G14</f>
        <v>0.35668232375031483</v>
      </c>
      <c r="H12" s="22">
        <f ca="1">DEGREES(G12)</f>
        <v>20.436391777811885</v>
      </c>
    </row>
    <row r="13" spans="1:16">
      <c r="B13" t="s">
        <v>17</v>
      </c>
      <c r="C13" s="6">
        <f>D6+C7+D9</f>
        <v>6.1225380999999999</v>
      </c>
      <c r="F13" s="20" t="s">
        <v>23</v>
      </c>
      <c r="G13" s="23">
        <f ca="1">G9-G5-D6*(1-COS(G12))/SIN(G12)-C7*TAN(G12)-D9*SIN(G12/2)</f>
        <v>0</v>
      </c>
      <c r="H13" s="24"/>
      <c r="I13" t="s">
        <v>21</v>
      </c>
      <c r="J13">
        <f>1.905/2.54</f>
        <v>0.75</v>
      </c>
      <c r="K13" s="6">
        <f>2*J13</f>
        <v>1.5</v>
      </c>
      <c r="L13" s="6"/>
      <c r="M13" s="6"/>
      <c r="N13" s="6"/>
      <c r="O13" s="6"/>
      <c r="P13" s="6"/>
    </row>
    <row r="14" spans="1:16">
      <c r="B14" t="s">
        <v>24</v>
      </c>
      <c r="C14" s="25">
        <v>9.6926160782321595</v>
      </c>
      <c r="D14" t="s">
        <v>21</v>
      </c>
      <c r="E14">
        <f ca="1">RADIANS(C9)/2/SIN(RADIANS(C9)/2)</f>
        <v>1.005320664406832</v>
      </c>
      <c r="F14" s="26" t="s">
        <v>25</v>
      </c>
      <c r="G14" s="27">
        <f ca="1">-COS(G12/2)*D9/2+2*COS(G12/2)*SIN(G12/2)*D6-C7/COS(G12)/COS(G12)</f>
        <v>-3.7704421491085851</v>
      </c>
      <c r="H14" s="28"/>
      <c r="K14" s="6"/>
      <c r="L14" s="6"/>
      <c r="M14" s="6"/>
      <c r="N14" s="6"/>
      <c r="O14" s="6"/>
      <c r="P14" s="6"/>
    </row>
    <row r="15" spans="1:16">
      <c r="E15">
        <f ca="1">D9*E14</f>
        <v>1.507980996610248</v>
      </c>
      <c r="J15" t="s">
        <v>21</v>
      </c>
      <c r="K15" s="6"/>
      <c r="L15" s="6"/>
      <c r="M15" s="6"/>
      <c r="N15" s="6"/>
      <c r="O15" s="6"/>
      <c r="P15" s="6"/>
    </row>
    <row r="16" spans="1:16">
      <c r="C16" t="s">
        <v>26</v>
      </c>
      <c r="H16" s="143">
        <f>G9+0.5</f>
        <v>102.2</v>
      </c>
      <c r="I16">
        <f ca="1">C6/'second pass NE'!C12</f>
        <v>2.296463409846583</v>
      </c>
      <c r="J16">
        <f ca="1">1/I16</f>
        <v>0.43545218082390685</v>
      </c>
    </row>
    <row r="17" spans="1:21">
      <c r="A17" t="s">
        <v>27</v>
      </c>
      <c r="B17" s="29">
        <f>1100+650-B52</f>
        <v>1749.4890010900001</v>
      </c>
      <c r="C17" s="14">
        <f>B17+0.511</f>
        <v>1750.0000010900001</v>
      </c>
      <c r="E17" s="14">
        <f>(G17-F17)/100</f>
        <v>1.0088600000000043</v>
      </c>
      <c r="F17">
        <v>9055.67</v>
      </c>
      <c r="G17">
        <v>9156.5560000000005</v>
      </c>
      <c r="J17" t="s">
        <v>21</v>
      </c>
    </row>
    <row r="18" spans="1:21">
      <c r="C18" s="7"/>
      <c r="E18">
        <f ca="1">(F18-G18)/100/COS(G12)</f>
        <v>1.0484276116783509</v>
      </c>
      <c r="F18">
        <v>9616.8029999999999</v>
      </c>
      <c r="G18">
        <v>9518.5589999999993</v>
      </c>
      <c r="J18" t="s">
        <v>21</v>
      </c>
      <c r="M18" s="21"/>
    </row>
    <row r="19" spans="1:21">
      <c r="D19">
        <f>336.20233+46.092037</f>
        <v>382.29436700000002</v>
      </c>
      <c r="I19">
        <f>(123+3*1090)/(123+1090)</f>
        <v>2.7971970321516899</v>
      </c>
      <c r="J19" s="7"/>
      <c r="K19" t="s">
        <v>21</v>
      </c>
      <c r="M19" s="21"/>
    </row>
    <row r="20" spans="1:21">
      <c r="B20" s="153"/>
      <c r="C20" s="153"/>
      <c r="D20" s="153"/>
      <c r="E20" s="153"/>
      <c r="G20" s="135">
        <f ca="1">G23+F24*RADIANS(C24)*SIN(RADIANS(C24))</f>
        <v>101.91954715678833</v>
      </c>
      <c r="H20" s="135"/>
      <c r="I20" s="135"/>
      <c r="J20" s="135"/>
      <c r="K20" s="135"/>
      <c r="L20" s="135"/>
      <c r="M20" s="21"/>
    </row>
    <row r="21" spans="1:21">
      <c r="M21" s="21"/>
    </row>
    <row r="22" spans="1:21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s="21"/>
    </row>
    <row r="23" spans="1:21">
      <c r="C23" s="6"/>
      <c r="E23" s="6"/>
      <c r="G23" s="162">
        <f>G9</f>
        <v>101.7</v>
      </c>
      <c r="M23" s="21"/>
    </row>
    <row r="24" spans="1:21">
      <c r="A24" s="30">
        <v>1.01</v>
      </c>
      <c r="B24" t="s">
        <v>28</v>
      </c>
      <c r="C24" s="165">
        <f ca="1">DEGREES(G30)</f>
        <v>12.544286895214899</v>
      </c>
      <c r="D24" s="9">
        <v>1.0088158281062301</v>
      </c>
      <c r="E24" s="161">
        <f ca="1">D24*G30/2/SIN(G30/2)</f>
        <v>1.0108335200532095</v>
      </c>
      <c r="F24" s="159">
        <f ca="1">E24/G30</f>
        <v>4.6169618865695901</v>
      </c>
      <c r="G24" s="162">
        <f ca="1">D24*D24/2/F24+G23</f>
        <v>101.81021418413677</v>
      </c>
      <c r="H24" s="161">
        <f ca="1">3.33564/100*$C$17*G30/E24</f>
        <v>12.643314255238574</v>
      </c>
      <c r="I24" s="162">
        <f ca="1">C24/2</f>
        <v>6.2721434476074496</v>
      </c>
      <c r="J24" s="162">
        <f ca="1">C24/2</f>
        <v>6.2721434476074496</v>
      </c>
      <c r="K24" s="162">
        <f ca="1">(1+POWER(SIN(G30/2),2))/POWER(COS(G30/2),3)*A24*2.54/2</f>
        <v>1.3216008199833371</v>
      </c>
      <c r="L24" s="162">
        <f ca="1">K24</f>
        <v>1.3216008199833371</v>
      </c>
      <c r="M24" s="21"/>
    </row>
    <row r="25" spans="1:21">
      <c r="B25" t="s">
        <v>17</v>
      </c>
      <c r="C25" s="31">
        <v>0.35761608</v>
      </c>
      <c r="E25" s="161">
        <f ca="1">C25/COS(G30)</f>
        <v>0.36636171367949649</v>
      </c>
      <c r="F25" s="6"/>
      <c r="G25" s="162">
        <f ca="1">G24+TAN(G30)*C25</f>
        <v>101.88978581586322</v>
      </c>
      <c r="H25" s="97"/>
      <c r="I25" s="6"/>
      <c r="J25" s="6"/>
      <c r="K25" s="6"/>
      <c r="L25" s="6"/>
    </row>
    <row r="26" spans="1:21">
      <c r="E26" s="97"/>
      <c r="F26" s="6"/>
      <c r="G26" s="162">
        <f ca="1">G25+F27*(1-COS(G30))</f>
        <v>101.99999999999999</v>
      </c>
      <c r="H26" s="97"/>
      <c r="I26" s="6"/>
      <c r="J26" s="6"/>
      <c r="K26" s="6"/>
      <c r="L26" s="6"/>
    </row>
    <row r="27" spans="1:21">
      <c r="A27" s="30">
        <v>1.01</v>
      </c>
      <c r="B27" t="s">
        <v>29</v>
      </c>
      <c r="C27" s="165">
        <f ca="1">C24</f>
        <v>12.544286895214899</v>
      </c>
      <c r="D27" s="9">
        <v>1.0088158281062301</v>
      </c>
      <c r="E27" s="161">
        <f ca="1">D27*G30/2/SIN(G30/2)</f>
        <v>1.0108335200532095</v>
      </c>
      <c r="F27" s="159">
        <f ca="1">E27/G30</f>
        <v>4.6169618865695901</v>
      </c>
      <c r="G27" s="31">
        <v>102</v>
      </c>
      <c r="H27" s="161">
        <f ca="1">3.33564/100*$C$17*G30/E27</f>
        <v>12.643314255238574</v>
      </c>
      <c r="I27" s="162">
        <f ca="1">ABS(C27/2)</f>
        <v>6.2721434476074496</v>
      </c>
      <c r="J27" s="162">
        <f ca="1">ABS(C27/2)</f>
        <v>6.2721434476074496</v>
      </c>
      <c r="K27" s="162">
        <f ca="1">(1+POWER(SIN(G30/2),2))/POWER(COS(G30/2),3)*2.54*A27*0.5</f>
        <v>1.3216008199833371</v>
      </c>
      <c r="L27" s="162">
        <f ca="1">K27</f>
        <v>1.3216008199833371</v>
      </c>
    </row>
    <row r="29" spans="1:21">
      <c r="F29" s="152" t="s">
        <v>30</v>
      </c>
      <c r="G29" s="152"/>
      <c r="H29" s="152"/>
    </row>
    <row r="30" spans="1:21">
      <c r="B30" s="19"/>
      <c r="C30" s="6"/>
      <c r="F30" s="20" t="s">
        <v>22</v>
      </c>
      <c r="G30" s="23">
        <f ca="1">G30-G31/G32</f>
        <v>0.21893910863627691</v>
      </c>
      <c r="H30" s="22">
        <f ca="1">DEGREES(G30)</f>
        <v>12.544286895214899</v>
      </c>
      <c r="I30" s="6"/>
    </row>
    <row r="31" spans="1:21">
      <c r="B31" t="s">
        <v>17</v>
      </c>
      <c r="C31" s="32">
        <f>C13+C14+D24+C25+D27</f>
        <v>18.190401914444617</v>
      </c>
      <c r="F31" s="20" t="s">
        <v>23</v>
      </c>
      <c r="G31" s="23">
        <f ca="1">G27-G23-D24*SIN(G30/2)-D27*SIN(G30/2)-C25*TAN(G30)</f>
        <v>0</v>
      </c>
      <c r="H31" s="24"/>
      <c r="U31" s="6"/>
    </row>
    <row r="32" spans="1:21">
      <c r="E32" s="6"/>
      <c r="F32" s="26" t="s">
        <v>25</v>
      </c>
      <c r="G32" s="27">
        <f ca="1">-0.5*D24*COS(G30/2)-0.5*D27*COS(G30/2)-C25/COS(G30)/COS(G30)</f>
        <v>-1.3780984728433341</v>
      </c>
      <c r="H32" s="28"/>
      <c r="U32" s="6"/>
    </row>
    <row r="34" spans="1:25">
      <c r="N34" s="4"/>
    </row>
    <row r="35" spans="1:25">
      <c r="C35" t="s">
        <v>31</v>
      </c>
      <c r="D35" t="s">
        <v>10</v>
      </c>
    </row>
    <row r="36" spans="1:25">
      <c r="C36" s="6">
        <v>90.553719999999998</v>
      </c>
      <c r="D36" s="6">
        <v>100</v>
      </c>
    </row>
    <row r="37" spans="1:25">
      <c r="C37" s="6">
        <f>C36+D6</f>
        <v>92.053719999999998</v>
      </c>
      <c r="D37" s="6">
        <f ca="1">G6</f>
        <v>100.27038441631875</v>
      </c>
      <c r="E37">
        <f>1/0.2997925</f>
        <v>3.3356404846685623</v>
      </c>
      <c r="O37" s="29"/>
      <c r="P37" s="7"/>
    </row>
    <row r="38" spans="1:25">
      <c r="C38" s="6">
        <f>C37+C7</f>
        <v>95.176258099999998</v>
      </c>
      <c r="D38" s="6">
        <f ca="1">G7</f>
        <v>101.43390406436082</v>
      </c>
    </row>
    <row r="39" spans="1:25">
      <c r="C39" s="6">
        <f>C38+D9</f>
        <v>96.676258099999998</v>
      </c>
      <c r="D39" s="6">
        <f ca="1">G8</f>
        <v>101.69999999999999</v>
      </c>
    </row>
    <row r="40" spans="1:25">
      <c r="C40" s="6">
        <f>C39+C14</f>
        <v>106.36887417823216</v>
      </c>
      <c r="D40" s="6">
        <f ca="1">D39</f>
        <v>101.69999999999999</v>
      </c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</row>
    <row r="41" spans="1:25">
      <c r="C41" s="6">
        <f>C40+D24</f>
        <v>107.3776900063384</v>
      </c>
      <c r="D41" s="6">
        <f ca="1">G24</f>
        <v>101.81021418413677</v>
      </c>
    </row>
    <row r="42" spans="1:25">
      <c r="C42" s="6">
        <f>C41+C25</f>
        <v>107.7353060863384</v>
      </c>
      <c r="D42" s="6">
        <f ca="1">G25</f>
        <v>101.88978581586322</v>
      </c>
    </row>
    <row r="43" spans="1:25">
      <c r="C43" s="6">
        <f>C42+D27</f>
        <v>108.74412191444463</v>
      </c>
      <c r="D43" s="6">
        <f ca="1">G26</f>
        <v>101.99999999999999</v>
      </c>
      <c r="P43" s="6"/>
      <c r="R43" s="6"/>
      <c r="T43" s="6"/>
    </row>
    <row r="44" spans="1:25">
      <c r="A44" t="s">
        <v>32</v>
      </c>
      <c r="N44" s="21"/>
      <c r="O44" s="21"/>
      <c r="P44" s="33"/>
      <c r="Q44" s="21"/>
      <c r="R44" s="23"/>
      <c r="S44" s="21"/>
      <c r="T44" s="23"/>
      <c r="U44" s="23"/>
      <c r="V44" s="23"/>
      <c r="W44" s="23"/>
      <c r="X44" s="23"/>
      <c r="Y44" s="23"/>
    </row>
    <row r="45" spans="1:25">
      <c r="A45" t="s">
        <v>33</v>
      </c>
      <c r="B45" s="34">
        <v>1</v>
      </c>
      <c r="N45" s="21"/>
      <c r="O45" s="21"/>
      <c r="P45" s="23"/>
      <c r="Q45" s="21"/>
      <c r="R45" s="23"/>
      <c r="S45" s="23"/>
      <c r="T45" s="23"/>
      <c r="U45" s="23"/>
      <c r="V45" s="23"/>
      <c r="W45" s="23"/>
      <c r="X45" s="23"/>
      <c r="Y45" s="23"/>
    </row>
    <row r="46" spans="1:25">
      <c r="A46" t="s">
        <v>34</v>
      </c>
      <c r="B46" s="167">
        <f>B45*RADIANS(180)/16/2/SIN(RADIANS(180)/16/2)</f>
        <v>1.0016081890839748</v>
      </c>
      <c r="N46" s="21"/>
      <c r="O46" s="21"/>
      <c r="P46" s="21"/>
      <c r="Q46" s="21"/>
      <c r="R46" s="23"/>
      <c r="S46" s="23"/>
      <c r="T46" s="23"/>
      <c r="U46" s="23"/>
      <c r="V46" s="23"/>
      <c r="W46" s="23"/>
      <c r="X46" s="23"/>
      <c r="Y46" s="23"/>
    </row>
    <row r="47" spans="1:25">
      <c r="A47" t="s">
        <v>11</v>
      </c>
      <c r="B47" s="167">
        <f>3.335640485/100*$C$17*RADIANS(180)/16/B46</f>
        <v>11.443247959879811</v>
      </c>
      <c r="N47" s="21"/>
      <c r="O47" s="21"/>
      <c r="P47" s="33"/>
      <c r="Q47" s="21"/>
      <c r="R47" s="23"/>
      <c r="S47" s="21"/>
      <c r="T47" s="23"/>
      <c r="U47" s="23"/>
      <c r="V47" s="23"/>
      <c r="W47" s="23"/>
      <c r="X47" s="23"/>
      <c r="Y47" s="23"/>
    </row>
    <row r="48" spans="1:25">
      <c r="A48" t="s">
        <v>6</v>
      </c>
      <c r="B48" s="162">
        <f>180/16/2</f>
        <v>5.625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>
      <c r="A49" t="s">
        <v>4</v>
      </c>
      <c r="B49" s="34">
        <v>1.0009999999999999</v>
      </c>
      <c r="N49" s="21"/>
      <c r="O49" s="21"/>
      <c r="P49" s="21"/>
      <c r="Q49" s="21"/>
      <c r="R49" s="21"/>
      <c r="S49" s="151"/>
      <c r="T49" s="151"/>
      <c r="U49" s="151"/>
      <c r="V49" s="21"/>
      <c r="W49" s="21"/>
      <c r="X49" s="21"/>
      <c r="Y49" s="21"/>
    </row>
    <row r="50" spans="1:25">
      <c r="A50" t="s">
        <v>35</v>
      </c>
      <c r="B50" s="162">
        <f>(1+POWER(SIN(RADIANS(B48)/2),2))/POWER(COS(RADIANS(B48/2)),3)*2.54*B49*0.5</f>
        <v>1.2789468339444678</v>
      </c>
      <c r="N50" s="21"/>
      <c r="O50" s="35"/>
      <c r="P50" s="23"/>
      <c r="Q50" s="21"/>
      <c r="R50" s="21"/>
      <c r="S50" s="36"/>
      <c r="T50" s="23"/>
      <c r="U50" s="23"/>
      <c r="V50" s="23"/>
      <c r="W50" s="21"/>
      <c r="X50" s="21"/>
      <c r="Y50" s="21"/>
    </row>
    <row r="51" spans="1:25">
      <c r="N51" s="21"/>
      <c r="O51" s="21"/>
      <c r="P51" s="21"/>
      <c r="Q51" s="21"/>
      <c r="R51" s="21"/>
      <c r="S51" s="36"/>
      <c r="T51" s="23"/>
      <c r="U51" s="21"/>
      <c r="V51" s="21"/>
      <c r="W51" s="21"/>
      <c r="X51" s="21"/>
      <c r="Y51" s="21"/>
    </row>
    <row r="52" spans="1:25">
      <c r="A52" t="s">
        <v>36</v>
      </c>
      <c r="B52">
        <v>0.51099890999999997</v>
      </c>
      <c r="N52" s="21"/>
      <c r="O52" s="21"/>
      <c r="P52" s="21"/>
      <c r="Q52" s="21"/>
      <c r="R52" s="23"/>
      <c r="S52" s="36"/>
      <c r="T52" s="23"/>
      <c r="U52" s="21"/>
      <c r="V52" s="21"/>
      <c r="W52" s="21"/>
      <c r="X52" s="21"/>
      <c r="Y52" s="21"/>
    </row>
    <row r="57" spans="1:25">
      <c r="N57" s="4"/>
    </row>
    <row r="59" spans="1:25"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>
      <c r="N60" s="21"/>
      <c r="O60" s="37"/>
      <c r="P60" s="38"/>
      <c r="Q60" s="21"/>
      <c r="R60" s="21"/>
      <c r="S60" s="21"/>
      <c r="T60" s="21"/>
      <c r="U60" s="21"/>
      <c r="V60" s="21"/>
      <c r="W60" s="21"/>
      <c r="X60" s="21"/>
      <c r="Y60" s="21"/>
    </row>
    <row r="61" spans="1:25"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>
      <c r="N63" s="21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</row>
    <row r="64" spans="1:25"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4:25"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4:25">
      <c r="N66" s="21"/>
      <c r="O66" s="21"/>
      <c r="P66" s="23"/>
      <c r="Q66" s="21"/>
      <c r="R66" s="23"/>
      <c r="S66" s="21"/>
      <c r="T66" s="23"/>
      <c r="U66" s="21"/>
      <c r="V66" s="21"/>
      <c r="W66" s="21"/>
      <c r="X66" s="21"/>
      <c r="Y66" s="21"/>
    </row>
    <row r="67" spans="14:25">
      <c r="N67" s="21"/>
      <c r="O67" s="21"/>
      <c r="P67" s="33"/>
      <c r="Q67" s="21"/>
      <c r="R67" s="23"/>
      <c r="S67" s="21"/>
      <c r="T67" s="23"/>
      <c r="U67" s="23"/>
      <c r="V67" s="23"/>
      <c r="W67" s="23"/>
      <c r="X67" s="23"/>
      <c r="Y67" s="23"/>
    </row>
    <row r="68" spans="14:25">
      <c r="N68" s="21"/>
      <c r="O68" s="21"/>
      <c r="P68" s="23"/>
      <c r="Q68" s="21"/>
      <c r="R68" s="23"/>
      <c r="S68" s="23"/>
      <c r="T68" s="23"/>
      <c r="U68" s="23"/>
      <c r="V68" s="23"/>
      <c r="W68" s="23"/>
      <c r="X68" s="23"/>
      <c r="Y68" s="23"/>
    </row>
    <row r="69" spans="14:25">
      <c r="N69" s="21"/>
      <c r="O69" s="21"/>
      <c r="P69" s="21"/>
      <c r="Q69" s="21"/>
      <c r="R69" s="23"/>
      <c r="S69" s="23"/>
      <c r="T69" s="23"/>
      <c r="U69" s="23"/>
      <c r="V69" s="23"/>
      <c r="W69" s="23"/>
      <c r="X69" s="23"/>
      <c r="Y69" s="23"/>
    </row>
    <row r="70" spans="14:25">
      <c r="N70" s="21"/>
      <c r="O70" s="21"/>
      <c r="P70" s="33"/>
      <c r="Q70" s="21"/>
      <c r="R70" s="23"/>
      <c r="S70" s="21"/>
      <c r="T70" s="23"/>
      <c r="U70" s="23"/>
      <c r="V70" s="23"/>
      <c r="W70" s="23"/>
      <c r="X70" s="23"/>
      <c r="Y70" s="23"/>
    </row>
    <row r="71" spans="14:25"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4:25">
      <c r="N72" s="21"/>
      <c r="O72" s="21"/>
      <c r="P72" s="21"/>
      <c r="Q72" s="21"/>
      <c r="R72" s="21"/>
      <c r="S72" s="151"/>
      <c r="T72" s="151"/>
      <c r="U72" s="151"/>
      <c r="V72" s="21"/>
      <c r="W72" s="21"/>
      <c r="X72" s="21"/>
      <c r="Y72" s="21"/>
    </row>
    <row r="73" spans="14:25">
      <c r="N73" s="21"/>
      <c r="O73" s="35"/>
      <c r="P73" s="23"/>
      <c r="Q73" s="21"/>
      <c r="R73" s="21"/>
      <c r="S73" s="36"/>
      <c r="T73" s="23"/>
      <c r="U73" s="23"/>
      <c r="V73" s="23"/>
      <c r="W73" s="21"/>
      <c r="X73" s="21"/>
      <c r="Y73" s="21"/>
    </row>
    <row r="74" spans="14:25">
      <c r="N74" s="21"/>
      <c r="O74" s="21"/>
      <c r="P74" s="21"/>
      <c r="Q74" s="21"/>
      <c r="R74" s="21"/>
      <c r="S74" s="36"/>
      <c r="T74" s="23"/>
      <c r="U74" s="21"/>
      <c r="V74" s="21"/>
      <c r="W74" s="21"/>
      <c r="X74" s="21"/>
      <c r="Y74" s="21"/>
    </row>
    <row r="75" spans="14:25">
      <c r="N75" s="21"/>
      <c r="O75" s="21"/>
      <c r="P75" s="21"/>
      <c r="Q75" s="21"/>
      <c r="R75" s="23"/>
      <c r="S75" s="36"/>
      <c r="T75" s="23"/>
      <c r="U75" s="21"/>
      <c r="V75" s="21"/>
      <c r="W75" s="21"/>
      <c r="X75" s="21"/>
      <c r="Y75" s="21"/>
    </row>
  </sheetData>
  <mergeCells count="9">
    <mergeCell ref="O63:R63"/>
    <mergeCell ref="S63:Y63"/>
    <mergeCell ref="S72:U72"/>
    <mergeCell ref="F11:H11"/>
    <mergeCell ref="B20:E20"/>
    <mergeCell ref="F29:H29"/>
    <mergeCell ref="O40:R40"/>
    <mergeCell ref="S40:Y40"/>
    <mergeCell ref="S49:U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0"/>
  <sheetViews>
    <sheetView topLeftCell="A16" workbookViewId="0">
      <selection activeCell="E16" sqref="E16"/>
    </sheetView>
  </sheetViews>
  <sheetFormatPr baseColWidth="10" defaultColWidth="8.6640625" defaultRowHeight="13"/>
  <cols>
    <col min="2" max="2" width="13" customWidth="1"/>
    <col min="3" max="3" width="11.83203125" customWidth="1"/>
    <col min="4" max="4" width="10.33203125" customWidth="1"/>
    <col min="5" max="5" width="17.33203125" customWidth="1"/>
    <col min="6" max="7" width="11.1640625" customWidth="1"/>
    <col min="8" max="8" width="10.5" customWidth="1"/>
    <col min="11" max="11" width="11.1640625" customWidth="1"/>
    <col min="12" max="12" width="11.33203125" customWidth="1"/>
  </cols>
  <sheetData>
    <row r="1" spans="1:13">
      <c r="A1" s="4" t="s">
        <v>37</v>
      </c>
      <c r="D1" s="1"/>
      <c r="E1" t="s">
        <v>0</v>
      </c>
      <c r="G1" s="2"/>
      <c r="H1" t="s">
        <v>1</v>
      </c>
      <c r="J1" s="3"/>
      <c r="K1" t="s">
        <v>38</v>
      </c>
    </row>
    <row r="3" spans="1:13">
      <c r="A3" s="5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3">
      <c r="C4" s="6"/>
      <c r="G4" s="38">
        <v>100</v>
      </c>
    </row>
    <row r="5" spans="1:13">
      <c r="A5" s="8">
        <v>1.5</v>
      </c>
      <c r="B5" t="s">
        <v>60</v>
      </c>
      <c r="C5" s="15">
        <f>DEGREES(ASIN(H5*D5/3.33564/C18*100))</f>
        <v>2.2440303514926661</v>
      </c>
      <c r="D5" s="61">
        <f>'first pass SW'!D5</f>
        <v>1.0145768738995105</v>
      </c>
      <c r="E5" s="129">
        <f>D5*RADIANS(C5)/SIN(RADIANS(C5))</f>
        <v>1.0148363059477392</v>
      </c>
      <c r="F5" s="11">
        <f>3.33564/100*$C$18/H5</f>
        <v>25.911341702118971</v>
      </c>
      <c r="G5" s="11">
        <f>G4+D5*(1-COS(RADIANS(C5)))/SIN(RADIANS(C5))</f>
        <v>100.01987085608711</v>
      </c>
      <c r="H5" s="68">
        <f>'Second pass SW'!$H$5</f>
        <v>14.190218361978818</v>
      </c>
      <c r="I5" s="11">
        <v>0</v>
      </c>
      <c r="J5" s="11">
        <f>C5</f>
        <v>2.2440303514926661</v>
      </c>
      <c r="K5" s="11">
        <f>A5*2.54/2</f>
        <v>1.905</v>
      </c>
      <c r="L5" s="13">
        <f>(1+POWER(SIN(RADIANS(J5)),2))/POWER(COS(RADIANS(J5)),3)*2.54*A5*0.5</f>
        <v>1.91231685967528</v>
      </c>
    </row>
    <row r="6" spans="1:13">
      <c r="B6" t="s">
        <v>17</v>
      </c>
      <c r="C6" s="68">
        <f>'Second pass SW'!$C$6</f>
        <v>1.9797565483873789</v>
      </c>
      <c r="E6" s="11">
        <f>C6/COS(RADIANS(C5))</f>
        <v>1.9812759467133549</v>
      </c>
      <c r="F6" s="7"/>
      <c r="G6" s="11">
        <f>G5+TAN(RADIANS(C5))*C6</f>
        <v>100.09744911426678</v>
      </c>
    </row>
    <row r="7" spans="1:13">
      <c r="E7" s="6"/>
    </row>
    <row r="8" spans="1:13">
      <c r="A8" s="8">
        <v>1.87</v>
      </c>
      <c r="B8" t="s">
        <v>61</v>
      </c>
      <c r="C8" s="15">
        <f ca="1">H17</f>
        <v>1.845515840344939</v>
      </c>
      <c r="D8" s="61">
        <f>'Second pass SW'!D8</f>
        <v>1.0257755690257144</v>
      </c>
      <c r="E8" s="11">
        <f ca="1">D8*RADIANS(C8)/2/SIN(RADIANS(C8)/2)/COS(RADIANS(C5)+RADIANS(C8)/2)</f>
        <v>1.0273887843562222</v>
      </c>
      <c r="F8" s="17">
        <f ca="1">3.33564*C18/100/H8</f>
        <v>31.896253597956402</v>
      </c>
      <c r="G8" s="11">
        <f ca="1">F8*(1-COS(RADIANS(C8)))*COS(RADIANS(C5))+G6+F8*SIN(RADIANS(C8))*SIN(RADIANS(C5))</f>
        <v>100.15420243787901</v>
      </c>
      <c r="H8" s="68">
        <f ca="1">'Second pass SW'!$H$8</f>
        <v>11.527610779608107</v>
      </c>
      <c r="I8" s="11">
        <f>J5</f>
        <v>2.2440303514926661</v>
      </c>
      <c r="J8" s="11">
        <f ca="1">C5+C8</f>
        <v>4.0895461918376048</v>
      </c>
      <c r="K8" s="13">
        <f>(1+POWER(SIN(RADIANS(I8)),2))/POWER(COS(RADIANS(I8)),3)*2.54*A8*0.5</f>
        <v>2.3840216850618492</v>
      </c>
      <c r="L8" s="13">
        <f ca="1">(1+POWER(SIN(RADIANS(J8)),2))/POWER(COS(RADIANS(J8)),3)*2.54*A8*0.5</f>
        <v>2.4053048289854666</v>
      </c>
    </row>
    <row r="9" spans="1:13">
      <c r="B9" t="s">
        <v>17</v>
      </c>
      <c r="C9" s="68">
        <f ca="1">'fourth pass SW'!C9</f>
        <v>0.21259189064706685</v>
      </c>
      <c r="E9" s="11">
        <f ca="1">C9/COS(RADIANS(C10))</f>
        <v>0.21313457148912299</v>
      </c>
      <c r="G9" s="11">
        <f ca="1">G8+TAN(RADIANS(C10))*C9</f>
        <v>100.16940222718536</v>
      </c>
      <c r="H9" s="11">
        <f ca="1">G9+F10*(1-COS(RADIANS(C10)))</f>
        <v>100.27777231186863</v>
      </c>
    </row>
    <row r="10" spans="1:13">
      <c r="A10" s="8">
        <v>1</v>
      </c>
      <c r="B10" s="6" t="s">
        <v>100</v>
      </c>
      <c r="C10" s="11">
        <f ca="1">C5+C8</f>
        <v>4.0895461918376048</v>
      </c>
      <c r="D10" s="61">
        <f>'fourth pass SW'!$D$10</f>
        <v>3.0353060706121413</v>
      </c>
      <c r="E10" s="11">
        <f ca="1">D10*RADIANS(C10)/SIN(RADIANS(C10))</f>
        <v>3.0378848512558316</v>
      </c>
      <c r="F10" s="11">
        <f ca="1">E10/(RADIANS(C10))</f>
        <v>42.561685932559534</v>
      </c>
      <c r="G10" s="21"/>
      <c r="H10" s="11">
        <f ca="1">3.33564*C18/100/F10</f>
        <v>8.6389340259577558</v>
      </c>
      <c r="I10" s="11">
        <f ca="1">J8</f>
        <v>4.0895461918376048</v>
      </c>
      <c r="J10" s="11">
        <v>0</v>
      </c>
      <c r="K10" s="13">
        <f ca="1">(1+POWER(SIN(RADIANS(I10)),2))/POWER(COS(RADIANS(I10)),3)*2.54*A10*0.5</f>
        <v>1.2862592668371478</v>
      </c>
      <c r="L10" s="13">
        <f>(1+POWER(SIN(RADIANS(J10)),2))/POWER(COS(RADIANS(J10)),3)*2.54*A10*0.5</f>
        <v>1.27</v>
      </c>
    </row>
    <row r="11" spans="1:13">
      <c r="B11" t="s">
        <v>17</v>
      </c>
      <c r="C11" s="31">
        <f ca="1">E11*COS(RADIANS(C12))</f>
        <v>0.60498985870614708</v>
      </c>
      <c r="E11" s="116">
        <v>0.60653403606807199</v>
      </c>
    </row>
    <row r="12" spans="1:13">
      <c r="A12" s="8">
        <v>1</v>
      </c>
      <c r="B12" t="s">
        <v>110</v>
      </c>
      <c r="C12" s="11">
        <f ca="1">DEGREES(K17)</f>
        <v>-4.0893173482838252</v>
      </c>
      <c r="D12" s="16">
        <v>3.0353060706121413</v>
      </c>
      <c r="E12" s="11">
        <f ca="1">D12*K17/SIN(K17)</f>
        <v>3.0378845624845776</v>
      </c>
      <c r="F12" s="11">
        <f ca="1">E12/RADIANS(C12)</f>
        <v>-42.564063694239891</v>
      </c>
      <c r="G12" s="12">
        <f ca="1">H9+D12*(1-COS(K17))/SIN(K17)</f>
        <v>100.16940829652951</v>
      </c>
      <c r="H12" s="11">
        <f ca="1">3.33564/100*$C$18*K17/E12</f>
        <v>-8.6384514280922513</v>
      </c>
      <c r="I12" s="11">
        <v>0</v>
      </c>
      <c r="J12" s="11">
        <f ca="1">ABS(C12)</f>
        <v>4.0893173482838252</v>
      </c>
      <c r="K12" s="11">
        <f>A12*2.54/2</f>
        <v>1.27</v>
      </c>
      <c r="L12" s="13">
        <f ca="1">(1+POWER(SIN(RADIANS(J12)),2))/POWER(COS(RADIANS(J12)),3)*2.54*A12*0.5</f>
        <v>1.2862574377626483</v>
      </c>
    </row>
    <row r="13" spans="1:13">
      <c r="B13" t="s">
        <v>17</v>
      </c>
      <c r="C13" s="31">
        <f ca="1">E13*COS(RADIANS(C14))</f>
        <v>1.3515358993258613</v>
      </c>
      <c r="E13" s="116">
        <v>1.3549855623400995</v>
      </c>
      <c r="G13" s="11">
        <f ca="1">G12+TAN(K17)*C13</f>
        <v>100.0727822804492</v>
      </c>
      <c r="H13" s="11">
        <f ca="1">G13+D14*SIN(K17/2)</f>
        <v>99.999999999999986</v>
      </c>
      <c r="I13" s="11"/>
      <c r="J13" s="11"/>
      <c r="K13" s="11"/>
      <c r="L13" s="11"/>
    </row>
    <row r="14" spans="1:13">
      <c r="A14" s="8">
        <v>1.01</v>
      </c>
      <c r="B14" t="s">
        <v>111</v>
      </c>
      <c r="C14" s="11">
        <f ca="1">DEGREES(K17)</f>
        <v>-4.0893173482838252</v>
      </c>
      <c r="D14" s="16">
        <v>2.0399506184266607</v>
      </c>
      <c r="E14" s="11">
        <f ca="1">D14*RADIANS(C14)/2/SIN(RADIANS(C14)/2)</f>
        <v>2.0403836597154834</v>
      </c>
      <c r="F14" s="11">
        <f ca="1">E14/RADIANS(C14)</f>
        <v>-28.587992159184299</v>
      </c>
      <c r="G14" s="31">
        <v>100</v>
      </c>
      <c r="H14" s="11">
        <f ca="1">3.33564/100*$C$18*K17/E14</f>
        <v>-12.861609684148149</v>
      </c>
      <c r="I14" s="11">
        <f ca="1">ABS(C14)/2</f>
        <v>2.0446586741419126</v>
      </c>
      <c r="J14" s="11">
        <f ca="1">ABS(C14)/2</f>
        <v>2.0446586741419126</v>
      </c>
      <c r="K14" s="13">
        <f ca="1">(1+POWER(SIN(RADIANS(I14)),2))/POWER(COS(RADIANS(I14)),3)*2.54*A14*0.5</f>
        <v>1.2867890643368902</v>
      </c>
      <c r="L14" s="13">
        <f ca="1">(1+POWER(SIN(RADIANS(J14)),2))/POWER(COS(RADIANS(J14)),3)*2.54*A14*0.5</f>
        <v>1.2867890643368902</v>
      </c>
    </row>
    <row r="16" spans="1:13">
      <c r="F16" s="78" t="s">
        <v>63</v>
      </c>
      <c r="G16" s="79"/>
      <c r="H16" s="80"/>
      <c r="J16" s="152" t="s">
        <v>112</v>
      </c>
      <c r="K16" s="152"/>
      <c r="L16" s="152"/>
      <c r="M16" s="6"/>
    </row>
    <row r="17" spans="1:12">
      <c r="C17" t="s">
        <v>26</v>
      </c>
      <c r="F17" s="81" t="s">
        <v>22</v>
      </c>
      <c r="G17" s="23">
        <f ca="1">G17-G18/G19</f>
        <v>3.2210327811729188E-2</v>
      </c>
      <c r="H17" s="22">
        <f ca="1">DEGREES(G17)</f>
        <v>1.845515840344939</v>
      </c>
      <c r="J17" s="20" t="s">
        <v>22</v>
      </c>
      <c r="K17" s="21">
        <f ca="1">K17-K18/K19</f>
        <v>-7.137205188647644E-2</v>
      </c>
      <c r="L17" s="22">
        <f ca="1">DEGREES(K17)</f>
        <v>-4.0893173482838252</v>
      </c>
    </row>
    <row r="18" spans="1:12">
      <c r="A18" t="s">
        <v>27</v>
      </c>
      <c r="B18" s="29">
        <f>10*1090+123-'first passNE'!B52</f>
        <v>11022.48900109</v>
      </c>
      <c r="C18" s="7">
        <f>SQRT(B18*B18+2*'first passNE'!B52*B18)</f>
        <v>11022.99998815568</v>
      </c>
      <c r="F18" s="81" t="s">
        <v>23</v>
      </c>
      <c r="G18" s="23">
        <f ca="1">0.5*H8*D8/3.33564/C18*100-SIN(G17/2)*COS(G17/2+RADIANS(C5))</f>
        <v>0</v>
      </c>
      <c r="H18" s="22"/>
      <c r="J18" s="20" t="s">
        <v>23</v>
      </c>
      <c r="K18" s="23">
        <f ca="1">G14-H9-D12*(1-COS(K17))/SIN(K17)-C13*TAN(K17)-D14*SIN(K17/2)</f>
        <v>0</v>
      </c>
      <c r="L18" s="22"/>
    </row>
    <row r="19" spans="1:12">
      <c r="F19" s="82" t="s">
        <v>25</v>
      </c>
      <c r="G19" s="27">
        <f ca="1">-COS(RADIANS(C5)+G17)/2</f>
        <v>-0.4987269056393232</v>
      </c>
      <c r="H19" s="83"/>
      <c r="J19" s="26" t="s">
        <v>25</v>
      </c>
      <c r="K19" s="27">
        <f ca="1">-COS(K17/2)*D14/2+2*COS(K17/2)*SIN(K17/2)*D12-C13/COS(K17)/COS(K17)</f>
        <v>-2.5942220892993424</v>
      </c>
      <c r="L19" s="83"/>
    </row>
    <row r="20" spans="1:12">
      <c r="B20" t="s">
        <v>17</v>
      </c>
      <c r="C20" s="32">
        <f ca="1">D5+C6+D8+C9+D10+C11+D12+C13+D14</f>
        <v>14.299789399642624</v>
      </c>
    </row>
    <row r="23" spans="1:12">
      <c r="C23" t="s">
        <v>92</v>
      </c>
      <c r="D23" t="s">
        <v>31</v>
      </c>
      <c r="E23" t="s">
        <v>10</v>
      </c>
    </row>
    <row r="24" spans="1:12">
      <c r="D24" s="44">
        <v>-91.525080000000003</v>
      </c>
      <c r="E24" s="6">
        <v>100</v>
      </c>
    </row>
    <row r="25" spans="1:12">
      <c r="C25" t="s">
        <v>60</v>
      </c>
      <c r="D25" s="6">
        <f>D24+D5</f>
        <v>-90.510503126100488</v>
      </c>
      <c r="E25" s="6">
        <f>G5</f>
        <v>100.01987085608711</v>
      </c>
    </row>
    <row r="26" spans="1:12">
      <c r="D26" s="6">
        <f>D25+C6</f>
        <v>-88.530746577713103</v>
      </c>
      <c r="E26" s="6">
        <f>G6</f>
        <v>100.09744911426678</v>
      </c>
    </row>
    <row r="27" spans="1:12">
      <c r="C27" t="s">
        <v>61</v>
      </c>
      <c r="D27" s="6">
        <f>D26+D8</f>
        <v>-87.504971008687392</v>
      </c>
      <c r="E27" s="6">
        <f ca="1">G8</f>
        <v>100.15420243787901</v>
      </c>
    </row>
    <row r="28" spans="1:12">
      <c r="D28" s="6">
        <f ca="1">D27+C9</f>
        <v>-87.29237911804033</v>
      </c>
      <c r="E28" s="6">
        <f ca="1">G9</f>
        <v>100.16940222718536</v>
      </c>
    </row>
    <row r="29" spans="1:12">
      <c r="C29" t="s">
        <v>100</v>
      </c>
      <c r="D29" s="6">
        <f ca="1">D28+D10</f>
        <v>-84.257073047428193</v>
      </c>
      <c r="E29" s="6">
        <f ca="1">H9</f>
        <v>100.27777231186863</v>
      </c>
    </row>
    <row r="30" spans="1:12">
      <c r="D30" s="6">
        <f ca="1">D29+C11</f>
        <v>-83.652083188722045</v>
      </c>
      <c r="E30" s="6">
        <f ca="1">H9</f>
        <v>100.27777231186863</v>
      </c>
    </row>
    <row r="31" spans="1:12">
      <c r="C31" t="s">
        <v>110</v>
      </c>
      <c r="D31" s="6">
        <f ca="1">D30+D12</f>
        <v>-80.616777118109908</v>
      </c>
      <c r="E31" s="6">
        <f ca="1">G12</f>
        <v>100.16940829652951</v>
      </c>
    </row>
    <row r="32" spans="1:12">
      <c r="D32" s="6">
        <f ca="1">D31+C13</f>
        <v>-79.265241218784041</v>
      </c>
      <c r="E32" s="6">
        <f ca="1">G13</f>
        <v>100.0727822804492</v>
      </c>
    </row>
    <row r="33" spans="1:5">
      <c r="C33" t="s">
        <v>113</v>
      </c>
      <c r="D33" s="6">
        <f ca="1">D32+D14</f>
        <v>-77.225290600357383</v>
      </c>
      <c r="E33" s="6">
        <f ca="1">H13</f>
        <v>99.999999999999986</v>
      </c>
    </row>
    <row r="34" spans="1:5">
      <c r="A34" t="s">
        <v>114</v>
      </c>
    </row>
    <row r="35" spans="1:5">
      <c r="A35" t="s">
        <v>33</v>
      </c>
      <c r="B35" s="34">
        <v>4</v>
      </c>
    </row>
    <row r="36" spans="1:5">
      <c r="A36" t="s">
        <v>34</v>
      </c>
      <c r="B36" s="10">
        <f>B35*RADIANS(180)/32/2/SIN(RADIANS(180)/32/2)</f>
        <v>4.0016068326198608</v>
      </c>
    </row>
    <row r="37" spans="1:5">
      <c r="A37" t="s">
        <v>11</v>
      </c>
      <c r="B37" s="10">
        <f>3.33564/100*$C$18*RADIANS(180)/32/B36</f>
        <v>9.0207876271273033</v>
      </c>
    </row>
    <row r="38" spans="1:5">
      <c r="A38" t="s">
        <v>6</v>
      </c>
      <c r="B38" s="11">
        <f>180/32/2</f>
        <v>2.8125</v>
      </c>
    </row>
    <row r="39" spans="1:5">
      <c r="A39" t="s">
        <v>4</v>
      </c>
      <c r="B39" s="34">
        <v>1.0009999999999999</v>
      </c>
    </row>
    <row r="40" spans="1:5">
      <c r="A40" t="s">
        <v>35</v>
      </c>
      <c r="B40" s="11">
        <f>(1+POWER(SIN(RADIANS(B38)/2),2))/POWER(COS(RADIANS(B38/2)),3)*2.54*B39*0.5</f>
        <v>1.273185682928986</v>
      </c>
    </row>
  </sheetData>
  <mergeCells count="1">
    <mergeCell ref="J16:L16"/>
  </mergeCells>
  <conditionalFormatting sqref="D12">
    <cfRule type="cellIs" dxfId="15" priority="3" operator="notEqual">
      <formula>AO12</formula>
    </cfRule>
  </conditionalFormatting>
  <conditionalFormatting sqref="D12">
    <cfRule type="cellIs" dxfId="14" priority="2" operator="notEqual">
      <formula>AO12</formula>
    </cfRule>
  </conditionalFormatting>
  <conditionalFormatting sqref="D14">
    <cfRule type="cellIs" dxfId="13" priority="1" operator="notEqual">
      <formula>AO14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8"/>
  <sheetViews>
    <sheetView workbookViewId="0">
      <selection activeCell="E16" sqref="E16"/>
    </sheetView>
  </sheetViews>
  <sheetFormatPr baseColWidth="10" defaultColWidth="9" defaultRowHeight="13"/>
  <cols>
    <col min="2" max="2" width="11.5" customWidth="1"/>
    <col min="3" max="3" width="15.33203125" customWidth="1"/>
    <col min="4" max="4" width="19.33203125" customWidth="1"/>
    <col min="5" max="5" width="15.33203125" customWidth="1"/>
    <col min="6" max="6" width="12.33203125" customWidth="1"/>
    <col min="7" max="7" width="18.1640625" customWidth="1"/>
    <col min="8" max="8" width="12.83203125" customWidth="1"/>
    <col min="9" max="9" width="18" customWidth="1"/>
    <col min="11" max="11" width="10.5" bestFit="1" customWidth="1"/>
    <col min="12" max="12" width="13.1640625" customWidth="1"/>
    <col min="16" max="16" width="12" customWidth="1"/>
  </cols>
  <sheetData>
    <row r="1" spans="1:17">
      <c r="C1" s="1"/>
      <c r="D1" t="s">
        <v>0</v>
      </c>
      <c r="F1" s="2"/>
      <c r="G1" t="s">
        <v>1</v>
      </c>
      <c r="I1" s="3"/>
      <c r="J1" t="s">
        <v>38</v>
      </c>
    </row>
    <row r="2" spans="1:17">
      <c r="A2" s="4" t="s">
        <v>3</v>
      </c>
    </row>
    <row r="3" spans="1:17">
      <c r="N3">
        <f>131349.324</f>
        <v>131349.32399999999</v>
      </c>
      <c r="O3">
        <v>0.97504000000000002</v>
      </c>
      <c r="P3">
        <f>1313.493</f>
        <v>1313.4929999999999</v>
      </c>
      <c r="Q3">
        <f>P3/0.2000262163</f>
        <v>6566.6042396663579</v>
      </c>
    </row>
    <row r="4" spans="1:17">
      <c r="A4" s="5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7">
      <c r="C5" s="6"/>
      <c r="G5" s="14">
        <v>100</v>
      </c>
      <c r="H5" s="14"/>
      <c r="O5">
        <f>RADIANS(13.4)*26.7</f>
        <v>6.2444389977853119</v>
      </c>
    </row>
    <row r="6" spans="1:17">
      <c r="A6" s="8">
        <v>1.5</v>
      </c>
      <c r="B6" t="s">
        <v>94</v>
      </c>
      <c r="C6" s="98">
        <f ca="1">DEGREES(ASIN(H6*D6/3.33564/C35*100))</f>
        <v>2.9015939996741951</v>
      </c>
      <c r="D6" s="69">
        <f>'first passNE'!D6</f>
        <v>1.5</v>
      </c>
      <c r="E6" s="96">
        <f ca="1">D6*RADIANS(C6)/SIN(RADIANS(C6))</f>
        <v>1.5006413542742136</v>
      </c>
      <c r="F6" s="11">
        <f ca="1">3.33564/100*$C$35/H6</f>
        <v>29.632131915203466</v>
      </c>
      <c r="G6" s="10">
        <f ca="1">G5+F6*(1-COS(RADIANS(C6)))</f>
        <v>100.03798989621566</v>
      </c>
      <c r="H6" s="62">
        <f ca="1">'first passNE'!H6</f>
        <v>13.58812472731378</v>
      </c>
      <c r="I6" s="11">
        <v>0</v>
      </c>
      <c r="J6" s="11">
        <f ca="1">C6</f>
        <v>2.9015939996741951</v>
      </c>
      <c r="K6" s="11">
        <f>A6*2.54/2</f>
        <v>1.905</v>
      </c>
      <c r="L6" s="13">
        <f ca="1">(1+POWER(SIN(RADIANS(J6)),2))/POWER(COS(RADIANS(J6)),3)*2.54*A6*0.5</f>
        <v>1.9172460523512269</v>
      </c>
    </row>
    <row r="7" spans="1:17">
      <c r="B7" t="s">
        <v>17</v>
      </c>
      <c r="C7" s="99">
        <f>'second pass NE'!$C$7</f>
        <v>0.48955313700000003</v>
      </c>
      <c r="D7" s="14"/>
      <c r="E7" s="96">
        <f ca="1">C7/COS(RADIANS(C6))</f>
        <v>0.4901815746433264</v>
      </c>
      <c r="F7" s="7"/>
      <c r="G7" s="10">
        <f ca="1">G6+TAN(RADIANS(C6))*C7</f>
        <v>100.0628032428918</v>
      </c>
      <c r="H7" s="14"/>
      <c r="O7">
        <f>306.46*2</f>
        <v>612.91999999999996</v>
      </c>
    </row>
    <row r="8" spans="1:17">
      <c r="C8" s="14"/>
      <c r="D8" s="14"/>
      <c r="E8" s="97"/>
      <c r="G8" s="14"/>
      <c r="H8" s="14"/>
    </row>
    <row r="9" spans="1:17">
      <c r="A9" s="8">
        <v>1.87</v>
      </c>
      <c r="B9" t="s">
        <v>95</v>
      </c>
      <c r="C9" s="105" t="e">
        <f ca="1">H33</f>
        <v>#DIV/0!</v>
      </c>
      <c r="D9" s="100">
        <f>'third pass NE'!D9</f>
        <v>1.0155270090794399</v>
      </c>
      <c r="E9" s="96" t="e">
        <f ca="1">D9*RADIANS(C9)/2/SIN(RADIANS(C9)/2)/COS(RADIANS(C6)+RADIANS(C9)/2)</f>
        <v>#DIV/0!</v>
      </c>
      <c r="F9" s="11">
        <f ca="1">3.33564/100*$C$35/H9</f>
        <v>63.679053050681084</v>
      </c>
      <c r="G9" s="10" t="e">
        <f ca="1">F9*(1-COS(RADIANS(C9)))*COS(RADIANS(C6))+G7+F9*SIN(RADIANS(C9))*SIN(RADIANS(C6))</f>
        <v>#DIV/0!</v>
      </c>
      <c r="H9" s="69">
        <f ca="1">'second pass NE'!$H$9</f>
        <v>6.3230385049781059</v>
      </c>
      <c r="I9" s="11">
        <f ca="1">C6</f>
        <v>2.9015939996741951</v>
      </c>
      <c r="J9" s="11" t="e">
        <f ca="1">C9+C6</f>
        <v>#DIV/0!</v>
      </c>
      <c r="K9" s="11">
        <f ca="1">(1+POWER(SIN(RADIANS(I9)),2))/POWER(COS(RADIANS(I9)),3)*2.54*A9*0.5</f>
        <v>2.3901667452645294</v>
      </c>
      <c r="L9" s="11" t="e">
        <f ca="1">(1+POWER(SIN(RADIANS(J9)),2))/POWER(COS(RADIANS(J9)),3)*2.54*A9*0.5</f>
        <v>#DIV/0!</v>
      </c>
      <c r="P9" s="112" t="s">
        <v>115</v>
      </c>
      <c r="Q9" s="112">
        <f>40*2.54*12+2.25*2.54+42*2.54*12+2.54*8.25</f>
        <v>2526.0299999999997</v>
      </c>
    </row>
    <row r="10" spans="1:17">
      <c r="B10" t="s">
        <v>17</v>
      </c>
      <c r="C10" s="100">
        <f>'fith pass NE'!C10</f>
        <v>0.88810009400000001</v>
      </c>
      <c r="D10" s="97"/>
      <c r="E10" s="96" t="e">
        <f ca="1">C10/COS(RADIANS(C11))</f>
        <v>#DIV/0!</v>
      </c>
      <c r="G10" s="10" t="e">
        <f ca="1">G9+TAN(RADIANS(C9+C6))*C10</f>
        <v>#DIV/0!</v>
      </c>
      <c r="H10" s="10" t="e">
        <f ca="1">G10+F11*(1-COS(RADIANS(C11)))</f>
        <v>#DIV/0!</v>
      </c>
      <c r="O10">
        <f>600*RADIANS(13.4)/SIN(RADIANS(13.4))</f>
        <v>605.50481684889053</v>
      </c>
    </row>
    <row r="11" spans="1:17">
      <c r="A11" s="8">
        <v>1</v>
      </c>
      <c r="B11" s="6" t="s">
        <v>88</v>
      </c>
      <c r="C11" s="105" t="e">
        <f ca="1">C6+C9</f>
        <v>#DIV/0!</v>
      </c>
      <c r="D11" s="100">
        <f>'fourth pass NE'!D11</f>
        <v>3.03530607061214</v>
      </c>
      <c r="E11" s="96" t="e">
        <f ca="1">D11*RADIANS(C11)/SIN(RADIANS(C11))</f>
        <v>#DIV/0!</v>
      </c>
      <c r="F11" s="11">
        <f ca="1">3.33564/100*$C$35/H11</f>
        <v>45.596863508547415</v>
      </c>
      <c r="G11" s="14"/>
      <c r="H11" s="99">
        <f ca="1">'fourth pass NE'!H11</f>
        <v>8.8305438887155407</v>
      </c>
      <c r="I11" s="11" t="e">
        <f ca="1">J9</f>
        <v>#DIV/0!</v>
      </c>
      <c r="J11" s="11">
        <v>0</v>
      </c>
      <c r="K11" s="13" t="e">
        <f ca="1">(1+POWER(SIN(RADIANS(I11)),2))/POWER(COS(RADIANS(I11)),3)*2.54*A11*0.5</f>
        <v>#DIV/0!</v>
      </c>
      <c r="L11" s="13">
        <f>(1+POWER(SIN(RADIANS(J11)),2))/POWER(COS(RADIANS(J11)),3)*2.54*A11*0.5</f>
        <v>1.27</v>
      </c>
      <c r="O11">
        <f>300*RADIANS(6.7)/SIN(RADIANS(6.7))</f>
        <v>300.6848061242473</v>
      </c>
      <c r="Q11">
        <v>29909.379000000001</v>
      </c>
    </row>
    <row r="12" spans="1:17">
      <c r="B12" t="s">
        <v>17</v>
      </c>
      <c r="C12" s="100">
        <f>'fith pass NE'!C12</f>
        <v>1.8604571170000002</v>
      </c>
      <c r="D12" s="97"/>
      <c r="E12" s="97"/>
      <c r="G12" s="14"/>
      <c r="H12" s="108"/>
      <c r="Q12">
        <f>Q11+Q9</f>
        <v>32435.409</v>
      </c>
    </row>
    <row r="13" spans="1:17">
      <c r="A13" s="8">
        <v>1</v>
      </c>
      <c r="B13" t="s">
        <v>116</v>
      </c>
      <c r="C13" s="103" t="e">
        <f ca="1">DEGREES(ASIN(100*H13*D13/3.33564/C35))</f>
        <v>#DIV/0!</v>
      </c>
      <c r="D13" s="101">
        <v>0.97993395986791976</v>
      </c>
      <c r="E13" s="96" t="e">
        <f ca="1">D13*RADIANS(C13)/SIN(RADIANS(C13))</f>
        <v>#DIV/0!</v>
      </c>
      <c r="F13" s="11" t="e">
        <f ca="1">E13/RADIANS(C13)</f>
        <v>#DIV/0!</v>
      </c>
      <c r="G13" s="10" t="e">
        <f ca="1">H10+D13*(1-COS(RADIANS(C13)))/SIN(RADIANS(C13))</f>
        <v>#DIV/0!</v>
      </c>
      <c r="H13" s="99" t="e">
        <f ca="1">'fith pass NE'!H13</f>
        <v>#DIV/0!</v>
      </c>
      <c r="I13" s="11">
        <v>0</v>
      </c>
      <c r="J13" s="11" t="e">
        <f ca="1">ABS(C13)</f>
        <v>#DIV/0!</v>
      </c>
      <c r="K13" s="11">
        <f>A13*2.54/2</f>
        <v>1.27</v>
      </c>
      <c r="L13" s="13" t="e">
        <f ca="1">(1+POWER(SIN(RADIANS(J13)),2))/POWER(COS(RADIANS(J13)),3)*2.54*A13*0.5</f>
        <v>#DIV/0!</v>
      </c>
      <c r="P13">
        <f>3283*2</f>
        <v>6566</v>
      </c>
    </row>
    <row r="14" spans="1:17">
      <c r="B14" t="s">
        <v>17</v>
      </c>
      <c r="C14" s="106">
        <v>0.47134112299999997</v>
      </c>
      <c r="D14" s="97"/>
      <c r="E14" s="96">
        <f>C14/COS(RADIANS(C15))</f>
        <v>0.47148048491937455</v>
      </c>
      <c r="G14" s="10" t="e">
        <f ca="1">G13+C14*TAN(RADIANS(C13))</f>
        <v>#DIV/0!</v>
      </c>
      <c r="H14" s="10" t="e">
        <f ca="1">G14+F15*(1-COS(RADIANS(C15)))</f>
        <v>#DIV/0!</v>
      </c>
    </row>
    <row r="15" spans="1:17">
      <c r="A15" s="8">
        <v>1</v>
      </c>
      <c r="B15" t="s">
        <v>117</v>
      </c>
      <c r="C15" s="103">
        <v>-1.3931199999999999</v>
      </c>
      <c r="D15" s="102">
        <v>2.0015240030480062</v>
      </c>
      <c r="E15" s="96">
        <f>D15*RADIANS(C15)/2/SIN(RADIANS(C15)/2)</f>
        <v>2.0015733078068663</v>
      </c>
      <c r="F15" s="11">
        <f>E15/RADIANS(C15)</f>
        <v>-82.32004631573237</v>
      </c>
      <c r="G15" s="10" t="e">
        <f ca="1">G14+F15*(1-COS(RADIANS(C15)))*COS(RADIANS(C13))+F15*(SIN(RADIANS(C15)*SIN(RADIANS(C13))))</f>
        <v>#DIV/0!</v>
      </c>
      <c r="H15" s="109">
        <f>RADIANS(C15)*3.33564*C35/E15/100</f>
        <v>-4.8912157174412281</v>
      </c>
      <c r="I15" s="11">
        <f>-C15/2</f>
        <v>0.69655999999999996</v>
      </c>
      <c r="J15" s="11">
        <f>-C15/2</f>
        <v>0.69655999999999996</v>
      </c>
      <c r="K15" s="13">
        <f>(1+POWER(SIN(RADIANS(I15)),2))/POWER(COS(RADIANS(I15)),3)*2.54*A15*0.5</f>
        <v>1.2704693326721346</v>
      </c>
      <c r="L15" s="13">
        <f>(1+POWER(SIN(RADIANS(J15)),2))/POWER(COS(RADIANS(J15)),3)*2.54*A15*0.5</f>
        <v>1.2704693326721346</v>
      </c>
      <c r="N15" t="s">
        <v>118</v>
      </c>
      <c r="O15" t="s">
        <v>119</v>
      </c>
      <c r="P15" t="s">
        <v>120</v>
      </c>
    </row>
    <row r="16" spans="1:17">
      <c r="B16" t="s">
        <v>17</v>
      </c>
      <c r="C16" s="106">
        <v>0.59734112299999997</v>
      </c>
      <c r="D16" s="97"/>
      <c r="E16" s="96" t="e">
        <f ca="1">C16/COS(RADIANS(C15+C13))</f>
        <v>#DIV/0!</v>
      </c>
      <c r="G16" s="10" t="e">
        <f ca="1">G15+C16*TAN(RADIANS(C13+C15))</f>
        <v>#DIV/0!</v>
      </c>
      <c r="H16" s="10"/>
      <c r="N16">
        <v>682551.24600000004</v>
      </c>
      <c r="O16">
        <v>682924.50899999996</v>
      </c>
    </row>
    <row r="17" spans="1:16">
      <c r="A17" s="8">
        <v>1</v>
      </c>
      <c r="B17" t="s">
        <v>121</v>
      </c>
      <c r="C17" s="103" t="e">
        <f ca="1">C13</f>
        <v>#DIV/0!</v>
      </c>
      <c r="D17" s="103">
        <v>0.97993395986791976</v>
      </c>
      <c r="E17" s="96" t="e">
        <f ca="1">D17*RADIANS(C17)/2/SIN(RADIANS(C17)/2)</f>
        <v>#DIV/0!</v>
      </c>
      <c r="F17" s="11" t="e">
        <f ca="1">F13</f>
        <v>#DIV/0!</v>
      </c>
      <c r="G17" s="10" t="e">
        <f ca="1">F17*(1-COS(RADIANS(C17)))*COS(RADIANS(C13+C15))+G16+F17*SIN(RADIANS(C17))*SIN(RADIANS(C13+C15))</f>
        <v>#DIV/0!</v>
      </c>
      <c r="H17" s="110" t="e">
        <f ca="1">H13</f>
        <v>#DIV/0!</v>
      </c>
      <c r="I17" s="11" t="e">
        <f ca="1">-C17/2</f>
        <v>#DIV/0!</v>
      </c>
      <c r="J17" s="11" t="e">
        <f ca="1">-C17/2</f>
        <v>#DIV/0!</v>
      </c>
      <c r="K17" s="13" t="e">
        <f ca="1">(1+POWER(SIN(RADIANS(I17)),2))/POWER(COS(RADIANS(I17)),3)*2.54*A17*0.5</f>
        <v>#DIV/0!</v>
      </c>
      <c r="L17" s="13" t="e">
        <f ca="1">(1+POWER(SIN(RADIANS(J17)),2))/POWER(COS(RADIANS(J17)),3)*2.54*A17*0.5</f>
        <v>#DIV/0!</v>
      </c>
      <c r="N17">
        <v>683078.46400000004</v>
      </c>
      <c r="O17">
        <v>683241.647</v>
      </c>
    </row>
    <row r="18" spans="1:16">
      <c r="C18" s="107">
        <v>10.865372109999999</v>
      </c>
      <c r="D18" s="97"/>
      <c r="E18" s="96" t="e">
        <f ca="1">C18/COS(RADIANS(C13+C17+C15))</f>
        <v>#DIV/0!</v>
      </c>
      <c r="G18" s="10" t="e">
        <f ca="1">G17+C18*TAN(RADIANS(C13+C15+C17))</f>
        <v>#DIV/0!</v>
      </c>
      <c r="H18" s="14"/>
      <c r="N18">
        <f>N17-N16</f>
        <v>527.21799999999348</v>
      </c>
      <c r="O18">
        <f>O17-O16</f>
        <v>317.13800000003539</v>
      </c>
      <c r="P18">
        <f>N18-O18</f>
        <v>210.07999999995809</v>
      </c>
    </row>
    <row r="19" spans="1:16">
      <c r="A19" s="88">
        <v>1.02</v>
      </c>
      <c r="B19" t="s">
        <v>122</v>
      </c>
      <c r="C19" s="104">
        <v>1.45</v>
      </c>
      <c r="D19" s="104">
        <v>1.0000563278414691</v>
      </c>
      <c r="E19" s="96">
        <f>D19*RADIANS(C19)/2/SIN(RADIANS(C19)/2)</f>
        <v>1.0000830155983598</v>
      </c>
      <c r="F19" s="11">
        <f>E19/RADIANS(C19)</f>
        <v>39.517611004484202</v>
      </c>
      <c r="G19" s="10" t="e">
        <f ca="1">G18+F19*SIN(RADIANS(C19))*RADIANS(C13+C15+C17+C19/2)</f>
        <v>#DIV/0!</v>
      </c>
      <c r="H19" s="10">
        <f>RADIANS(C19)*3.33564*C35/E19/100</f>
        <v>10.1890041975035</v>
      </c>
      <c r="I19" s="11">
        <f>-C19/2</f>
        <v>-0.72499999999999998</v>
      </c>
      <c r="J19" s="11">
        <f>-C19/2</f>
        <v>-0.72499999999999998</v>
      </c>
      <c r="K19" s="13">
        <f>(1+POWER(SIN(RADIANS(I19)),2))/POWER(COS(RADIANS(I19)),3)*2.54*A19*0.5</f>
        <v>1.2959186153278377</v>
      </c>
      <c r="L19" s="13">
        <f>(1+POWER(SIN(RADIANS(J19)),2))/POWER(COS(RADIANS(J19)),3)*2.54*A19*0.5</f>
        <v>1.2959186153278377</v>
      </c>
    </row>
    <row r="20" spans="1:16">
      <c r="C20" s="97">
        <v>0.39993904000000002</v>
      </c>
      <c r="D20" s="97"/>
      <c r="E20" s="97" t="e">
        <f ca="1">C20/COS(RADIANS(C13+C15+C17+C19))</f>
        <v>#DIV/0!</v>
      </c>
      <c r="G20" s="10" t="e">
        <f ca="1">G19+C20*TAN(RADIANS(C13+C15+C17+C19))</f>
        <v>#DIV/0!</v>
      </c>
      <c r="N20" s="157"/>
      <c r="O20" s="157"/>
      <c r="P20" s="157"/>
    </row>
    <row r="21" spans="1:16">
      <c r="A21" s="88">
        <v>1</v>
      </c>
      <c r="B21" t="s">
        <v>123</v>
      </c>
      <c r="C21" s="104">
        <v>0.60499999999999998</v>
      </c>
      <c r="D21" s="104">
        <v>1.0406400812801626</v>
      </c>
      <c r="E21" s="96">
        <f>D21*RADIANS(C21)/2/SIN(RADIANS(C21)/2)</f>
        <v>1.0406449158318114</v>
      </c>
      <c r="F21" s="11">
        <f>E21/RADIANS(C21)</f>
        <v>98.552994461007557</v>
      </c>
      <c r="G21" s="10" t="e">
        <f ca="1">G20+F21*SIN(RADIANS(C21))*RADIANS(C13+C15+C17+C19+C21/2)</f>
        <v>#DIV/0!</v>
      </c>
      <c r="H21" s="109">
        <f>RADIANS(C21)*3.33564*C35/E21/100</f>
        <v>4.0855694603912447</v>
      </c>
      <c r="I21" s="11">
        <f>-C21/2</f>
        <v>-0.30249999999999999</v>
      </c>
      <c r="J21" s="11">
        <f>-C21/2</f>
        <v>-0.30249999999999999</v>
      </c>
      <c r="K21" s="13">
        <f>(1+POWER(SIN(RADIANS(I21)),2))/POWER(COS(RADIANS(I21)),3)*2.54*A21*0.5</f>
        <v>1.2700885037210037</v>
      </c>
      <c r="L21" s="13">
        <f>(1+POWER(SIN(RADIANS(J21)),2))/POWER(COS(RADIANS(J21)),3)*2.54*A21*0.5</f>
        <v>1.2700885037210037</v>
      </c>
    </row>
    <row r="22" spans="1:16">
      <c r="C22" s="97">
        <v>2.0425</v>
      </c>
      <c r="D22" s="97"/>
      <c r="E22" s="97" t="e">
        <f ca="1">C22/COS(RADIANS(C13+C15+C17+C19+C21))</f>
        <v>#DIV/0!</v>
      </c>
      <c r="G22" s="10" t="e">
        <f ca="1">G21+C22*TAN(RADIANS(C13+C15+C17+C19+C21))</f>
        <v>#DIV/0!</v>
      </c>
      <c r="N22">
        <v>12116.334999999999</v>
      </c>
      <c r="O22">
        <v>12279.438</v>
      </c>
      <c r="P22">
        <f>O22-N22</f>
        <v>163.10300000000097</v>
      </c>
    </row>
    <row r="23" spans="1:16">
      <c r="A23" s="88">
        <v>1.1000000000000001</v>
      </c>
      <c r="B23" t="s">
        <v>124</v>
      </c>
      <c r="C23" s="104" t="e">
        <f ca="1">-(C13+C17+C15+C19+C21)</f>
        <v>#DIV/0!</v>
      </c>
      <c r="D23" s="104">
        <v>1.0447040894081789</v>
      </c>
      <c r="E23" s="96" t="e">
        <f ca="1">D23*RADIANS(C23)/2/SIN(RADIANS(C23)/2)</f>
        <v>#DIV/0!</v>
      </c>
      <c r="F23" s="11" t="e">
        <f ca="1">E23/RADIANS(C23)</f>
        <v>#DIV/0!</v>
      </c>
      <c r="G23" s="10" t="e">
        <f ca="1">G22+F23*SIN(RADIANS(C23))*RADIANS(C13+C15+C17+C19+C21+C23/2)</f>
        <v>#DIV/0!</v>
      </c>
      <c r="H23" s="109" t="e">
        <f ca="1">RADIANS(C23)*3.33564*C35/E23/100</f>
        <v>#DIV/0!</v>
      </c>
      <c r="I23" s="11" t="e">
        <f ca="1">-C23/2</f>
        <v>#DIV/0!</v>
      </c>
      <c r="J23" s="11" t="e">
        <f ca="1">-C23/2</f>
        <v>#DIV/0!</v>
      </c>
      <c r="K23" s="13" t="e">
        <f ca="1">(1+POWER(SIN(RADIANS(I23)),2))/POWER(COS(RADIANS(I23)),3)*2.54*A23*0.5</f>
        <v>#DIV/0!</v>
      </c>
      <c r="L23" s="13" t="e">
        <f ca="1">(1+POWER(SIN(RADIANS(J23)),2))/POWER(COS(RADIANS(J23)),3)*2.54*A23*0.5</f>
        <v>#DIV/0!</v>
      </c>
    </row>
    <row r="24" spans="1:16">
      <c r="G24" s="111">
        <v>99.5</v>
      </c>
    </row>
    <row r="25" spans="1:16">
      <c r="C25" s="89" t="e">
        <f ca="1">C13+C15+C17+C19</f>
        <v>#DIV/0!</v>
      </c>
      <c r="D25" s="90" t="e">
        <f ca="1">C21+C23</f>
        <v>#DIV/0!</v>
      </c>
      <c r="N25">
        <f>6.85839*12071/12113</f>
        <v>6.8346095674069183</v>
      </c>
      <c r="P25">
        <f>13.4-6.5</f>
        <v>6.9</v>
      </c>
    </row>
    <row r="26" spans="1:16">
      <c r="E26">
        <v>1030.579</v>
      </c>
      <c r="F26" t="e">
        <f ca="1">E26/100*COS(RADIANS(C13+C15+C17))</f>
        <v>#DIV/0!</v>
      </c>
    </row>
    <row r="27" spans="1:16">
      <c r="C27" t="e">
        <f ca="1">C13+C15+C17</f>
        <v>#DIV/0!</v>
      </c>
      <c r="O27">
        <f>15*12071/12113</f>
        <v>14.947989763064475</v>
      </c>
    </row>
    <row r="28" spans="1:16">
      <c r="D28" t="e">
        <f ca="1">C15+C17</f>
        <v>#DIV/0!</v>
      </c>
      <c r="N28">
        <f>400*RADIANS(2.052)/SIN(RADIANS(2.052))</f>
        <v>400.08552305026762</v>
      </c>
    </row>
    <row r="29" spans="1:16">
      <c r="F29" t="e">
        <f ca="1">C13+C15</f>
        <v>#DIV/0!</v>
      </c>
    </row>
    <row r="30" spans="1:16">
      <c r="D30" s="97" t="e">
        <f ca="1">C13+C17+C15</f>
        <v>#DIV/0!</v>
      </c>
      <c r="E30" s="97" t="e">
        <f ca="1">C19+C21+C23</f>
        <v>#DIV/0!</v>
      </c>
      <c r="O30">
        <f>3.33564*2*SIN(RADIANS(6.5/2))*C35/100/3.066</f>
        <v>14.890458817471078</v>
      </c>
    </row>
    <row r="31" spans="1:16">
      <c r="B31" t="s">
        <v>17</v>
      </c>
      <c r="C31" s="6">
        <f>D6+C7+D9+C10+D11+C12+D13+C14+D15+C16+D17</f>
        <v>13.819017596475426</v>
      </c>
    </row>
    <row r="32" spans="1:16">
      <c r="B32" t="s">
        <v>24</v>
      </c>
      <c r="C32" s="6">
        <v>9.7405729999999995</v>
      </c>
      <c r="F32" s="78" t="s">
        <v>53</v>
      </c>
      <c r="G32" s="79"/>
      <c r="H32" s="80"/>
      <c r="J32" s="152" t="s">
        <v>125</v>
      </c>
      <c r="K32" s="152"/>
      <c r="L32" s="152"/>
      <c r="O32">
        <v>700934.25600000005</v>
      </c>
    </row>
    <row r="33" spans="1:15">
      <c r="D33" s="7">
        <f>12113-C35</f>
        <v>42</v>
      </c>
      <c r="F33" s="81" t="s">
        <v>22</v>
      </c>
      <c r="G33" s="23" t="e">
        <f ca="1">G33-G34/G35</f>
        <v>#DIV/0!</v>
      </c>
      <c r="H33" s="22" t="e">
        <f ca="1">DEGREES(G33)</f>
        <v>#DIV/0!</v>
      </c>
      <c r="J33" s="20" t="s">
        <v>22</v>
      </c>
      <c r="K33" s="23">
        <v>0</v>
      </c>
      <c r="L33" s="22">
        <f>DEGREES(K33)</f>
        <v>0</v>
      </c>
      <c r="M33" s="32" t="e">
        <f ca="1">C13+L33</f>
        <v>#DIV/0!</v>
      </c>
      <c r="O33">
        <v>33.03</v>
      </c>
    </row>
    <row r="34" spans="1:15">
      <c r="F34" s="81" t="s">
        <v>23</v>
      </c>
      <c r="G34" s="23" t="e">
        <f ca="1">0.5*H9*D9/3.33564/C35*100-SIN(G33/2)*COS(G33/2+RADIANS(C6))</f>
        <v>#DIV/0!</v>
      </c>
      <c r="H34" s="22"/>
      <c r="J34" s="20" t="s">
        <v>23</v>
      </c>
      <c r="K34" s="23" t="e">
        <f ca="1">H10-G24</f>
        <v>#DIV/0!</v>
      </c>
      <c r="L34" s="24" t="e">
        <f ca="1">RADIANS(C13)</f>
        <v>#DIV/0!</v>
      </c>
    </row>
    <row r="35" spans="1:15">
      <c r="A35" t="s">
        <v>27</v>
      </c>
      <c r="B35" s="29">
        <f>11*1090+123-'first passNE'!B52</f>
        <v>12112.48900109</v>
      </c>
      <c r="C35" s="7">
        <v>12071</v>
      </c>
      <c r="F35" s="82" t="s">
        <v>25</v>
      </c>
      <c r="G35" s="27" t="e">
        <f ca="1">-COS(RADIANS(C6)+G33)/2</f>
        <v>#DIV/0!</v>
      </c>
      <c r="H35" s="83"/>
      <c r="J35" s="26" t="s">
        <v>25</v>
      </c>
      <c r="K35" s="27" t="e">
        <f ca="1">-0.5*D15*COS(K33/2)-C16/COS(RADIANS(C13)+K33)/COS(RADIANS(C13)+K33)-0.5*D17*COS(K33/2+RADIANS(C13)/2)</f>
        <v>#DIV/0!</v>
      </c>
      <c r="L35" s="28"/>
    </row>
    <row r="36" spans="1:15">
      <c r="C36" s="87" t="s">
        <v>126</v>
      </c>
      <c r="G36" s="68" t="e">
        <f ca="1">G17</f>
        <v>#DIV/0!</v>
      </c>
      <c r="O36">
        <f>O30*M41</f>
        <v>14.896191649848639</v>
      </c>
    </row>
    <row r="37" spans="1:15">
      <c r="A37" s="91"/>
      <c r="B37" s="21"/>
      <c r="C37" s="33"/>
      <c r="D37" s="91"/>
      <c r="E37" s="23"/>
      <c r="F37" s="21"/>
      <c r="G37" s="23"/>
      <c r="H37" s="23"/>
      <c r="I37" s="23"/>
      <c r="J37" s="23"/>
      <c r="K37" s="23"/>
      <c r="L37" s="23"/>
    </row>
    <row r="38" spans="1:15">
      <c r="A38" s="21"/>
      <c r="B38" s="21"/>
      <c r="C38" s="92"/>
      <c r="D38" s="103">
        <v>-1.40564531852496</v>
      </c>
      <c r="E38" s="23"/>
      <c r="F38" s="23"/>
      <c r="G38" s="23"/>
      <c r="H38" s="23"/>
      <c r="I38" s="23"/>
      <c r="J38" s="23"/>
      <c r="K38" s="23"/>
      <c r="L38" s="23"/>
    </row>
    <row r="39" spans="1:15">
      <c r="A39" s="21"/>
      <c r="B39" s="21"/>
      <c r="C39" s="21"/>
      <c r="D39" s="21"/>
      <c r="E39" s="23"/>
      <c r="F39" s="23"/>
      <c r="G39" s="23"/>
      <c r="H39" s="23"/>
      <c r="I39" s="23"/>
      <c r="J39" s="23"/>
      <c r="K39" s="23"/>
      <c r="L39" s="23"/>
    </row>
    <row r="40" spans="1:15">
      <c r="A40" s="91"/>
      <c r="B40" s="21"/>
      <c r="C40" s="33"/>
      <c r="D40" s="91"/>
      <c r="E40" s="23"/>
      <c r="F40" s="21"/>
      <c r="G40" s="92"/>
      <c r="H40" s="23"/>
      <c r="I40" s="23"/>
      <c r="J40" s="23"/>
      <c r="K40" s="23"/>
      <c r="L40" s="23"/>
    </row>
    <row r="41" spans="1:15">
      <c r="A41" s="21"/>
      <c r="B41" s="21"/>
      <c r="C41" s="21"/>
      <c r="D41" s="21"/>
      <c r="E41" s="94"/>
      <c r="F41" s="94"/>
      <c r="G41" s="94"/>
      <c r="H41" s="94"/>
      <c r="I41" s="94">
        <v>306.45999999999998</v>
      </c>
      <c r="J41" s="21">
        <f>I41*RADIANS(6.5/2)/SIN(RADIANS(6.5/2))</f>
        <v>306.62440198354733</v>
      </c>
      <c r="K41" s="21"/>
      <c r="L41" s="21"/>
      <c r="M41">
        <f>6.496/6.4935</f>
        <v>1.0003850003850006</v>
      </c>
    </row>
    <row r="42" spans="1:15">
      <c r="A42" s="21"/>
      <c r="B42" s="21"/>
      <c r="C42" s="21"/>
      <c r="D42" s="21"/>
      <c r="E42" s="94"/>
      <c r="F42" s="158"/>
      <c r="G42" s="158"/>
      <c r="H42" s="158"/>
      <c r="I42" s="94"/>
      <c r="J42" s="21"/>
      <c r="K42" s="21"/>
      <c r="L42" s="21"/>
    </row>
    <row r="43" spans="1:15">
      <c r="A43" s="21"/>
      <c r="B43" s="93">
        <v>0.97504000000000002</v>
      </c>
      <c r="C43" s="23"/>
      <c r="D43" s="21"/>
      <c r="E43" s="94"/>
      <c r="F43" s="95"/>
      <c r="G43" s="133"/>
      <c r="H43" s="133"/>
      <c r="I43" s="133"/>
      <c r="J43" s="23"/>
      <c r="K43" s="21"/>
      <c r="L43" s="21"/>
    </row>
    <row r="44" spans="1:15">
      <c r="A44" s="21"/>
      <c r="B44" s="21">
        <v>658.63599999999997</v>
      </c>
      <c r="C44" s="21"/>
      <c r="D44" s="21"/>
      <c r="E44" s="94"/>
      <c r="F44" s="95"/>
      <c r="G44" s="133"/>
      <c r="H44" s="94"/>
      <c r="I44" s="94"/>
      <c r="J44" s="21"/>
      <c r="K44" s="21"/>
      <c r="L44" s="21"/>
    </row>
    <row r="45" spans="1:15">
      <c r="A45" s="21"/>
      <c r="B45" s="21">
        <f>B44-B43</f>
        <v>657.66095999999993</v>
      </c>
      <c r="C45" s="23">
        <f>B45/0.2000262163</f>
        <v>3287.8738205677887</v>
      </c>
      <c r="D45" s="21"/>
      <c r="E45" s="133"/>
      <c r="F45" s="95"/>
      <c r="G45" s="133"/>
      <c r="H45" s="94"/>
      <c r="I45" s="94" t="s">
        <v>127</v>
      </c>
      <c r="J45" s="21">
        <f>125.68*2.54</f>
        <v>319.22720000000004</v>
      </c>
      <c r="K45" s="21"/>
      <c r="L45" s="21"/>
    </row>
    <row r="46" spans="1:15">
      <c r="A46" s="21"/>
      <c r="B46" s="21"/>
      <c r="C46" s="21"/>
      <c r="D46" s="21"/>
      <c r="E46" s="94"/>
      <c r="F46" s="94"/>
      <c r="G46" s="94"/>
      <c r="H46" s="94"/>
      <c r="I46" s="94" t="s">
        <v>128</v>
      </c>
      <c r="J46" s="21">
        <v>29909.379000000001</v>
      </c>
      <c r="K46" s="21"/>
      <c r="L46" s="21"/>
    </row>
    <row r="47" spans="1:15">
      <c r="A47" s="21"/>
      <c r="B47" s="21"/>
      <c r="C47" s="21"/>
      <c r="D47" s="21"/>
      <c r="E47" s="94"/>
      <c r="F47" s="94"/>
      <c r="G47" s="94"/>
      <c r="H47" s="94"/>
      <c r="I47" s="94" t="s">
        <v>129</v>
      </c>
      <c r="J47" s="21">
        <f>J46+J45</f>
        <v>30228.606200000002</v>
      </c>
      <c r="K47" s="21">
        <v>30078.275000000001</v>
      </c>
      <c r="L47" s="21">
        <f>J47-K47</f>
        <v>150.33120000000054</v>
      </c>
    </row>
    <row r="48" spans="1:15">
      <c r="A48" s="21"/>
      <c r="B48" s="21"/>
      <c r="C48" s="21"/>
      <c r="D48" s="21"/>
      <c r="E48" s="21"/>
      <c r="F48" s="21"/>
      <c r="G48" s="21"/>
      <c r="H48" s="21"/>
      <c r="I48" s="23" t="s">
        <v>130</v>
      </c>
      <c r="J48" s="21">
        <f>33.03*2.54</f>
        <v>83.896200000000007</v>
      </c>
      <c r="K48" s="21"/>
      <c r="L48" s="21"/>
    </row>
    <row r="49" spans="1:13">
      <c r="A49" s="21"/>
      <c r="B49" s="21"/>
      <c r="C49" s="113"/>
      <c r="D49" s="21"/>
      <c r="E49" s="21"/>
      <c r="F49" s="21"/>
      <c r="G49" s="21"/>
      <c r="H49" s="21"/>
      <c r="I49" s="94" t="s">
        <v>131</v>
      </c>
      <c r="J49" s="21">
        <f>J46+J48-15</f>
        <v>29978.2752</v>
      </c>
      <c r="K49" s="21">
        <v>30109.379000000001</v>
      </c>
      <c r="L49" s="21">
        <f>K49-J49</f>
        <v>131.10380000000077</v>
      </c>
      <c r="M49">
        <f>200-L49</f>
        <v>68.896199999999226</v>
      </c>
    </row>
    <row r="50" spans="1:13">
      <c r="A50" s="21"/>
      <c r="B50" s="21"/>
      <c r="C50" s="113"/>
      <c r="D50" s="21"/>
      <c r="E50" s="21" t="s">
        <v>31</v>
      </c>
      <c r="F50" s="21" t="s">
        <v>10</v>
      </c>
      <c r="G50" s="21"/>
      <c r="H50" s="23" t="e">
        <f ca="1">C13+C15</f>
        <v>#DIV/0!</v>
      </c>
      <c r="I50" s="21"/>
      <c r="J50" s="21"/>
      <c r="K50" s="21"/>
      <c r="L50" s="21"/>
    </row>
    <row r="51" spans="1:13">
      <c r="E51" s="6">
        <v>90.553719999999998</v>
      </c>
      <c r="F51" s="6">
        <f>G5</f>
        <v>100</v>
      </c>
      <c r="I51" s="21" t="s">
        <v>132</v>
      </c>
      <c r="J51">
        <v>30847.373</v>
      </c>
    </row>
    <row r="52" spans="1:13">
      <c r="C52">
        <f>1/1497000000*2.99792</f>
        <v>2.0026185704742821E-9</v>
      </c>
      <c r="E52" s="6">
        <f>E51+D6</f>
        <v>92.053719999999998</v>
      </c>
      <c r="F52" s="6">
        <f ca="1">G6</f>
        <v>100.03798989621566</v>
      </c>
      <c r="J52">
        <f>J51-J47</f>
        <v>618.7667999999976</v>
      </c>
    </row>
    <row r="53" spans="1:13">
      <c r="E53" s="6">
        <f>E52+C7</f>
        <v>92.543273137</v>
      </c>
      <c r="F53" s="6">
        <f ca="1">G7</f>
        <v>100.0628032428918</v>
      </c>
    </row>
    <row r="54" spans="1:13" ht="18">
      <c r="C54" s="114">
        <v>299792458</v>
      </c>
      <c r="E54" s="6">
        <f>E53+D9</f>
        <v>93.558800146079435</v>
      </c>
      <c r="F54" s="6" t="e">
        <f ca="1">G9</f>
        <v>#DIV/0!</v>
      </c>
    </row>
    <row r="55" spans="1:13">
      <c r="C55">
        <f>1/1497000000*C54</f>
        <v>0.20026216299265198</v>
      </c>
      <c r="E55" s="6">
        <f>E54+C10</f>
        <v>94.44690024007943</v>
      </c>
      <c r="F55" s="6" t="e">
        <f ca="1">G10</f>
        <v>#DIV/0!</v>
      </c>
    </row>
    <row r="56" spans="1:13">
      <c r="E56" s="6">
        <f>E55+D11</f>
        <v>97.482206310691566</v>
      </c>
      <c r="F56" s="6" t="e">
        <f ca="1">H10</f>
        <v>#DIV/0!</v>
      </c>
      <c r="K56">
        <v>0.45842450000000001</v>
      </c>
      <c r="L56">
        <f>K56*50/30</f>
        <v>0.76404083333333328</v>
      </c>
    </row>
    <row r="57" spans="1:13">
      <c r="E57" s="6">
        <f>E56+C12</f>
        <v>99.342663427691562</v>
      </c>
      <c r="F57" s="6" t="e">
        <f ca="1">H10</f>
        <v>#DIV/0!</v>
      </c>
    </row>
    <row r="58" spans="1:13">
      <c r="E58" s="6">
        <f>E57+D13</f>
        <v>100.32259738755948</v>
      </c>
      <c r="F58" s="6" t="e">
        <f t="shared" ref="F58:F68" ca="1" si="0">G13</f>
        <v>#DIV/0!</v>
      </c>
    </row>
    <row r="59" spans="1:13">
      <c r="E59" s="6">
        <f>E58+C14</f>
        <v>100.79393851055949</v>
      </c>
      <c r="F59" s="6" t="e">
        <f t="shared" ca="1" si="0"/>
        <v>#DIV/0!</v>
      </c>
    </row>
    <row r="60" spans="1:13">
      <c r="E60" s="6">
        <f>E59+D15</f>
        <v>102.79546251360749</v>
      </c>
      <c r="F60" s="6" t="e">
        <f t="shared" ca="1" si="0"/>
        <v>#DIV/0!</v>
      </c>
    </row>
    <row r="61" spans="1:13">
      <c r="E61" s="6">
        <f>E60+C16</f>
        <v>103.3928036366075</v>
      </c>
      <c r="F61" s="6" t="e">
        <f t="shared" ca="1" si="0"/>
        <v>#DIV/0!</v>
      </c>
    </row>
    <row r="62" spans="1:13">
      <c r="E62" s="6">
        <f>E61+D17</f>
        <v>104.37273759647542</v>
      </c>
      <c r="F62" s="6" t="e">
        <f t="shared" ca="1" si="0"/>
        <v>#DIV/0!</v>
      </c>
    </row>
    <row r="63" spans="1:13">
      <c r="E63" s="6">
        <f>E62+C18</f>
        <v>115.23810970647541</v>
      </c>
      <c r="F63" s="6" t="e">
        <f t="shared" ca="1" si="0"/>
        <v>#DIV/0!</v>
      </c>
    </row>
    <row r="64" spans="1:13">
      <c r="E64" s="6">
        <f>E63+D19</f>
        <v>116.23816603431688</v>
      </c>
      <c r="F64" s="23" t="e">
        <f t="shared" ca="1" si="0"/>
        <v>#DIV/0!</v>
      </c>
    </row>
    <row r="65" spans="5:6">
      <c r="E65" s="6">
        <f>E64+C20</f>
        <v>116.63810507431688</v>
      </c>
      <c r="F65" s="6" t="e">
        <f t="shared" ca="1" si="0"/>
        <v>#DIV/0!</v>
      </c>
    </row>
    <row r="66" spans="5:6">
      <c r="E66" s="6">
        <f>E65+D21</f>
        <v>117.67874515559704</v>
      </c>
      <c r="F66" s="6" t="e">
        <f t="shared" ca="1" si="0"/>
        <v>#DIV/0!</v>
      </c>
    </row>
    <row r="67" spans="5:6">
      <c r="E67" s="6">
        <f>E66+C22</f>
        <v>119.72124515559705</v>
      </c>
      <c r="F67" s="14" t="e">
        <f t="shared" ca="1" si="0"/>
        <v>#DIV/0!</v>
      </c>
    </row>
    <row r="68" spans="5:6">
      <c r="E68" s="6">
        <f>E67+D23</f>
        <v>120.76594924500523</v>
      </c>
      <c r="F68" s="14" t="e">
        <f t="shared" ca="1" si="0"/>
        <v>#DIV/0!</v>
      </c>
    </row>
  </sheetData>
  <mergeCells count="3">
    <mergeCell ref="N20:P20"/>
    <mergeCell ref="J32:L32"/>
    <mergeCell ref="F42:H42"/>
  </mergeCells>
  <conditionalFormatting sqref="D13">
    <cfRule type="cellIs" dxfId="12" priority="13" operator="notEqual">
      <formula>AO13</formula>
    </cfRule>
  </conditionalFormatting>
  <conditionalFormatting sqref="D15">
    <cfRule type="cellIs" dxfId="11" priority="12" operator="notEqual">
      <formula>AO15</formula>
    </cfRule>
  </conditionalFormatting>
  <conditionalFormatting sqref="C15">
    <cfRule type="cellIs" dxfId="10" priority="11" operator="notEqual">
      <formula>AN15</formula>
    </cfRule>
  </conditionalFormatting>
  <conditionalFormatting sqref="D17">
    <cfRule type="cellIs" dxfId="9" priority="10" operator="notEqual">
      <formula>AO17</formula>
    </cfRule>
  </conditionalFormatting>
  <conditionalFormatting sqref="C13">
    <cfRule type="cellIs" dxfId="8" priority="9" operator="notEqual">
      <formula>AN13</formula>
    </cfRule>
  </conditionalFormatting>
  <conditionalFormatting sqref="C17">
    <cfRule type="cellIs" dxfId="7" priority="8" operator="notEqual">
      <formula>AN17</formula>
    </cfRule>
  </conditionalFormatting>
  <conditionalFormatting sqref="D19">
    <cfRule type="cellIs" dxfId="6" priority="7" operator="notEqual">
      <formula>AO19</formula>
    </cfRule>
  </conditionalFormatting>
  <conditionalFormatting sqref="C19">
    <cfRule type="cellIs" dxfId="5" priority="6" operator="notEqual">
      <formula>AN19</formula>
    </cfRule>
  </conditionalFormatting>
  <conditionalFormatting sqref="C21">
    <cfRule type="cellIs" dxfId="4" priority="5" operator="notEqual">
      <formula>AN21</formula>
    </cfRule>
  </conditionalFormatting>
  <conditionalFormatting sqref="C23">
    <cfRule type="cellIs" dxfId="3" priority="4" operator="notEqual">
      <formula>AN23</formula>
    </cfRule>
  </conditionalFormatting>
  <conditionalFormatting sqref="D21">
    <cfRule type="cellIs" dxfId="2" priority="3" operator="notEqual">
      <formula>AO21</formula>
    </cfRule>
  </conditionalFormatting>
  <conditionalFormatting sqref="D23">
    <cfRule type="cellIs" dxfId="1" priority="2" operator="notEqual">
      <formula>AO23</formula>
    </cfRule>
  </conditionalFormatting>
  <conditionalFormatting sqref="D38">
    <cfRule type="cellIs" dxfId="0" priority="1" operator="notEqual">
      <formula>AO38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P61"/>
  <sheetViews>
    <sheetView workbookViewId="0">
      <selection activeCell="F39" sqref="F39"/>
    </sheetView>
  </sheetViews>
  <sheetFormatPr baseColWidth="10" defaultColWidth="8.6640625" defaultRowHeight="13"/>
  <sheetData>
    <row r="2" spans="1:16">
      <c r="A2" s="6"/>
      <c r="B2" s="6"/>
      <c r="C2" s="6"/>
      <c r="D2" s="6"/>
    </row>
    <row r="3" spans="1:16">
      <c r="A3" s="6"/>
      <c r="B3" s="6"/>
      <c r="C3" s="23"/>
      <c r="D3" s="6"/>
    </row>
    <row r="4" spans="1:16">
      <c r="A4" s="6"/>
      <c r="B4" s="6"/>
      <c r="C4" s="23"/>
      <c r="D4" s="6"/>
    </row>
    <row r="5" spans="1:16">
      <c r="A5" s="6"/>
      <c r="B5" s="6"/>
      <c r="C5" s="23"/>
      <c r="D5" s="6"/>
      <c r="I5" s="6"/>
      <c r="J5" s="6"/>
    </row>
    <row r="6" spans="1:16">
      <c r="A6" s="6"/>
      <c r="B6" s="6"/>
      <c r="C6" s="6"/>
      <c r="I6" s="6"/>
      <c r="J6" s="6"/>
      <c r="L6" s="6"/>
      <c r="M6" s="6"/>
      <c r="O6" s="6"/>
      <c r="P6" s="6"/>
    </row>
    <row r="7" spans="1:16">
      <c r="A7" s="6"/>
      <c r="B7" s="6"/>
      <c r="C7" s="23"/>
      <c r="I7" s="6"/>
      <c r="J7" s="6"/>
      <c r="L7" s="6"/>
      <c r="M7" s="6"/>
      <c r="O7" s="6"/>
      <c r="P7" s="6"/>
    </row>
    <row r="8" spans="1:16">
      <c r="A8" s="6"/>
      <c r="B8" s="6"/>
      <c r="D8" s="6"/>
      <c r="I8" s="6"/>
      <c r="J8" s="6"/>
      <c r="L8" s="6"/>
      <c r="M8" s="6"/>
      <c r="O8" s="6"/>
      <c r="P8" s="6"/>
    </row>
    <row r="9" spans="1:16">
      <c r="A9" s="6"/>
      <c r="B9" s="6"/>
      <c r="C9" s="23"/>
      <c r="I9" s="6"/>
      <c r="J9" s="6"/>
      <c r="L9" s="6"/>
      <c r="M9" s="6"/>
      <c r="O9" s="6"/>
      <c r="P9" s="6"/>
    </row>
    <row r="10" spans="1:16">
      <c r="A10" s="6"/>
      <c r="B10" s="6"/>
      <c r="C10" s="6"/>
      <c r="I10" s="6"/>
      <c r="J10" s="6"/>
      <c r="L10" s="6"/>
      <c r="M10" s="6"/>
      <c r="O10" s="6"/>
      <c r="P10" s="6"/>
    </row>
    <row r="11" spans="1:16">
      <c r="A11" s="6"/>
      <c r="B11" s="6"/>
      <c r="C11" s="6"/>
      <c r="I11" s="6"/>
      <c r="J11" s="6"/>
      <c r="L11" s="6"/>
      <c r="M11" s="6"/>
      <c r="O11" s="6"/>
      <c r="P11" s="6"/>
    </row>
    <row r="12" spans="1:16">
      <c r="A12" s="6"/>
      <c r="B12" s="6"/>
      <c r="C12" s="6"/>
      <c r="I12" s="6"/>
      <c r="J12" s="6"/>
      <c r="L12" s="6"/>
      <c r="M12" s="6"/>
      <c r="O12" s="6"/>
      <c r="P12" s="6"/>
    </row>
    <row r="13" spans="1:16">
      <c r="A13" s="6"/>
      <c r="B13" s="6"/>
      <c r="C13" s="6"/>
      <c r="I13" s="6"/>
      <c r="J13" s="6"/>
      <c r="L13" s="6"/>
      <c r="M13" s="6"/>
      <c r="O13" s="6"/>
      <c r="P13" s="6"/>
    </row>
    <row r="14" spans="1:16">
      <c r="A14" s="6"/>
      <c r="B14" s="6"/>
      <c r="C14" s="6"/>
      <c r="I14" s="6"/>
      <c r="J14" s="6"/>
      <c r="L14" s="6"/>
      <c r="M14" s="6"/>
      <c r="O14" s="6"/>
      <c r="P14" s="6"/>
    </row>
    <row r="15" spans="1:16">
      <c r="A15" s="6"/>
      <c r="B15" s="6"/>
      <c r="C15" s="23"/>
      <c r="L15" s="6"/>
      <c r="M15" s="6"/>
      <c r="O15" s="6"/>
      <c r="P15" s="6"/>
    </row>
    <row r="16" spans="1:16">
      <c r="A16" s="6"/>
      <c r="B16" s="6"/>
      <c r="C16" s="23"/>
    </row>
    <row r="17" spans="1:16">
      <c r="A17" s="6"/>
      <c r="B17" s="6"/>
      <c r="C17" s="23"/>
      <c r="I17" s="6"/>
      <c r="J17" s="6"/>
    </row>
    <row r="18" spans="1:16">
      <c r="A18" s="6"/>
      <c r="B18" s="6"/>
      <c r="C18" s="23"/>
      <c r="I18" s="6"/>
      <c r="J18" s="6"/>
    </row>
    <row r="19" spans="1:16">
      <c r="I19" s="6"/>
      <c r="J19" s="6"/>
      <c r="L19" s="6"/>
      <c r="M19" s="6"/>
      <c r="O19" s="6"/>
      <c r="P19" s="6"/>
    </row>
    <row r="20" spans="1:16">
      <c r="A20" s="6"/>
      <c r="B20" s="6"/>
      <c r="C20" s="6"/>
      <c r="D20" s="6"/>
      <c r="E20" s="6"/>
      <c r="F20" s="6"/>
      <c r="G20" s="6"/>
      <c r="I20" s="6"/>
      <c r="J20" s="23"/>
      <c r="L20" s="6"/>
      <c r="M20" s="6"/>
      <c r="O20" s="6"/>
      <c r="P20" s="6"/>
    </row>
    <row r="21" spans="1:16">
      <c r="A21" s="6"/>
      <c r="B21" s="6"/>
      <c r="C21" s="6"/>
      <c r="D21" s="6"/>
      <c r="E21" s="23"/>
      <c r="F21" s="6"/>
      <c r="G21" s="6"/>
      <c r="I21" s="6"/>
      <c r="J21" s="23"/>
      <c r="L21" s="6"/>
      <c r="M21" s="6"/>
      <c r="O21" s="6"/>
      <c r="P21" s="6"/>
    </row>
    <row r="22" spans="1:16">
      <c r="A22" s="6"/>
      <c r="C22" s="6"/>
      <c r="D22" s="6"/>
      <c r="E22" s="23"/>
      <c r="F22" s="6"/>
      <c r="G22" s="6"/>
      <c r="I22" s="6"/>
      <c r="J22" s="23"/>
      <c r="L22" s="6"/>
      <c r="M22" s="6"/>
      <c r="O22" s="6"/>
      <c r="P22" s="6"/>
    </row>
    <row r="23" spans="1:16">
      <c r="A23" s="6"/>
      <c r="C23" s="6"/>
      <c r="D23" s="6"/>
      <c r="E23" s="23"/>
      <c r="F23" s="6"/>
      <c r="G23" s="6"/>
      <c r="I23" s="6"/>
      <c r="J23" s="6"/>
      <c r="L23" s="6"/>
      <c r="M23" s="6"/>
      <c r="O23" s="6"/>
      <c r="P23" s="6"/>
    </row>
    <row r="24" spans="1:16">
      <c r="A24" s="6"/>
      <c r="E24" s="6"/>
      <c r="F24" s="6"/>
      <c r="G24" s="6"/>
      <c r="I24" s="6"/>
      <c r="J24" s="6"/>
      <c r="L24" s="6"/>
      <c r="M24" s="6"/>
      <c r="O24" s="6"/>
      <c r="P24" s="6"/>
    </row>
    <row r="25" spans="1:16">
      <c r="A25" s="6"/>
      <c r="B25" s="6"/>
      <c r="I25" s="6"/>
      <c r="J25" s="6"/>
      <c r="L25" s="6"/>
      <c r="M25" s="6"/>
      <c r="O25" s="6"/>
      <c r="P25" s="6"/>
    </row>
    <row r="26" spans="1:16">
      <c r="A26" s="6"/>
      <c r="C26" s="6"/>
      <c r="I26" s="6"/>
      <c r="J26" s="23"/>
      <c r="L26" s="6"/>
      <c r="M26" s="6"/>
      <c r="O26" s="6"/>
      <c r="P26" s="6"/>
    </row>
    <row r="27" spans="1:16">
      <c r="A27" s="6"/>
      <c r="B27" s="6"/>
      <c r="I27" s="6"/>
      <c r="J27" s="23"/>
      <c r="L27" s="6"/>
      <c r="M27" s="6"/>
      <c r="O27" s="6"/>
      <c r="P27" s="6"/>
    </row>
    <row r="28" spans="1:16">
      <c r="A28" s="6"/>
      <c r="D28" s="6"/>
      <c r="I28" s="6"/>
      <c r="J28" s="23"/>
      <c r="L28" s="6"/>
      <c r="M28" s="6"/>
      <c r="O28" s="6"/>
      <c r="P28" s="6"/>
    </row>
    <row r="29" spans="1:16">
      <c r="A29" s="6"/>
      <c r="C29" s="6"/>
      <c r="I29" s="6"/>
      <c r="J29" s="23"/>
      <c r="O29" s="6"/>
      <c r="P29" s="6"/>
    </row>
    <row r="30" spans="1:16">
      <c r="A30" s="6"/>
      <c r="E30" s="6"/>
      <c r="F30" s="6"/>
      <c r="G30" s="6"/>
      <c r="O30" s="6"/>
      <c r="P30" s="6"/>
    </row>
    <row r="31" spans="1:16">
      <c r="A31" s="6"/>
      <c r="F31" s="6"/>
      <c r="G31" s="6"/>
    </row>
    <row r="32" spans="1:16">
      <c r="A32" s="6"/>
      <c r="D32" s="6"/>
    </row>
    <row r="33" spans="1:7">
      <c r="A33" s="6"/>
      <c r="F33" s="6"/>
      <c r="G33" s="6"/>
    </row>
    <row r="34" spans="1:7">
      <c r="A34" s="6"/>
      <c r="G34" s="6"/>
    </row>
    <row r="35" spans="1:7">
      <c r="A35" s="6"/>
      <c r="G35" s="6"/>
    </row>
    <row r="36" spans="1:7">
      <c r="A36" s="6"/>
      <c r="B36" s="6"/>
    </row>
    <row r="37" spans="1:7">
      <c r="A37" s="6"/>
      <c r="B37" s="6"/>
    </row>
    <row r="38" spans="1:7">
      <c r="A38" s="6"/>
      <c r="C38" s="6"/>
    </row>
    <row r="39" spans="1:7">
      <c r="A39" s="6"/>
      <c r="B39" s="6"/>
    </row>
    <row r="40" spans="1:7">
      <c r="A40" s="6"/>
      <c r="E40" s="6"/>
    </row>
    <row r="41" spans="1:7">
      <c r="A41" s="6"/>
      <c r="C41" s="6"/>
    </row>
    <row r="42" spans="1:7">
      <c r="A42" s="6"/>
      <c r="B42" s="6"/>
    </row>
    <row r="43" spans="1:7">
      <c r="A43" s="6"/>
      <c r="E43" s="23"/>
    </row>
    <row r="44" spans="1:7">
      <c r="A44" s="6"/>
      <c r="F44" s="6"/>
    </row>
    <row r="45" spans="1:7">
      <c r="A45" s="6"/>
      <c r="D45" s="6"/>
    </row>
    <row r="46" spans="1:7">
      <c r="A46" s="6"/>
      <c r="F46" s="6"/>
    </row>
    <row r="47" spans="1:7">
      <c r="A47" s="6"/>
      <c r="D47" s="6"/>
    </row>
    <row r="48" spans="1:7">
      <c r="A48" s="6"/>
      <c r="E48" s="23"/>
    </row>
    <row r="49" spans="1:7">
      <c r="A49" s="6"/>
      <c r="C49" s="6"/>
    </row>
    <row r="50" spans="1:7">
      <c r="A50" s="6"/>
      <c r="E50" s="23"/>
    </row>
    <row r="51" spans="1:7">
      <c r="A51" s="6"/>
      <c r="C51" s="6"/>
    </row>
    <row r="52" spans="1:7">
      <c r="A52" s="6"/>
      <c r="D52" s="6"/>
    </row>
    <row r="53" spans="1:7">
      <c r="A53" s="6"/>
      <c r="G53" s="6"/>
    </row>
    <row r="54" spans="1:7">
      <c r="A54" s="6"/>
      <c r="D54" s="6"/>
    </row>
    <row r="55" spans="1:7">
      <c r="A55" s="6"/>
      <c r="B55" s="6"/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6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pans="1:7">
      <c r="D60" s="6"/>
      <c r="E60" s="6"/>
    </row>
    <row r="61" spans="1:7">
      <c r="D61" s="6"/>
      <c r="E61" s="6"/>
    </row>
  </sheetData>
  <pageMargins left="0.78749999999999998" right="0.78749999999999998" top="1.0541666666666667" bottom="1.0541666666666667" header="0.78749999999999998" footer="0.78749999999999998"/>
  <pageSetup firstPageNumber="0" orientation="landscape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F50"/>
  <sheetViews>
    <sheetView workbookViewId="0">
      <selection activeCell="E16" sqref="E16"/>
    </sheetView>
  </sheetViews>
  <sheetFormatPr baseColWidth="10" defaultColWidth="8.6640625" defaultRowHeight="13"/>
  <sheetData>
    <row r="2" spans="1:6">
      <c r="B2" t="s">
        <v>133</v>
      </c>
      <c r="C2" t="s">
        <v>134</v>
      </c>
      <c r="D2" t="s">
        <v>135</v>
      </c>
      <c r="E2" t="s">
        <v>136</v>
      </c>
      <c r="F2" t="s">
        <v>137</v>
      </c>
    </row>
    <row r="3" spans="1:6">
      <c r="A3" s="44">
        <f>'Second pass SW'!$B$36</f>
        <v>-91.525080000000003</v>
      </c>
      <c r="C3" s="6">
        <f>'Second pass SW'!$C$36</f>
        <v>100</v>
      </c>
    </row>
    <row r="4" spans="1:6">
      <c r="A4" s="44">
        <f>'third pass SW'!$B$37</f>
        <v>-91.525080000000003</v>
      </c>
      <c r="D4" s="6">
        <f>'third pass SW'!$C$37</f>
        <v>100</v>
      </c>
    </row>
    <row r="5" spans="1:6">
      <c r="A5" s="44">
        <f>'fourth pass SW'!$B$36</f>
        <v>-91.525080000000003</v>
      </c>
      <c r="E5" s="6">
        <f>'fourth pass SW'!$C$36</f>
        <v>100</v>
      </c>
    </row>
    <row r="6" spans="1:6">
      <c r="A6" s="44">
        <f>'fifth pass SW'!$D$24</f>
        <v>-91.525080000000003</v>
      </c>
      <c r="F6" s="6">
        <f>'fifth pass SW'!$E$24</f>
        <v>100</v>
      </c>
    </row>
    <row r="7" spans="1:6">
      <c r="A7" s="44">
        <f>'first pass SW'!$B$37</f>
        <v>-91.525080000000003</v>
      </c>
      <c r="B7" s="44">
        <f>'first pass SW'!$C$37</f>
        <v>100</v>
      </c>
    </row>
    <row r="8" spans="1:6">
      <c r="A8" s="6">
        <f>'third pass SW'!$B$38</f>
        <v>-90.510503126100488</v>
      </c>
      <c r="D8" s="6">
        <f>'third pass SW'!$C$38</f>
        <v>100.03289548730302</v>
      </c>
    </row>
    <row r="9" spans="1:6">
      <c r="A9" s="6">
        <f>'Second pass SW'!$B$37</f>
        <v>-90.510503126100488</v>
      </c>
      <c r="C9" s="6">
        <f>'Second pass SW'!$C$37</f>
        <v>100.04895431991615</v>
      </c>
    </row>
    <row r="10" spans="1:6">
      <c r="A10" s="6">
        <f>'fifth pass SW'!$D$25</f>
        <v>-90.510503126100488</v>
      </c>
      <c r="F10" s="6">
        <f>'fifth pass SW'!$E$25</f>
        <v>100.01987085608711</v>
      </c>
    </row>
    <row r="11" spans="1:6">
      <c r="A11" s="6">
        <f>'fourth pass SW'!$B$37</f>
        <v>-90.510503126100488</v>
      </c>
      <c r="E11" s="6">
        <f>'fourth pass SW'!$C$37</f>
        <v>100.02477473888503</v>
      </c>
    </row>
    <row r="12" spans="1:6">
      <c r="A12" s="44">
        <f>'first pass SW'!$B$38</f>
        <v>-90.510503126100488</v>
      </c>
      <c r="B12" s="45">
        <f>'first pass SW'!$C$38</f>
        <v>100.09592253652573</v>
      </c>
    </row>
    <row r="13" spans="1:6">
      <c r="A13" s="6">
        <f>'third pass SW'!$B$39</f>
        <v>-88.530746577713103</v>
      </c>
      <c r="D13" s="6">
        <f>'third pass SW'!$C$39</f>
        <v>100.16140933839222</v>
      </c>
    </row>
    <row r="14" spans="1:6">
      <c r="A14" s="6">
        <f>'fifth pass SW'!$D$26</f>
        <v>-88.530746577713103</v>
      </c>
      <c r="F14" s="6">
        <f>'fifth pass SW'!$E$26</f>
        <v>100.09744911426678</v>
      </c>
    </row>
    <row r="15" spans="1:6">
      <c r="A15" s="6">
        <f>'Second pass SW'!$B$38</f>
        <v>-88.530746577713103</v>
      </c>
      <c r="C15" s="6">
        <f>'Second pass SW'!$C$38</f>
        <v>100.24045050689641</v>
      </c>
    </row>
    <row r="16" spans="1:6">
      <c r="A16" s="6">
        <f>'fourth pass SW'!$B$38</f>
        <v>-88.530746577713103</v>
      </c>
      <c r="E16" s="6">
        <f>'fourth pass SW'!$C$38</f>
        <v>100.12151894118772</v>
      </c>
    </row>
    <row r="17" spans="1:6">
      <c r="A17" s="6">
        <f>'fifth pass SW'!$D$27</f>
        <v>-87.504971008687392</v>
      </c>
      <c r="F17" s="6">
        <f ca="1">'fifth pass SW'!$E$27</f>
        <v>100.15420243787901</v>
      </c>
    </row>
    <row r="18" spans="1:6">
      <c r="A18" s="6">
        <f>'third pass SW'!$B$40</f>
        <v>-87.504971008687392</v>
      </c>
      <c r="D18" s="6">
        <f ca="1">'third pass SW'!$C$40</f>
        <v>100.25557193745905</v>
      </c>
    </row>
    <row r="19" spans="1:6">
      <c r="A19" s="6">
        <f>'Second pass SW'!$B$39</f>
        <v>-87.504971008687392</v>
      </c>
      <c r="C19" s="6">
        <f ca="1">'Second pass SW'!$C$39</f>
        <v>100.38118412767254</v>
      </c>
    </row>
    <row r="20" spans="1:6">
      <c r="A20" s="6">
        <f>'fourth pass SW'!$B$39</f>
        <v>-87.504971008687392</v>
      </c>
      <c r="E20" s="6">
        <f ca="1">'fourth pass SW'!$C$39</f>
        <v>100.19232842398768</v>
      </c>
    </row>
    <row r="21" spans="1:6">
      <c r="A21" s="6">
        <f ca="1">'fourth pass SW'!$B$40</f>
        <v>-87.29237911804033</v>
      </c>
      <c r="E21" s="6">
        <f ca="1">'fourth pass SW'!$C$40</f>
        <v>100.21130218298151</v>
      </c>
    </row>
    <row r="22" spans="1:6">
      <c r="A22" s="6">
        <f ca="1">'fifth pass SW'!$D$28</f>
        <v>-87.29237911804033</v>
      </c>
      <c r="F22" s="6">
        <f ca="1">'fifth pass SW'!$E$28</f>
        <v>100.16940222718536</v>
      </c>
    </row>
    <row r="23" spans="1:6">
      <c r="A23" s="6">
        <f ca="1">'Second pass SW'!$B$40</f>
        <v>-84.730503405658396</v>
      </c>
      <c r="C23" s="6">
        <f ca="1">'Second pass SW'!$C$40</f>
        <v>100.87535397628679</v>
      </c>
    </row>
    <row r="24" spans="1:6">
      <c r="A24" s="6">
        <f ca="1">'third pass SW'!$B$41</f>
        <v>-84.187185241014063</v>
      </c>
      <c r="D24" s="6">
        <f ca="1">'third pass SW'!$C$41</f>
        <v>100.64976215587262</v>
      </c>
    </row>
    <row r="25" spans="1:6">
      <c r="A25" s="44">
        <f>'first pass SW'!$B$39</f>
        <v>-83.77066502602429</v>
      </c>
      <c r="B25" s="44">
        <f>'first pass SW'!$C$39</f>
        <v>101.38184449127077</v>
      </c>
    </row>
    <row r="26" spans="1:6">
      <c r="A26" s="6">
        <f ca="1">'fourth pass SW'!$B$41</f>
        <v>-84.257073047428193</v>
      </c>
      <c r="E26" s="6">
        <f ca="1">'fourth pass SW'!$C$41</f>
        <v>100.34648357322639</v>
      </c>
    </row>
    <row r="27" spans="1:6">
      <c r="A27" s="6">
        <f ca="1">'fifth pass SW'!$D$29</f>
        <v>-84.257073047428193</v>
      </c>
      <c r="F27" s="6">
        <f ca="1">'fifth pass SW'!$E$29</f>
        <v>100.27777231186863</v>
      </c>
    </row>
    <row r="28" spans="1:6">
      <c r="A28" s="6">
        <f ca="1">'fifth pass SW'!$D$30</f>
        <v>-83.652083188722045</v>
      </c>
      <c r="F28" s="6">
        <f ca="1">'fifth pass SW'!$E$30</f>
        <v>100.27777231186863</v>
      </c>
    </row>
    <row r="29" spans="1:6">
      <c r="A29" s="44">
        <f>'first pass SW'!$B$40</f>
        <v>-82.768734622163478</v>
      </c>
      <c r="B29" s="44">
        <f>'first pass SW'!$C$40</f>
        <v>0</v>
      </c>
    </row>
    <row r="30" spans="1:6">
      <c r="A30" s="6">
        <f ca="1">'Second pass SW'!$B$41</f>
        <v>-81.627615860078222</v>
      </c>
      <c r="C30" s="6">
        <f ca="1">'Second pass SW'!$C$41</f>
        <v>101.14846524649887</v>
      </c>
    </row>
    <row r="31" spans="1:6">
      <c r="A31" s="6">
        <f ca="1">'third pass SW'!$B$42</f>
        <v>-81.655435488556932</v>
      </c>
      <c r="D31" s="6">
        <f ca="1">'third pass SW'!$C$42</f>
        <v>100.79937334340325</v>
      </c>
    </row>
    <row r="32" spans="1:6">
      <c r="A32" s="6">
        <f ca="1">'fifth pass SW'!$D$31</f>
        <v>-80.616777118109908</v>
      </c>
      <c r="F32" s="6">
        <f ca="1">'fifth pass SW'!$E$31</f>
        <v>100.16940829652951</v>
      </c>
    </row>
    <row r="33" spans="1:6">
      <c r="A33" s="6">
        <f ca="1">'fifth pass SW'!$D$32</f>
        <v>-79.265241218784041</v>
      </c>
      <c r="F33" s="6">
        <f ca="1">'fifth pass SW'!$E$32</f>
        <v>100.0727822804492</v>
      </c>
    </row>
    <row r="34" spans="1:6">
      <c r="A34" s="6">
        <f ca="1">'fifth pass SW'!$D$33</f>
        <v>-77.225290600357383</v>
      </c>
      <c r="F34" s="6">
        <f ca="1">'fifth pass SW'!$E$33</f>
        <v>99.999999999999986</v>
      </c>
    </row>
    <row r="35" spans="1:6">
      <c r="A35" s="44">
        <f>'first pass SW'!$B$41</f>
        <v>-72.615397835928533</v>
      </c>
      <c r="B35" s="44">
        <f>'first pass SW'!$C$41</f>
        <v>101.6120112353767</v>
      </c>
    </row>
    <row r="36" spans="1:6">
      <c r="A36" s="6">
        <f ca="1">'Second pass SW'!$B$42</f>
        <v>-73.352176820200143</v>
      </c>
      <c r="C36" s="6">
        <f ca="1">'Second pass SW'!$C$42</f>
        <v>101.14846524649887</v>
      </c>
    </row>
    <row r="37" spans="1:6">
      <c r="A37" s="44">
        <f>'first pass SW'!$B$42</f>
        <v>-71.61498973352758</v>
      </c>
      <c r="B37" s="44">
        <f ca="1">'first pass SW'!$C$42</f>
        <v>101.69472355443621</v>
      </c>
    </row>
    <row r="38" spans="1:6">
      <c r="A38" s="6">
        <f ca="1">'third pass SW'!$B$43</f>
        <v>-71.930496448678852</v>
      </c>
      <c r="D38" s="6">
        <f ca="1">'third pass SW'!$C$43</f>
        <v>100.79937334340325</v>
      </c>
    </row>
    <row r="39" spans="1:6">
      <c r="A39" s="6">
        <f ca="1">'Second pass SW'!$B$43</f>
        <v>-72.350977121987185</v>
      </c>
      <c r="C39" s="6">
        <f ca="1">'Second pass SW'!$C$43</f>
        <v>101.18515239788729</v>
      </c>
    </row>
    <row r="40" spans="1:6">
      <c r="A40" s="6">
        <f ca="1">'third pass SW'!$B$44</f>
        <v>-70.926916803934489</v>
      </c>
      <c r="D40" s="6">
        <f ca="1">'third pass SW'!$C$44</f>
        <v>100.8294822521334</v>
      </c>
    </row>
    <row r="41" spans="1:6">
      <c r="A41" s="6">
        <f ca="1">'fourth pass SW'!$B$42</f>
        <v>-72.249683047428192</v>
      </c>
      <c r="E41" s="6">
        <f ca="1">'fourth pass SW'!$C$42</f>
        <v>100.34648357322639</v>
      </c>
    </row>
    <row r="42" spans="1:6">
      <c r="A42" s="6">
        <f ca="1">'fourth pass SW'!$B$43</f>
        <v>-71.251170602362151</v>
      </c>
      <c r="E42" s="6">
        <f ca="1">'fourth pass SW'!$C$43</f>
        <v>100.36885025780283</v>
      </c>
    </row>
    <row r="43" spans="1:6">
      <c r="A43" s="44">
        <f ca="1">'first pass SW'!$B$43</f>
        <v>-70.282870137380129</v>
      </c>
      <c r="B43" s="44">
        <f ca="1">'first pass SW'!$C$43</f>
        <v>101.91728768094049</v>
      </c>
    </row>
    <row r="44" spans="1:6">
      <c r="A44" s="44">
        <f ca="1">'first pass SW'!$B$44</f>
        <v>-69.282462034979176</v>
      </c>
      <c r="B44" s="44">
        <f ca="1">'first pass SW'!$C$44</f>
        <v>102</v>
      </c>
    </row>
    <row r="45" spans="1:6">
      <c r="A45" s="6">
        <f ca="1">'third pass SW'!$B$45</f>
        <v>-68.590048119938103</v>
      </c>
      <c r="D45" s="6">
        <f ca="1">'third pass SW'!$C$45</f>
        <v>100.96989109126984</v>
      </c>
    </row>
    <row r="46" spans="1:6">
      <c r="A46" s="6">
        <f ca="1">'fourth pass SW'!$B$44</f>
        <v>-68.824805920378878</v>
      </c>
      <c r="E46" s="6">
        <f ca="1">'fourth pass SW'!$C$44</f>
        <v>100.47763331542355</v>
      </c>
    </row>
    <row r="47" spans="1:6">
      <c r="A47" s="6">
        <f ca="1">'Second pass SW'!$B$44</f>
        <v>-68.563098753811872</v>
      </c>
      <c r="C47" s="6">
        <f ca="1">'Second pass SW'!$C$44</f>
        <v>101.46331284861158</v>
      </c>
    </row>
    <row r="48" spans="1:6">
      <c r="A48" s="6">
        <f ca="1">'third pass SW'!$B$46</f>
        <v>-67.58646847519374</v>
      </c>
      <c r="D48" s="6">
        <f ca="1">'third pass SW'!$C$46</f>
        <v>101</v>
      </c>
    </row>
    <row r="49" spans="1:5">
      <c r="A49" s="6">
        <f ca="1">'fourth pass SW'!$B$45</f>
        <v>-67.826293475312838</v>
      </c>
      <c r="E49" s="6">
        <f ca="1">'fourth pass SW'!$C$45</f>
        <v>100.49999999999999</v>
      </c>
    </row>
    <row r="50" spans="1:5">
      <c r="A50" s="6">
        <f ca="1">'Second pass SW'!$B$45</f>
        <v>-67.561899055598914</v>
      </c>
      <c r="C50" s="6">
        <f ca="1">'Second pass SW'!$C$45</f>
        <v>101.5</v>
      </c>
    </row>
  </sheetData>
  <pageMargins left="0.78749999999999998" right="0.78749999999999998" top="1.0541666666666667" bottom="1.0541666666666667" header="0.78749999999999998" footer="0.78749999999999998"/>
  <pageSetup firstPageNumber="0" orientation="landscape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O53"/>
  <sheetViews>
    <sheetView workbookViewId="0">
      <selection activeCell="C25" sqref="C25"/>
    </sheetView>
  </sheetViews>
  <sheetFormatPr baseColWidth="10" defaultColWidth="8.83203125" defaultRowHeight="13"/>
  <cols>
    <col min="1" max="1" width="8.83203125" style="39"/>
    <col min="2" max="2" width="15.5" style="39" customWidth="1"/>
    <col min="3" max="3" width="18.83203125" style="39" customWidth="1"/>
    <col min="4" max="4" width="12.6640625" style="39" bestFit="1" customWidth="1"/>
    <col min="5" max="5" width="17" style="39" customWidth="1"/>
    <col min="6" max="6" width="13.83203125" style="39" customWidth="1"/>
    <col min="7" max="7" width="16.83203125" style="39" customWidth="1"/>
    <col min="8" max="8" width="14.33203125" style="39" customWidth="1"/>
    <col min="9" max="9" width="14.6640625" style="39" customWidth="1"/>
    <col min="10" max="10" width="12.5" style="39" customWidth="1"/>
    <col min="11" max="12" width="12.5" style="39" bestFit="1" customWidth="1"/>
    <col min="13" max="16384" width="8.83203125" style="39"/>
  </cols>
  <sheetData>
    <row r="1" spans="1:15">
      <c r="A1" s="4" t="s">
        <v>37</v>
      </c>
      <c r="B1"/>
      <c r="C1"/>
      <c r="D1" s="159"/>
      <c r="E1" t="s">
        <v>0</v>
      </c>
      <c r="F1"/>
      <c r="G1" s="2"/>
      <c r="H1" t="s">
        <v>1</v>
      </c>
      <c r="I1"/>
      <c r="J1" s="3"/>
      <c r="K1" t="s">
        <v>38</v>
      </c>
      <c r="L1"/>
      <c r="M1"/>
      <c r="N1"/>
      <c r="O1"/>
    </row>
    <row r="2" spans="1: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 s="5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/>
      <c r="N3"/>
      <c r="O3"/>
    </row>
    <row r="4" spans="1:15">
      <c r="A4"/>
      <c r="B4"/>
      <c r="C4" s="6"/>
      <c r="D4"/>
      <c r="E4"/>
      <c r="F4"/>
      <c r="G4" s="38">
        <v>100</v>
      </c>
      <c r="H4"/>
      <c r="I4"/>
      <c r="J4"/>
      <c r="K4"/>
      <c r="L4"/>
      <c r="M4" s="39" t="s">
        <v>39</v>
      </c>
      <c r="N4" t="s">
        <v>40</v>
      </c>
      <c r="O4"/>
    </row>
    <row r="5" spans="1:15">
      <c r="A5" s="8">
        <v>1.5</v>
      </c>
      <c r="B5" t="s">
        <v>41</v>
      </c>
      <c r="C5" s="138">
        <v>10.801879000000003</v>
      </c>
      <c r="D5" s="138">
        <v>1.0145768738995105</v>
      </c>
      <c r="E5" s="161">
        <f>D5*RADIANS(C5)/SIN(RADIANS(C5))</f>
        <v>1.0206120640900698</v>
      </c>
      <c r="F5" s="168">
        <f>3.33564/100*$C$18/H5</f>
        <v>5.413573304468275</v>
      </c>
      <c r="G5" s="168">
        <f>G4+D5*(1-COS(RADIANS(C5)))/SIN(RADIANS(C5))</f>
        <v>100.09592253652573</v>
      </c>
      <c r="H5" s="168">
        <f>3.33564/100*$C$18*RADIANS(C5)/E5</f>
        <v>14.190218361978818</v>
      </c>
      <c r="I5" s="168">
        <v>0</v>
      </c>
      <c r="J5" s="168">
        <f>C5</f>
        <v>10.801879000000003</v>
      </c>
      <c r="K5" s="168">
        <f>A5*2.54/2</f>
        <v>1.905</v>
      </c>
      <c r="L5" s="169">
        <f>(1+POWER(SIN(RADIANS(J5)),2))/POWER(COS(RADIANS(J5)),3)*2.54*A5*0.5</f>
        <v>2.0805584283609799</v>
      </c>
      <c r="M5" s="32">
        <f>H5*1000*E5*100</f>
        <v>1448270.805230801</v>
      </c>
      <c r="N5" s="32">
        <f>H5*1000*100*D5</f>
        <v>1439706.73856479</v>
      </c>
      <c r="O5"/>
    </row>
    <row r="6" spans="1:15">
      <c r="A6"/>
      <c r="B6" t="s">
        <v>17</v>
      </c>
      <c r="C6" s="117">
        <f>E6*COS(RADIANS(C5))</f>
        <v>6.7398381000762031</v>
      </c>
      <c r="D6" s="119"/>
      <c r="E6" s="139">
        <v>6.8614147877048</v>
      </c>
      <c r="F6" s="119"/>
      <c r="G6" s="168">
        <f>G5+TAN(RADIANS(C5))*C6</f>
        <v>101.38184449127077</v>
      </c>
      <c r="H6" s="119"/>
      <c r="I6" s="119"/>
      <c r="J6" s="119"/>
      <c r="K6" s="119"/>
      <c r="L6" s="119"/>
      <c r="M6"/>
      <c r="N6"/>
      <c r="O6"/>
    </row>
    <row r="7" spans="1:15">
      <c r="A7"/>
      <c r="B7"/>
      <c r="C7" s="119"/>
      <c r="D7" s="119"/>
      <c r="E7" s="97"/>
      <c r="F7" s="119"/>
      <c r="G7" s="119"/>
      <c r="H7" s="119"/>
      <c r="I7" s="119"/>
      <c r="J7" s="119"/>
      <c r="K7" s="119"/>
      <c r="L7" s="119"/>
      <c r="M7"/>
      <c r="N7"/>
      <c r="O7"/>
    </row>
    <row r="8" spans="1:15">
      <c r="A8" s="8">
        <v>1.87</v>
      </c>
      <c r="B8" t="s">
        <v>42</v>
      </c>
      <c r="C8" s="168">
        <f>DEGREES(G13)</f>
        <v>-5.2518789999999997</v>
      </c>
      <c r="D8" s="138">
        <v>1.0019304038608077</v>
      </c>
      <c r="E8" s="161">
        <f>D8*G13/2/SIN(G13/2)/COS(RADIANS(C5)+G13/2)</f>
        <v>1.0125730031807878</v>
      </c>
      <c r="F8" s="168">
        <f>E8/G13</f>
        <v>-11.046743371495426</v>
      </c>
      <c r="G8" s="168">
        <f>F8*(1-COS(G13))*COS(RADIANS(C5))+G6+F8*SIN(G13)*SIN(RADIANS(C5))</f>
        <v>101.52579541145909</v>
      </c>
      <c r="H8" s="168">
        <f>G13*3.33564*C18/E8/100</f>
        <v>-6.9540664361957365</v>
      </c>
      <c r="I8" s="168">
        <f>C5</f>
        <v>10.801879000000003</v>
      </c>
      <c r="J8" s="168">
        <f>C5+C8</f>
        <v>5.5500000000000034</v>
      </c>
      <c r="K8" s="168">
        <f>(1+POWER(SIN(RADIANS(I8)),2))/POWER(COS(RADIANS(I8)),3)*2.54*A8*0.5</f>
        <v>2.5937628406900215</v>
      </c>
      <c r="L8" s="168">
        <f>(1+POWER(SIN(RADIANS(J8)),2))/POWER(COS(RADIANS(J8)),3)*2.54*A8*0.5</f>
        <v>2.431144312699085</v>
      </c>
      <c r="M8" s="32">
        <f>H8*1000*E8*100</f>
        <v>-704149.99356174353</v>
      </c>
      <c r="N8" s="32">
        <f>H8*1000*100*D8</f>
        <v>-696749.05928924808</v>
      </c>
      <c r="O8"/>
    </row>
    <row r="9" spans="1:15">
      <c r="A9"/>
      <c r="B9" t="s">
        <v>17</v>
      </c>
      <c r="C9" s="168">
        <f>E9*COS(RADIANS(C5+C8))</f>
        <v>0.38112181398127232</v>
      </c>
      <c r="D9" s="119"/>
      <c r="E9" s="139">
        <v>0.38291686000000003</v>
      </c>
      <c r="F9" s="119"/>
      <c r="G9" s="168">
        <f>G8+TAN(RADIANS(C5+C8))*C9</f>
        <v>101.56282897164284</v>
      </c>
      <c r="H9" s="168">
        <f>G9-F10*(1-COS(RADIANS(C10)))</f>
        <v>101.61201123522041</v>
      </c>
      <c r="I9" s="119"/>
      <c r="J9" s="119"/>
      <c r="K9" s="119"/>
      <c r="L9" s="119"/>
      <c r="M9"/>
      <c r="N9"/>
      <c r="O9"/>
    </row>
    <row r="10" spans="1:15">
      <c r="A10" s="8">
        <v>1.02</v>
      </c>
      <c r="B10" s="6" t="s">
        <v>43</v>
      </c>
      <c r="C10" s="168">
        <f>-(C5+C8)</f>
        <v>-5.5500000000000034</v>
      </c>
      <c r="D10" s="138">
        <v>1.015869594417155</v>
      </c>
      <c r="E10" s="161">
        <f>D10*RADIANS(C10)/2/SIN(RADIANS(C10)/2)</f>
        <v>1.0162668648907724</v>
      </c>
      <c r="F10" s="168">
        <f>E10/(RADIANS(C10))</f>
        <v>-10.491495894996952</v>
      </c>
      <c r="G10" s="137">
        <v>101.6120112353767</v>
      </c>
      <c r="H10" s="168">
        <f>RADIANS(C10)*3.33564*C18/E10/100</f>
        <v>-7.3221004971861907</v>
      </c>
      <c r="I10" s="168">
        <f>C10/2</f>
        <v>-2.7750000000000017</v>
      </c>
      <c r="J10" s="168">
        <f>C10/2</f>
        <v>-2.7750000000000017</v>
      </c>
      <c r="K10" s="169">
        <f>(1+POWER(SIN(RADIANS(I10)),2))/POWER(COS(RADIANS(I10)),3)*2.54*A10*0.5</f>
        <v>1.303014842735845</v>
      </c>
      <c r="L10" s="169">
        <f>(1+POWER(SIN(RADIANS(J10)),2))/POWER(COS(RADIANS(J10)),3)*2.54*A10*0.5</f>
        <v>1.303014842735845</v>
      </c>
      <c r="M10" s="32">
        <f>H10*1000*E10*100</f>
        <v>-744120.81166905758</v>
      </c>
      <c r="N10" s="32">
        <f>H10*1000*100*D10</f>
        <v>-743829.9262358183</v>
      </c>
      <c r="O10"/>
    </row>
    <row r="11" spans="1:15" ht="14" thickBot="1">
      <c r="A11"/>
      <c r="B11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/>
      <c r="N11"/>
      <c r="O11"/>
    </row>
    <row r="12" spans="1:15">
      <c r="A12"/>
      <c r="B12"/>
      <c r="C12" s="119"/>
      <c r="D12" s="119"/>
      <c r="E12" s="119"/>
      <c r="F12" s="154" t="s">
        <v>44</v>
      </c>
      <c r="G12" s="154"/>
      <c r="H12" s="154"/>
      <c r="I12" s="119"/>
      <c r="J12" s="119"/>
      <c r="K12" s="119"/>
      <c r="L12" s="119"/>
      <c r="M12"/>
      <c r="N12"/>
      <c r="O12"/>
    </row>
    <row r="13" spans="1:15">
      <c r="A13"/>
      <c r="B13" s="19"/>
      <c r="C13" s="119"/>
      <c r="D13" s="103"/>
      <c r="E13" s="119"/>
      <c r="F13" s="120" t="s">
        <v>22</v>
      </c>
      <c r="G13" s="121">
        <f>-RADIANS(J15)</f>
        <v>-9.1662580466347274E-2</v>
      </c>
      <c r="H13" s="122">
        <f>DEGREES(G13)</f>
        <v>-5.2518789999999997</v>
      </c>
      <c r="I13" s="119">
        <f>RADIANS(10.8)</f>
        <v>0.1884955592153876</v>
      </c>
      <c r="J13" s="119"/>
      <c r="K13" s="119"/>
      <c r="L13" s="119"/>
      <c r="M13"/>
      <c r="N13"/>
      <c r="O13"/>
    </row>
    <row r="14" spans="1:15">
      <c r="A14"/>
      <c r="B14" t="s">
        <v>17</v>
      </c>
      <c r="C14" s="119">
        <f>D5+C6+D8+C9+D10</f>
        <v>10.153336786234949</v>
      </c>
      <c r="D14" s="119"/>
      <c r="E14" s="119"/>
      <c r="F14" s="120" t="s">
        <v>23</v>
      </c>
      <c r="G14" s="121">
        <f>G10-G4-F5*(1-COS(RADIANS(C5)))-C6*TAN(RADIANS(C5))-D8*(SIN(G13/2)*COS(H14)/COS(H14+G13/2)+SIN(H14)*SIN(G13)/2/SIN(G13/2)/COS(G13/2+H14))-C9*TAN(RADIANS(C5)+G13)-D10*SIN(RADIANS(C5)/2+G13/2)</f>
        <v>1.5627837218756824E-10</v>
      </c>
      <c r="H14" s="122">
        <f>RADIANS(C5)</f>
        <v>0.18852835395203263</v>
      </c>
      <c r="I14" s="119"/>
      <c r="J14" s="119"/>
      <c r="K14" s="119"/>
      <c r="L14" s="119"/>
      <c r="M14"/>
      <c r="N14"/>
      <c r="O14"/>
    </row>
    <row r="15" spans="1:15" ht="14" thickBot="1">
      <c r="A15"/>
      <c r="B15" t="s">
        <v>24</v>
      </c>
      <c r="C15" s="140">
        <v>8.5811790703581412</v>
      </c>
      <c r="D15" s="119"/>
      <c r="E15" s="139">
        <v>0.39804503456396956</v>
      </c>
      <c r="F15" s="123" t="s">
        <v>25</v>
      </c>
      <c r="G15" s="124">
        <f>-(D8/2+C9)/POWER(COS(H14+G13/2),2)-D10/2*COS(H14/2+G13/2)</f>
        <v>-1.4076343112137406</v>
      </c>
      <c r="H15" s="125"/>
      <c r="I15" s="119"/>
      <c r="J15" s="132">
        <v>5.2518789999999997</v>
      </c>
      <c r="K15" s="119"/>
      <c r="L15" s="119"/>
      <c r="M15"/>
      <c r="N15"/>
      <c r="O15"/>
    </row>
    <row r="16" spans="1:15">
      <c r="C16" s="117"/>
      <c r="D16" s="126"/>
      <c r="E16" s="126"/>
      <c r="F16" s="126"/>
      <c r="G16" s="126"/>
      <c r="H16" s="126"/>
      <c r="I16" s="126"/>
      <c r="J16" s="126"/>
      <c r="K16" s="126"/>
      <c r="L16" s="126"/>
    </row>
    <row r="17" spans="1:14">
      <c r="C17" s="126" t="s">
        <v>26</v>
      </c>
      <c r="D17" s="126"/>
      <c r="E17" s="126"/>
      <c r="F17" s="126"/>
      <c r="G17" s="126"/>
      <c r="H17" s="126"/>
      <c r="I17" s="126">
        <v>101.54900000000001</v>
      </c>
      <c r="J17" s="126"/>
      <c r="K17" s="126"/>
      <c r="L17" s="126"/>
    </row>
    <row r="18" spans="1:14">
      <c r="A18" s="39" t="s">
        <v>27</v>
      </c>
      <c r="B18" s="56">
        <f>2*1090+123-'first passNE'!B52</f>
        <v>2302.4890010899999</v>
      </c>
      <c r="C18" s="126">
        <f>SQRT($B$18*$B$18+2*'first passNE'!B52*$B$18)</f>
        <v>2302.9999433087519</v>
      </c>
      <c r="D18" s="126"/>
      <c r="E18" s="126">
        <f>100*(E15-E9)</f>
        <v>1.5128174563969532</v>
      </c>
      <c r="F18" s="126"/>
      <c r="G18" s="126"/>
      <c r="H18" s="126"/>
      <c r="I18" s="126">
        <v>101.124</v>
      </c>
      <c r="J18" s="126"/>
      <c r="K18" s="126"/>
      <c r="L18" s="126"/>
    </row>
    <row r="19" spans="1:14">
      <c r="C19" s="126"/>
      <c r="D19" s="126"/>
      <c r="E19" s="126"/>
      <c r="F19" s="126"/>
      <c r="G19" s="126"/>
      <c r="H19" s="126"/>
      <c r="I19" s="126"/>
      <c r="J19" s="126"/>
      <c r="K19" s="126"/>
      <c r="L19" s="126"/>
    </row>
    <row r="20" spans="1:14">
      <c r="C20" s="126"/>
      <c r="D20" s="126"/>
      <c r="E20" s="126"/>
      <c r="F20" s="126"/>
      <c r="G20" s="126"/>
      <c r="H20" s="126"/>
      <c r="I20" s="126"/>
      <c r="J20" s="126"/>
      <c r="K20" s="126"/>
      <c r="L20" s="126"/>
    </row>
    <row r="21" spans="1:14">
      <c r="B21" s="136"/>
      <c r="C21" s="127"/>
      <c r="D21" s="127"/>
      <c r="E21" s="127"/>
      <c r="F21" s="126"/>
      <c r="G21" s="127"/>
      <c r="H21" s="127"/>
      <c r="I21" s="127"/>
      <c r="J21" s="127"/>
      <c r="K21" s="127"/>
      <c r="L21" s="127"/>
    </row>
    <row r="22" spans="1:14">
      <c r="C22" s="126"/>
      <c r="D22" s="126"/>
      <c r="E22" s="126"/>
      <c r="F22" s="126"/>
      <c r="G22" s="126"/>
      <c r="H22" s="126"/>
      <c r="I22" s="126"/>
      <c r="J22" s="126"/>
      <c r="K22" s="126"/>
      <c r="L22" s="126"/>
    </row>
    <row r="23" spans="1:14" ht="15">
      <c r="A23" s="39" t="s">
        <v>4</v>
      </c>
      <c r="B23" s="39" t="s">
        <v>45</v>
      </c>
      <c r="C23" s="126" t="s">
        <v>6</v>
      </c>
      <c r="D23" s="126" t="s">
        <v>7</v>
      </c>
      <c r="E23" s="126" t="s">
        <v>8</v>
      </c>
      <c r="F23" s="126" t="s">
        <v>9</v>
      </c>
      <c r="G23" s="126" t="s">
        <v>10</v>
      </c>
      <c r="H23" s="126" t="s">
        <v>11</v>
      </c>
      <c r="I23" s="126" t="s">
        <v>12</v>
      </c>
      <c r="J23" s="126" t="s">
        <v>13</v>
      </c>
      <c r="K23" s="126" t="s">
        <v>14</v>
      </c>
      <c r="L23" s="126" t="s">
        <v>15</v>
      </c>
    </row>
    <row r="24" spans="1:14">
      <c r="C24" s="126"/>
      <c r="D24" s="126"/>
      <c r="E24" s="126"/>
      <c r="F24" s="126"/>
      <c r="G24" s="128">
        <f>G10</f>
        <v>101.6120112353767</v>
      </c>
      <c r="H24" s="126"/>
      <c r="I24" s="126"/>
      <c r="J24" s="126"/>
      <c r="K24" s="126"/>
      <c r="L24" s="126"/>
    </row>
    <row r="25" spans="1:14">
      <c r="A25" s="30">
        <v>1.01</v>
      </c>
      <c r="B25" s="39" t="s">
        <v>46</v>
      </c>
      <c r="C25" s="170">
        <f ca="1">DEGREES(G31)</f>
        <v>9.4850944085721576</v>
      </c>
      <c r="D25" s="142">
        <v>1.0004081024009506</v>
      </c>
      <c r="E25" s="171">
        <f ca="1">D25*G31/2/SIN(G31/2)</f>
        <v>1.0015513788715207</v>
      </c>
      <c r="F25" s="171">
        <f ca="1">E25/G31</f>
        <v>6.0499837432281964</v>
      </c>
      <c r="G25" s="171">
        <f ca="1">D25*D25/2/F25+G24</f>
        <v>101.69472355443621</v>
      </c>
      <c r="H25" s="171">
        <f ca="1">3.33564/100*$C$18*G31/E25</f>
        <v>12.697519624737698</v>
      </c>
      <c r="I25" s="171">
        <f ca="1">C25/2</f>
        <v>4.7425472042860788</v>
      </c>
      <c r="J25" s="171">
        <f ca="1">C25/2</f>
        <v>4.7425472042860788</v>
      </c>
      <c r="K25" s="171">
        <f ca="1">(1+POWER(SIN(G31/2),2))/POWER(COS(G31/2),3)*A25*2.54/2</f>
        <v>1.3048244983200592</v>
      </c>
      <c r="L25" s="171">
        <f ca="1">K25</f>
        <v>1.3048244983200592</v>
      </c>
      <c r="M25" s="32">
        <f ca="1">H25*1000*E25*100</f>
        <v>1271721.8288404234</v>
      </c>
      <c r="N25" s="32">
        <f ca="1">H25*1000*100*D25</f>
        <v>1270270.1512982668</v>
      </c>
    </row>
    <row r="26" spans="1:14">
      <c r="B26" s="39" t="s">
        <v>17</v>
      </c>
      <c r="C26" s="130">
        <f ca="1">E26*COS(RADIANS(C25))</f>
        <v>1.3321195961474441</v>
      </c>
      <c r="D26" s="131"/>
      <c r="E26" s="139">
        <v>1.3505840991388296</v>
      </c>
      <c r="F26" s="131"/>
      <c r="G26" s="171">
        <f ca="1">G25+C26*TAN(G31)</f>
        <v>101.91728768094049</v>
      </c>
      <c r="H26" s="131"/>
      <c r="I26" s="131"/>
      <c r="J26" s="131"/>
      <c r="K26" s="131"/>
      <c r="L26" s="131"/>
    </row>
    <row r="27" spans="1:14">
      <c r="C27" s="131"/>
      <c r="D27" s="131"/>
      <c r="E27" s="131"/>
      <c r="F27" s="131"/>
      <c r="G27" s="171">
        <f ca="1">G26+F28*(1-COS(G31))</f>
        <v>102</v>
      </c>
      <c r="H27" s="131"/>
      <c r="I27" s="131"/>
      <c r="J27" s="131"/>
      <c r="K27" s="131"/>
      <c r="L27" s="131"/>
    </row>
    <row r="28" spans="1:14">
      <c r="A28" s="30">
        <v>1.01</v>
      </c>
      <c r="B28" s="39" t="s">
        <v>47</v>
      </c>
      <c r="C28" s="170">
        <f ca="1">C25</f>
        <v>9.4850944085721576</v>
      </c>
      <c r="D28" s="142">
        <v>1.0004081024009506</v>
      </c>
      <c r="E28" s="171">
        <f ca="1">D28*G31/2/SIN(G31/2)</f>
        <v>1.0015513788715207</v>
      </c>
      <c r="F28" s="171">
        <f ca="1">E28/G31</f>
        <v>6.0499837432281964</v>
      </c>
      <c r="G28" s="106">
        <v>102</v>
      </c>
      <c r="H28" s="171">
        <f ca="1">3.33564/100*$C$18*G31/E28</f>
        <v>12.697519624737698</v>
      </c>
      <c r="I28" s="171">
        <f ca="1">C28/2</f>
        <v>4.7425472042860788</v>
      </c>
      <c r="J28" s="171">
        <f ca="1">C28/2</f>
        <v>4.7425472042860788</v>
      </c>
      <c r="K28" s="171">
        <f ca="1">(1+POWER(SIN(G31/2),2))/POWER(COS(G31/2),3)*2.54*A28*0.5</f>
        <v>1.3048244983200592</v>
      </c>
      <c r="L28" s="171">
        <f ca="1">K28</f>
        <v>1.3048244983200592</v>
      </c>
      <c r="M28" s="32">
        <f ca="1">H28*1000*E28*100</f>
        <v>1271721.8288404234</v>
      </c>
      <c r="N28" s="32">
        <f ca="1">H28*1000*100*D28</f>
        <v>1270270.1512982668</v>
      </c>
    </row>
    <row r="30" spans="1:14">
      <c r="F30" s="58" t="s">
        <v>48</v>
      </c>
      <c r="G30" s="59"/>
      <c r="H30" s="60"/>
    </row>
    <row r="31" spans="1:14">
      <c r="B31" s="47"/>
      <c r="C31" s="44"/>
      <c r="F31" s="48" t="s">
        <v>22</v>
      </c>
      <c r="G31" s="50">
        <f ca="1">G31-G32/G33</f>
        <v>0.16554612729208842</v>
      </c>
      <c r="H31" s="49">
        <f ca="1">DEGREES(G31)</f>
        <v>9.4850944085721576</v>
      </c>
    </row>
    <row r="32" spans="1:14">
      <c r="B32" s="39" t="s">
        <v>49</v>
      </c>
      <c r="C32" s="44">
        <f ca="1">D25+C26+D28+C12+C14</f>
        <v>13.486272587184294</v>
      </c>
      <c r="F32" s="48" t="s">
        <v>23</v>
      </c>
      <c r="G32" s="50">
        <f ca="1">G28-G24-D25*SIN(G31/2)-D28*SIN(G31/2)-C26*TAN(G31)</f>
        <v>0</v>
      </c>
      <c r="H32" s="51"/>
    </row>
    <row r="33" spans="1:8">
      <c r="E33" s="141"/>
      <c r="F33" s="52" t="s">
        <v>25</v>
      </c>
      <c r="G33" s="53">
        <f ca="1">-0.5*D25*COS(G31/2)-0.5*D28*COS(G31/2)-C26/COS(G31)/COS(G31)</f>
        <v>-2.3662875090922548</v>
      </c>
      <c r="H33" s="54"/>
    </row>
    <row r="36" spans="1:8">
      <c r="B36" s="39" t="s">
        <v>17</v>
      </c>
      <c r="C36" s="39" t="s">
        <v>10</v>
      </c>
    </row>
    <row r="37" spans="1:8">
      <c r="B37" s="44">
        <v>-91.525080000000003</v>
      </c>
      <c r="C37" s="44">
        <f>G4</f>
        <v>100</v>
      </c>
    </row>
    <row r="38" spans="1:8">
      <c r="B38" s="44">
        <f>B37+D5</f>
        <v>-90.510503126100488</v>
      </c>
      <c r="C38" s="172">
        <f>G5</f>
        <v>100.09592253652573</v>
      </c>
    </row>
    <row r="39" spans="1:8">
      <c r="B39" s="44">
        <f>B38+C6</f>
        <v>-83.77066502602429</v>
      </c>
      <c r="C39" s="44">
        <f>G6</f>
        <v>101.38184449127077</v>
      </c>
    </row>
    <row r="40" spans="1:8">
      <c r="B40" s="44">
        <f>B39+D8</f>
        <v>-82.768734622163478</v>
      </c>
      <c r="C40" s="44">
        <f>G7</f>
        <v>0</v>
      </c>
    </row>
    <row r="41" spans="1:8">
      <c r="B41" s="44">
        <f>B40+C14</f>
        <v>-72.615397835928533</v>
      </c>
      <c r="C41" s="44">
        <f>G24</f>
        <v>101.6120112353767</v>
      </c>
    </row>
    <row r="42" spans="1:8">
      <c r="B42" s="44">
        <f>B41+D25</f>
        <v>-71.61498973352758</v>
      </c>
      <c r="C42" s="44">
        <f ca="1">G25</f>
        <v>101.69472355443621</v>
      </c>
    </row>
    <row r="43" spans="1:8">
      <c r="B43" s="44">
        <f ca="1">B42+C26</f>
        <v>-70.282870137380129</v>
      </c>
      <c r="C43" s="44">
        <f ca="1">G26</f>
        <v>101.91728768094049</v>
      </c>
      <c r="G43" s="39" t="s">
        <v>21</v>
      </c>
    </row>
    <row r="44" spans="1:8">
      <c r="B44" s="44">
        <f ca="1">B43+D28</f>
        <v>-69.282462034979176</v>
      </c>
      <c r="C44" s="44">
        <f ca="1">G27</f>
        <v>102</v>
      </c>
    </row>
    <row r="47" spans="1:8">
      <c r="A47" t="s">
        <v>50</v>
      </c>
      <c r="B47"/>
    </row>
    <row r="48" spans="1:8">
      <c r="A48" t="s">
        <v>33</v>
      </c>
      <c r="B48" s="107">
        <v>2</v>
      </c>
    </row>
    <row r="49" spans="1:2">
      <c r="A49" t="s">
        <v>34</v>
      </c>
      <c r="B49" s="161">
        <f>B48*RADIANS(180)/16/2/SIN(RADIANS(180)/16/2)</f>
        <v>2.0032163781679495</v>
      </c>
    </row>
    <row r="50" spans="1:2">
      <c r="A50" t="s">
        <v>11</v>
      </c>
      <c r="B50" s="161">
        <f>3.33564/100*$C$18*RADIANS(180)/16/B49</f>
        <v>7.5296558727516905</v>
      </c>
    </row>
    <row r="51" spans="1:2">
      <c r="A51" t="s">
        <v>6</v>
      </c>
      <c r="B51" s="161">
        <f>180/16/2</f>
        <v>5.625</v>
      </c>
    </row>
    <row r="52" spans="1:2">
      <c r="A52" t="s">
        <v>4</v>
      </c>
      <c r="B52" s="107">
        <v>1.0009999999999999</v>
      </c>
    </row>
    <row r="53" spans="1:2">
      <c r="A53" t="s">
        <v>35</v>
      </c>
      <c r="B53" s="161">
        <f>(1+POWER(SIN(RADIANS(B51)/2),2))/POWER(COS(RADIANS(B51/2)),3)*2.54*B52*0.5</f>
        <v>1.2789468339444678</v>
      </c>
    </row>
  </sheetData>
  <mergeCells count="1">
    <mergeCell ref="F12:H1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Q56"/>
  <sheetViews>
    <sheetView zoomScale="137" workbookViewId="0">
      <selection activeCell="E25" sqref="E25"/>
    </sheetView>
  </sheetViews>
  <sheetFormatPr baseColWidth="10" defaultColWidth="8.83203125" defaultRowHeight="13"/>
  <cols>
    <col min="2" max="2" width="14.5" customWidth="1"/>
    <col min="3" max="3" width="19.83203125" customWidth="1"/>
    <col min="4" max="4" width="14.6640625" customWidth="1"/>
    <col min="5" max="5" width="13.5" customWidth="1"/>
    <col min="6" max="6" width="13.6640625" customWidth="1"/>
    <col min="7" max="7" width="13.5" customWidth="1"/>
    <col min="8" max="8" width="15.6640625" customWidth="1"/>
    <col min="10" max="10" width="9.6640625" customWidth="1"/>
    <col min="11" max="11" width="10" customWidth="1"/>
    <col min="12" max="12" width="11.5" customWidth="1"/>
    <col min="13" max="13" width="10.5" customWidth="1"/>
    <col min="14" max="14" width="14.5" customWidth="1"/>
    <col min="15" max="15" width="9.1640625" customWidth="1"/>
  </cols>
  <sheetData>
    <row r="1" spans="1:17">
      <c r="C1" s="159"/>
      <c r="D1" t="s">
        <v>0</v>
      </c>
      <c r="F1" s="2"/>
      <c r="G1" t="s">
        <v>1</v>
      </c>
      <c r="I1" s="3"/>
      <c r="J1" t="s">
        <v>38</v>
      </c>
    </row>
    <row r="2" spans="1:17">
      <c r="A2" s="4" t="s">
        <v>3</v>
      </c>
    </row>
    <row r="4" spans="1:17">
      <c r="A4" s="5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7">
      <c r="C5" s="149"/>
      <c r="G5" s="7">
        <v>100</v>
      </c>
      <c r="M5" s="39" t="s">
        <v>39</v>
      </c>
      <c r="N5" t="s">
        <v>40</v>
      </c>
    </row>
    <row r="6" spans="1:17">
      <c r="A6" s="8">
        <v>1.5</v>
      </c>
      <c r="B6" t="s">
        <v>16</v>
      </c>
      <c r="C6" s="173">
        <f ca="1">DEGREES(ASIN(H6*D6/3.33564/C17*100))</f>
        <v>8.8990713678199445</v>
      </c>
      <c r="D6" s="61">
        <f>'first passNE'!D6</f>
        <v>1.5</v>
      </c>
      <c r="E6" s="175">
        <f ca="1">D6*RADIANS(C12)/SIN(RADIANS(C12))</f>
        <v>1.5060479446395905</v>
      </c>
      <c r="F6" s="162">
        <f ca="1">3.33564/100*$C$17/H6</f>
        <v>9.6965388191217272</v>
      </c>
      <c r="G6" s="163">
        <f ca="1">G5+F6*(1-COS(RADIANS(C12)))</f>
        <v>100.11672331616268</v>
      </c>
      <c r="H6" s="62">
        <f ca="1">'first passNE'!H6</f>
        <v>13.58812472731378</v>
      </c>
      <c r="I6" s="163">
        <v>0</v>
      </c>
      <c r="J6" s="162">
        <f ca="1">C12</f>
        <v>8.8990713678199445</v>
      </c>
      <c r="K6" s="162">
        <f>A6*2.54/2</f>
        <v>1.905</v>
      </c>
      <c r="L6" s="164">
        <f ca="1">(1+POWER(SIN(RADIANS(J6)),2))/POWER(COS(RADIANS(J6)),3)*2.54*A6*0.5</f>
        <v>2.0227591840458574</v>
      </c>
      <c r="M6" s="32">
        <f ca="1">H6*1000*E6*100</f>
        <v>2046436.7317077315</v>
      </c>
      <c r="N6" s="32">
        <f ca="1">H6*1000*100*D6</f>
        <v>2038218.7090970669</v>
      </c>
    </row>
    <row r="7" spans="1:17">
      <c r="B7" t="s">
        <v>17</v>
      </c>
      <c r="C7" s="63">
        <f>D7-0.5</f>
        <v>0.48955313700000003</v>
      </c>
      <c r="D7" s="146">
        <v>0.98955313700000003</v>
      </c>
      <c r="E7" s="175">
        <f ca="1">C7/COS(RADIANS(C12))</f>
        <v>0.49551799776071409</v>
      </c>
      <c r="F7" s="7"/>
      <c r="G7" s="162">
        <f ca="1">G6+TAN(RADIANS(C12))*C7</f>
        <v>100.19337716249962</v>
      </c>
      <c r="H7" s="162"/>
    </row>
    <row r="8" spans="1:17">
      <c r="E8" s="6"/>
    </row>
    <row r="9" spans="1:17">
      <c r="A9" s="8">
        <v>1.87</v>
      </c>
      <c r="B9" t="s">
        <v>51</v>
      </c>
      <c r="C9" s="173">
        <f ca="1">DEGREES(G14)</f>
        <v>2.838500600391892</v>
      </c>
      <c r="D9" s="64">
        <v>1.0155270090794399</v>
      </c>
      <c r="E9" s="175">
        <f ca="1">D9*G14/2/SIN(G14/2)/COS(RADIANS(C12)+G14/2)</f>
        <v>1.0323258361415113</v>
      </c>
      <c r="F9" s="166">
        <f ca="1">E9/G14</f>
        <v>20.837731542158647</v>
      </c>
      <c r="G9" s="162">
        <f ca="1">F9*(1-COS(G14))*COS(RADIANS(C12))+G7+F9*SIN(G14)*SIN(RADIANS(C12))</f>
        <v>100.37826518125426</v>
      </c>
      <c r="H9" s="175">
        <f ca="1">G14*3.33564*C17/E9/100</f>
        <v>6.3230385049781059</v>
      </c>
      <c r="I9" s="162">
        <f ca="1">J6</f>
        <v>8.8990713678199445</v>
      </c>
      <c r="J9" s="162">
        <f ca="1">I9+C9</f>
        <v>11.737571968211837</v>
      </c>
      <c r="K9" s="162">
        <f ca="1">(1+POWER(SIN(RADIANS(I9)),2))/POWER(COS(RADIANS(I9)),3)*2.54*A9*0.5</f>
        <v>2.5217064494438355</v>
      </c>
      <c r="L9" s="162">
        <f ca="1">(1+POWER(SIN(RADIANS(J9)),2))/POWER(COS(RADIANS(J9)),3)*2.54*A9*0.5</f>
        <v>2.6350489327056317</v>
      </c>
      <c r="M9" s="32">
        <f ca="1">H9*1000*E9*100</f>
        <v>652743.60116064956</v>
      </c>
      <c r="N9" s="32">
        <f ca="1">H9*1000*100*D9</f>
        <v>642121.63812545501</v>
      </c>
    </row>
    <row r="10" spans="1:17">
      <c r="B10" t="s">
        <v>17</v>
      </c>
      <c r="C10" s="65">
        <v>2.4704730760000002</v>
      </c>
      <c r="E10" s="176">
        <f ca="1">C10/COS(G14+RADIANS(C12))</f>
        <v>2.5232348724814146</v>
      </c>
      <c r="G10" s="162">
        <f ca="1">G9+TAN(RADIANS(C9+C12))*C10</f>
        <v>100.89156529080559</v>
      </c>
      <c r="H10" s="162">
        <f ca="1">G10+F11*(1-COS(RADIANS(C11)))</f>
        <v>101.10000000000001</v>
      </c>
    </row>
    <row r="11" spans="1:17">
      <c r="A11" s="8">
        <v>1.02</v>
      </c>
      <c r="B11" s="6" t="s">
        <v>52</v>
      </c>
      <c r="C11" s="167">
        <f ca="1">C12+C9</f>
        <v>11.737571968211837</v>
      </c>
      <c r="D11" s="147" t="s">
        <v>21</v>
      </c>
      <c r="E11" s="175">
        <f ca="1">D14*RADIANS(C11)/2/SIN(RADIANS(C11)/2)</f>
        <v>2.0420378153121135</v>
      </c>
      <c r="F11" s="177">
        <f ca="1">E11/(RADIANS(C11))</f>
        <v>9.9680026448709906</v>
      </c>
      <c r="G11" s="66">
        <v>101.1</v>
      </c>
      <c r="H11" s="175">
        <f ca="1">3.33564*C17/F11/100</f>
        <v>13.218072224856552</v>
      </c>
      <c r="I11" s="162">
        <f ca="1">C11/2</f>
        <v>5.8687859841059185</v>
      </c>
      <c r="J11" s="162">
        <f ca="1">C11/2</f>
        <v>5.8687859841059185</v>
      </c>
      <c r="K11" s="164">
        <f ca="1">(1+POWER(SIN(RADIANS(I11)),2))/POWER(COS(RADIANS(I11)),3)*2.54*A11*0.5</f>
        <v>1.3297431226413914</v>
      </c>
      <c r="L11" s="164">
        <f ca="1">(1+POWER(SIN(RADIANS(J11)),2))/POWER(COS(RADIANS(J11)),3)*2.54*A11*0.5</f>
        <v>1.3297431226413914</v>
      </c>
      <c r="M11" s="32">
        <f ca="1">H11*1000*E11*100</f>
        <v>2699180.3328683805</v>
      </c>
      <c r="N11" s="32">
        <f ca="1">H11*1000*100*D14</f>
        <v>2694462.9176850342</v>
      </c>
    </row>
    <row r="12" spans="1:17">
      <c r="C12" s="173">
        <f ca="1">DEGREES(ASIN(H6*D6/3.33564/C17*100))</f>
        <v>8.8990713678199445</v>
      </c>
    </row>
    <row r="13" spans="1:17">
      <c r="C13" s="174"/>
      <c r="F13" s="152" t="s">
        <v>53</v>
      </c>
      <c r="G13" s="152"/>
      <c r="H13" s="152"/>
    </row>
    <row r="14" spans="1:17">
      <c r="B14" s="19" t="s">
        <v>17</v>
      </c>
      <c r="C14" s="6">
        <f>D6+C7+D9+C10+D14</f>
        <v>7.5140221242375809</v>
      </c>
      <c r="D14" s="64">
        <v>2.0384689021581401</v>
      </c>
      <c r="F14" s="20" t="s">
        <v>22</v>
      </c>
      <c r="G14" s="23">
        <f ca="1">G14-G15/G16</f>
        <v>4.9541181296674362E-2</v>
      </c>
      <c r="H14" s="22">
        <f ca="1">DEGREES(G14)</f>
        <v>2.838500600391892</v>
      </c>
    </row>
    <row r="15" spans="1:17">
      <c r="B15" t="s">
        <v>24</v>
      </c>
      <c r="C15" s="67">
        <v>9.6704390398780795</v>
      </c>
      <c r="F15" s="20" t="s">
        <v>23</v>
      </c>
      <c r="G15" s="23">
        <f ca="1">G11-G5-F6*(1-COS(RADIANS(C12)))-C7*TAN(RADIANS(C12))-D9*(SIN(G14/2)*COS(H15)/COS(H15+G14/2)+SIN(H15)*SIN(G14)/2/SIN(G14/2)/COS(G14/2+H15))-C10*TAN(RADIANS(C12)+G14)-D14*SIN(RADIANS(C12)/2+G14/2)</f>
        <v>0</v>
      </c>
      <c r="H15" s="24">
        <f ca="1">RADIANS(C12)</f>
        <v>0.15531809573841338</v>
      </c>
      <c r="J15" s="7"/>
      <c r="K15" s="7"/>
      <c r="L15" s="7"/>
      <c r="M15" s="7"/>
      <c r="N15" s="7"/>
      <c r="O15" s="7"/>
      <c r="P15" s="7"/>
      <c r="Q15" s="7"/>
    </row>
    <row r="16" spans="1:17">
      <c r="C16" t="s">
        <v>26</v>
      </c>
      <c r="D16" s="148"/>
      <c r="F16" s="26" t="s">
        <v>25</v>
      </c>
      <c r="G16" s="27">
        <f ca="1">-(D9/2+C10)/POWER(COS(H15+G14/2),2)-D14/2*COS(H15/2+G14/2)</f>
        <v>-4.0908463019615358</v>
      </c>
      <c r="H16" s="28"/>
      <c r="J16" s="7"/>
      <c r="K16" s="7"/>
      <c r="L16" s="7"/>
      <c r="M16" s="7"/>
      <c r="N16" s="7"/>
      <c r="O16" s="7"/>
      <c r="P16" s="7"/>
      <c r="Q16" s="7"/>
    </row>
    <row r="17" spans="1:17">
      <c r="A17" t="s">
        <v>27</v>
      </c>
      <c r="B17" s="29">
        <f>3*1100+650-'first passNE'!B52</f>
        <v>3949.4890010899999</v>
      </c>
      <c r="C17" s="115">
        <f>SQRT($B$17*$B$17+2*'first passNE'!$B$52*$B$17)</f>
        <v>3949.9999669468498</v>
      </c>
      <c r="J17" s="7"/>
      <c r="K17" s="7"/>
      <c r="L17" s="7"/>
      <c r="M17" s="7"/>
      <c r="N17" s="7"/>
      <c r="O17" s="7"/>
      <c r="P17" s="7"/>
      <c r="Q17" s="7"/>
    </row>
    <row r="18" spans="1:17">
      <c r="C18" s="7"/>
      <c r="G18" t="s">
        <v>54</v>
      </c>
      <c r="H18" t="s">
        <v>55</v>
      </c>
      <c r="J18" s="7"/>
      <c r="K18" s="7"/>
      <c r="L18" s="7"/>
      <c r="M18" s="7"/>
      <c r="N18" s="7"/>
      <c r="O18" s="7"/>
      <c r="P18" s="7"/>
      <c r="Q18" s="7"/>
    </row>
    <row r="19" spans="1:17">
      <c r="C19">
        <f>(D19-E19)/100</f>
        <v>1.0105500000000029</v>
      </c>
      <c r="D19">
        <v>9356.1059999999998</v>
      </c>
      <c r="E19">
        <v>9255.0509999999995</v>
      </c>
      <c r="G19">
        <v>9805.9660000000003</v>
      </c>
      <c r="H19">
        <v>10773.86</v>
      </c>
      <c r="J19" s="7"/>
      <c r="K19" s="7"/>
      <c r="L19" s="7"/>
      <c r="M19" s="7"/>
      <c r="N19" s="7"/>
      <c r="O19" s="7"/>
      <c r="P19" s="7"/>
      <c r="Q19" s="7"/>
    </row>
    <row r="20" spans="1:17">
      <c r="B20" s="153"/>
      <c r="C20" s="153"/>
      <c r="D20" s="153"/>
      <c r="E20" s="153"/>
      <c r="G20" s="135"/>
      <c r="H20" s="135"/>
      <c r="I20" s="135"/>
      <c r="J20" s="135"/>
      <c r="K20" s="135"/>
      <c r="L20" s="135"/>
    </row>
    <row r="21" spans="1:17">
      <c r="C21">
        <f ca="1">(E21-D21)/100/COS(C11/180*3.1415926/2)</f>
        <v>2.0438424532637516</v>
      </c>
      <c r="D21">
        <v>9602.6530000000002</v>
      </c>
      <c r="E21">
        <v>9805.9660000000003</v>
      </c>
    </row>
    <row r="22" spans="1:17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</row>
    <row r="23" spans="1:17">
      <c r="C23" s="6"/>
      <c r="E23" s="6"/>
      <c r="G23" s="68">
        <f ca="1">H10</f>
        <v>101.10000000000001</v>
      </c>
    </row>
    <row r="24" spans="1:17">
      <c r="A24" s="30">
        <v>1.01</v>
      </c>
      <c r="B24" t="s">
        <v>56</v>
      </c>
      <c r="C24" s="178">
        <f ca="1">DEGREES(G30)</f>
        <v>4.3648078857650301</v>
      </c>
      <c r="D24" s="64">
        <v>1.0228904375266401</v>
      </c>
      <c r="E24" s="179">
        <f ca="1">D24*G30/2/SIN(G30/2)</f>
        <v>1.0231378242539344</v>
      </c>
      <c r="F24" s="159">
        <f ca="1">D24/2/SIN(G30/2)</f>
        <v>13.430483247872312</v>
      </c>
      <c r="G24" s="162">
        <f ca="1">D24*D24/2/F24+G23</f>
        <v>101.13895261353866</v>
      </c>
      <c r="H24" s="179">
        <f ca="1">2*SIN(G30/2)/D24*C17*3.33564/100</f>
        <v>9.8103527971221212</v>
      </c>
      <c r="I24" s="162">
        <f ca="1">C24/2</f>
        <v>2.182403942882515</v>
      </c>
      <c r="J24" s="162">
        <f ca="1">C24/2</f>
        <v>2.182403942882515</v>
      </c>
      <c r="K24" s="162">
        <f ca="1">(1+POWER(SIN(G30/2),2))/POWER(COS(G30/2),3)*A24*2.54/2</f>
        <v>1.2873594102023129</v>
      </c>
      <c r="L24" s="162">
        <f ca="1">K24</f>
        <v>1.2873594102023129</v>
      </c>
      <c r="M24" s="32">
        <f ca="1">H24*1000*E24*100</f>
        <v>1003734.3016011026</v>
      </c>
      <c r="N24" s="32">
        <f ca="1">H24*1000*100*D24</f>
        <v>1003491.6064938945</v>
      </c>
    </row>
    <row r="25" spans="1:17">
      <c r="B25" t="s">
        <v>17</v>
      </c>
      <c r="C25" s="31">
        <v>4.21987808</v>
      </c>
      <c r="E25" s="179">
        <f ca="1">C25/COS(G30)</f>
        <v>4.2321526499889632</v>
      </c>
      <c r="F25" s="6"/>
      <c r="G25" s="162">
        <f ca="1">G24+TAN(G30)*C25</f>
        <v>101.46104738646135</v>
      </c>
      <c r="H25" s="6"/>
      <c r="I25" s="6"/>
      <c r="J25" s="6"/>
      <c r="K25" s="6"/>
      <c r="L25" s="6"/>
    </row>
    <row r="26" spans="1:17">
      <c r="E26" s="6"/>
      <c r="F26" s="6"/>
      <c r="G26" s="162">
        <f ca="1">G25+F27*(1-COS(RADIANS(C27)))</f>
        <v>101.5</v>
      </c>
      <c r="H26" s="6"/>
      <c r="I26" s="6"/>
      <c r="J26" s="6"/>
      <c r="K26" s="6"/>
      <c r="L26" s="6"/>
    </row>
    <row r="27" spans="1:17">
      <c r="A27" s="30">
        <v>1.01</v>
      </c>
      <c r="B27" t="s">
        <v>57</v>
      </c>
      <c r="C27" s="165">
        <f ca="1">C24</f>
        <v>4.3648078857650301</v>
      </c>
      <c r="D27" s="64">
        <v>1.0228904375266401</v>
      </c>
      <c r="E27" s="180">
        <f ca="1">D27*G30/2/SIN(G30/2)</f>
        <v>1.0231378242539344</v>
      </c>
      <c r="F27" s="159">
        <f ca="1">D27/2/SIN(G30/2)</f>
        <v>13.430483247872312</v>
      </c>
      <c r="G27" s="31">
        <v>101.5</v>
      </c>
      <c r="H27" s="162">
        <f ca="1">2*SIN(G30/2)/D27*C17*3.33564/100</f>
        <v>9.8103527971221212</v>
      </c>
      <c r="I27" s="162">
        <f ca="1">C27/2</f>
        <v>2.182403942882515</v>
      </c>
      <c r="J27" s="162">
        <f ca="1">C27/2</f>
        <v>2.182403942882515</v>
      </c>
      <c r="K27" s="162">
        <f ca="1">(1+POWER(SIN(G30/2),2))/POWER(COS(G30/2),3)*2.54*A27*0.5</f>
        <v>1.2873594102023129</v>
      </c>
      <c r="L27" s="162">
        <f ca="1">K27</f>
        <v>1.2873594102023129</v>
      </c>
      <c r="M27" s="32">
        <f ca="1">H27*1000*E27*100</f>
        <v>1003734.3016011026</v>
      </c>
      <c r="N27" s="32">
        <f ca="1">H27*1000*100*D27</f>
        <v>1003491.6064938945</v>
      </c>
    </row>
    <row r="29" spans="1:17">
      <c r="F29" s="152" t="s">
        <v>58</v>
      </c>
      <c r="G29" s="152"/>
      <c r="H29" s="152"/>
    </row>
    <row r="30" spans="1:17">
      <c r="B30" s="19" t="s">
        <v>17</v>
      </c>
      <c r="C30" s="6">
        <f>C14+C15+D24+C25+D27</f>
        <v>23.450120119168943</v>
      </c>
      <c r="F30" s="20" t="s">
        <v>22</v>
      </c>
      <c r="G30" s="23">
        <f ca="1">G30-G31/G32</f>
        <v>7.6180268823612313E-2</v>
      </c>
      <c r="H30" s="22">
        <f ca="1">DEGREES(G30)</f>
        <v>4.3648078857650301</v>
      </c>
      <c r="I30" s="6"/>
    </row>
    <row r="31" spans="1:17">
      <c r="F31" s="20" t="s">
        <v>23</v>
      </c>
      <c r="G31" s="23">
        <f ca="1">G27-G23-D24*SIN(G30/2)-D27*SIN(G30/2)-C25*TAN(G30)</f>
        <v>0</v>
      </c>
      <c r="H31" s="24"/>
      <c r="K31" s="7">
        <f ca="1">(M31-L31)/COS(G30/2)/100</f>
        <v>0.99257995940295485</v>
      </c>
      <c r="L31">
        <v>10773.86</v>
      </c>
      <c r="M31">
        <v>10873.046</v>
      </c>
    </row>
    <row r="32" spans="1:17">
      <c r="E32" s="6"/>
      <c r="F32" s="26" t="s">
        <v>25</v>
      </c>
      <c r="G32" s="27">
        <f ca="1">-0.5*D24*COS(G30/2)-0.5*D27*COS(G30/2)-C25/COS(G30)/COS(G30)</f>
        <v>-5.2666114163093294</v>
      </c>
      <c r="H32" s="28"/>
    </row>
    <row r="37" spans="3:4">
      <c r="C37" t="s">
        <v>31</v>
      </c>
      <c r="D37" t="s">
        <v>10</v>
      </c>
    </row>
    <row r="38" spans="3:4">
      <c r="C38" s="6">
        <v>90.553719999999998</v>
      </c>
      <c r="D38" s="6">
        <v>100</v>
      </c>
    </row>
    <row r="39" spans="3:4">
      <c r="C39" s="6">
        <f>C38+D6</f>
        <v>92.053719999999998</v>
      </c>
      <c r="D39" s="6">
        <f ca="1">G6</f>
        <v>100.11672331616268</v>
      </c>
    </row>
    <row r="40" spans="3:4">
      <c r="C40" s="6">
        <f>C39+C7</f>
        <v>92.543273137</v>
      </c>
      <c r="D40" s="6">
        <f ca="1">G7</f>
        <v>100.19337716249962</v>
      </c>
    </row>
    <row r="41" spans="3:4">
      <c r="C41" s="6">
        <f>C40+D9</f>
        <v>93.558800146079435</v>
      </c>
      <c r="D41" s="6">
        <f ca="1">G9</f>
        <v>100.37826518125426</v>
      </c>
    </row>
    <row r="42" spans="3:4">
      <c r="C42" s="6">
        <f>C41+C10</f>
        <v>96.029273222079439</v>
      </c>
      <c r="D42" s="6">
        <f ca="1">G10</f>
        <v>100.89156529080559</v>
      </c>
    </row>
    <row r="43" spans="3:4">
      <c r="C43" s="6">
        <f>C42+D14</f>
        <v>98.067742124237583</v>
      </c>
      <c r="D43" s="6">
        <f ca="1">H10</f>
        <v>101.10000000000001</v>
      </c>
    </row>
    <row r="44" spans="3:4">
      <c r="C44" s="6">
        <f>C43+C15</f>
        <v>107.73818116411566</v>
      </c>
      <c r="D44" s="6">
        <f ca="1">D43</f>
        <v>101.10000000000001</v>
      </c>
    </row>
    <row r="45" spans="3:4">
      <c r="C45" s="6">
        <f>C44+D24</f>
        <v>108.7610716016423</v>
      </c>
      <c r="D45" s="6">
        <f ca="1">G24</f>
        <v>101.13895261353866</v>
      </c>
    </row>
    <row r="46" spans="3:4">
      <c r="C46" s="6">
        <f>C45+C25</f>
        <v>112.9809496816423</v>
      </c>
      <c r="D46" s="6">
        <f ca="1">G25</f>
        <v>101.46104738646135</v>
      </c>
    </row>
    <row r="47" spans="3:4">
      <c r="C47" s="6">
        <f>C46+D27</f>
        <v>114.00384011916894</v>
      </c>
      <c r="D47" s="6">
        <f>G27</f>
        <v>101.5</v>
      </c>
    </row>
    <row r="50" spans="1:2">
      <c r="A50" t="s">
        <v>59</v>
      </c>
    </row>
    <row r="51" spans="1:2">
      <c r="A51" t="s">
        <v>33</v>
      </c>
      <c r="B51" s="34">
        <v>1</v>
      </c>
    </row>
    <row r="52" spans="1:2">
      <c r="A52" t="s">
        <v>34</v>
      </c>
      <c r="B52" s="175">
        <f>B51*RADIANS(180)/32/2/SIN(RADIANS(180)/32/2)</f>
        <v>1.0004017081549652</v>
      </c>
    </row>
    <row r="53" spans="1:2">
      <c r="A53" t="s">
        <v>11</v>
      </c>
      <c r="B53" s="167">
        <f>3.33564/100*$C$17*RADIANS(180)/32/B52</f>
        <v>12.930095570089614</v>
      </c>
    </row>
    <row r="54" spans="1:2">
      <c r="A54" t="s">
        <v>6</v>
      </c>
      <c r="B54" s="162">
        <f>180/32/2</f>
        <v>2.8125</v>
      </c>
    </row>
    <row r="55" spans="1:2">
      <c r="A55" t="s">
        <v>4</v>
      </c>
      <c r="B55" s="34">
        <v>1.0009999999999999</v>
      </c>
    </row>
    <row r="56" spans="1:2">
      <c r="A56" t="s">
        <v>35</v>
      </c>
      <c r="B56" s="162">
        <f>(1+POWER(SIN(RADIANS(B54)/2),2))/POWER(COS(RADIANS(B54/2)),3)*2.54*B55*0.5</f>
        <v>1.273185682928986</v>
      </c>
    </row>
  </sheetData>
  <mergeCells count="3">
    <mergeCell ref="F13:H13"/>
    <mergeCell ref="B20:E20"/>
    <mergeCell ref="F29:H2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4"/>
  <sheetViews>
    <sheetView workbookViewId="0">
      <selection activeCell="D10" sqref="D10"/>
    </sheetView>
  </sheetViews>
  <sheetFormatPr baseColWidth="10" defaultColWidth="9" defaultRowHeight="13"/>
  <cols>
    <col min="3" max="4" width="12.5" customWidth="1"/>
    <col min="5" max="5" width="13.5" customWidth="1"/>
    <col min="6" max="6" width="14.5" customWidth="1"/>
    <col min="7" max="7" width="16.6640625" customWidth="1"/>
    <col min="8" max="8" width="18.6640625" customWidth="1"/>
    <col min="10" max="10" width="11.33203125" customWidth="1"/>
  </cols>
  <sheetData>
    <row r="1" spans="1:14">
      <c r="A1" s="4" t="s">
        <v>37</v>
      </c>
      <c r="D1" s="1"/>
      <c r="E1" t="s">
        <v>0</v>
      </c>
      <c r="G1" s="2"/>
      <c r="H1" t="s">
        <v>1</v>
      </c>
      <c r="J1" s="3"/>
      <c r="K1" t="s">
        <v>38</v>
      </c>
    </row>
    <row r="3" spans="1:14">
      <c r="A3" s="5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4">
      <c r="C4" s="6"/>
      <c r="G4" s="38">
        <v>100</v>
      </c>
      <c r="M4" s="39" t="s">
        <v>39</v>
      </c>
      <c r="N4" t="s">
        <v>40</v>
      </c>
    </row>
    <row r="5" spans="1:14">
      <c r="A5" s="8">
        <v>1.5</v>
      </c>
      <c r="B5" t="s">
        <v>60</v>
      </c>
      <c r="C5" s="15">
        <f>DEGREES(ASIN(H5*D5/3.33564/C18*100))</f>
        <v>5.5248691312259552</v>
      </c>
      <c r="D5" s="61">
        <f>'first pass SW'!D5</f>
        <v>1.0145768738995105</v>
      </c>
      <c r="E5" s="10">
        <f>D5*RADIANS(C5)/SIN(RADIANS(C5))</f>
        <v>1.0161508703867286</v>
      </c>
      <c r="F5" s="11">
        <f>3.33564/100*$C$18/H5</f>
        <v>10.538015442328778</v>
      </c>
      <c r="G5" s="11">
        <f>G4+D5*(1-COS(RADIANS(C5)))/SIN(RADIANS(C5))</f>
        <v>100.04895431991615</v>
      </c>
      <c r="H5" s="69">
        <f>'first pass SW'!H5</f>
        <v>14.190218361978818</v>
      </c>
      <c r="I5" s="11">
        <v>0</v>
      </c>
      <c r="J5" s="11">
        <f>C5</f>
        <v>5.5248691312259552</v>
      </c>
      <c r="K5" s="11">
        <f>A5*2.54/2</f>
        <v>1.905</v>
      </c>
      <c r="L5" s="13">
        <f>(1+POWER(SIN(RADIANS(J5)),2))/POWER(COS(RADIANS(J5)),3)*2.54*A5*0.5</f>
        <v>1.9497042365668831</v>
      </c>
      <c r="M5" s="32">
        <f>H5*1000*E5*100</f>
        <v>1441940.2739502513</v>
      </c>
      <c r="N5" s="32">
        <f>H5*1000*100*D5</f>
        <v>1439706.73856479</v>
      </c>
    </row>
    <row r="6" spans="1:14">
      <c r="B6" t="s">
        <v>17</v>
      </c>
      <c r="C6" s="31">
        <f>E6*COS(RADIANS(C5))</f>
        <v>1.9797565483873789</v>
      </c>
      <c r="E6" s="116">
        <v>1.9889964254645327</v>
      </c>
      <c r="F6" s="7"/>
      <c r="G6" s="11">
        <f>G5+TAN(RADIANS(C5))*C6</f>
        <v>100.24045050689641</v>
      </c>
      <c r="I6" s="6"/>
      <c r="J6" s="6"/>
      <c r="K6" s="6"/>
      <c r="L6" s="6"/>
    </row>
    <row r="7" spans="1:14">
      <c r="E7" s="6"/>
      <c r="I7" s="6"/>
      <c r="J7" s="6"/>
      <c r="K7" s="6"/>
      <c r="L7" s="6"/>
    </row>
    <row r="8" spans="1:14">
      <c r="A8" s="8">
        <v>1.87</v>
      </c>
      <c r="B8" t="s">
        <v>61</v>
      </c>
      <c r="C8" s="15">
        <f ca="1">DEGREES(G13)</f>
        <v>4.5743681921856165</v>
      </c>
      <c r="D8" s="16">
        <v>1.0257755690257144</v>
      </c>
      <c r="E8" s="10">
        <f ca="1">D8*G13/2/SIN(G13/2)/COS(RADIANS(C5)+G13/2)</f>
        <v>1.035659731795779</v>
      </c>
      <c r="F8" s="17">
        <f ca="1">E8/G13</f>
        <v>12.972049723701188</v>
      </c>
      <c r="G8" s="11">
        <f ca="1">F8*(1-COS(G13))*COS(RADIANS(C5))+G6+F8*SIN(G13)*SIN(RADIANS(C5))</f>
        <v>100.38118412767254</v>
      </c>
      <c r="H8" s="10">
        <f ca="1">G13*3.33564*C18/E8/100</f>
        <v>11.527610779608107</v>
      </c>
      <c r="I8" s="11">
        <f>C5</f>
        <v>5.5248691312259552</v>
      </c>
      <c r="J8" s="11">
        <f ca="1">C5+C8</f>
        <v>10.099237323411572</v>
      </c>
      <c r="K8" s="11">
        <f>(1+POWER(SIN(RADIANS(I8)),2))/POWER(COS(RADIANS(I8)),3)*2.54*A8*0.5</f>
        <v>2.4306312815867144</v>
      </c>
      <c r="L8" s="11">
        <f ca="1">(1+POWER(SIN(RADIANS(J8)),2))/POWER(COS(RADIANS(J8)),3)*2.54*A8*0.5</f>
        <v>2.5653329853353077</v>
      </c>
      <c r="M8" s="32">
        <f ca="1">H8*1000*E8*100</f>
        <v>1193868.2288255063</v>
      </c>
      <c r="N8" s="32">
        <f ca="1">H8*1000*100*D8</f>
        <v>1182474.1506959465</v>
      </c>
    </row>
    <row r="9" spans="1:14">
      <c r="B9" t="s">
        <v>17</v>
      </c>
      <c r="C9" s="30">
        <f ca="1">E9*COS(RADIANS(C5+C8))</f>
        <v>2.7744676030289979</v>
      </c>
      <c r="E9" s="116">
        <v>2.8181331266526257</v>
      </c>
      <c r="G9" s="11">
        <f ca="1">G8+TAN(RADIANS(C10))*C9</f>
        <v>100.87535397628679</v>
      </c>
      <c r="H9" s="11">
        <f ca="1">G9+F10*(1-COS(RADIANS(C10)))</f>
        <v>101.14846524649887</v>
      </c>
      <c r="I9" s="6"/>
      <c r="J9" s="6"/>
      <c r="K9" s="6"/>
      <c r="L9" s="6"/>
    </row>
    <row r="10" spans="1:14">
      <c r="A10" s="8">
        <v>1.02</v>
      </c>
      <c r="B10" s="6" t="s">
        <v>62</v>
      </c>
      <c r="C10" s="11">
        <f ca="1">C5+C8</f>
        <v>10.099237323411572</v>
      </c>
      <c r="D10" s="16">
        <v>3.1028875455801757</v>
      </c>
      <c r="E10" s="10">
        <f ca="1">D10*RADIANS(C10)/2/SIN(RADIANS(C10)/2)</f>
        <v>3.1069080485042089</v>
      </c>
      <c r="F10" s="11">
        <f ca="1">E10/(RADIANS(C10))</f>
        <v>17.626352645645568</v>
      </c>
      <c r="G10" s="118">
        <v>101.14846524649887</v>
      </c>
      <c r="H10" s="10">
        <f ca="1">RADIANS(C10)*3.33564*C18/E10/100</f>
        <v>8.483702966506339</v>
      </c>
      <c r="I10" s="11">
        <f ca="1">C10/2</f>
        <v>5.0496186617057859</v>
      </c>
      <c r="J10" s="11">
        <f ca="1">C10/2</f>
        <v>5.0496186617057859</v>
      </c>
      <c r="K10" s="13">
        <f ca="1">(1+POWER(SIN(RADIANS(I10)),2))/POWER(COS(RADIANS(I10)),3)*2.54*A10*0.5</f>
        <v>1.3207543199316181</v>
      </c>
      <c r="L10" s="13">
        <f ca="1">(1+POWER(SIN(RADIANS(J10)),2))/POWER(COS(RADIANS(J10)),3)*2.54*A10*0.5</f>
        <v>1.3207543199316181</v>
      </c>
      <c r="M10" s="32">
        <f ca="1">H10*1000*E10*100</f>
        <v>2635808.5027757576</v>
      </c>
      <c r="N10" s="32">
        <f ca="1">H10*1000*100*D10</f>
        <v>2632397.6275174106</v>
      </c>
    </row>
    <row r="12" spans="1:14">
      <c r="C12" s="6"/>
      <c r="F12" s="152" t="s">
        <v>63</v>
      </c>
      <c r="G12" s="152"/>
      <c r="H12" s="152"/>
    </row>
    <row r="13" spans="1:14">
      <c r="B13" s="19"/>
      <c r="C13" s="6"/>
      <c r="F13" s="20" t="s">
        <v>22</v>
      </c>
      <c r="G13" s="21">
        <f ca="1">G13-G14/G15</f>
        <v>7.9837786152139753E-2</v>
      </c>
      <c r="H13" s="22">
        <f ca="1">DEGREES(G13)</f>
        <v>4.5743681921856165</v>
      </c>
    </row>
    <row r="14" spans="1:14">
      <c r="B14" t="s">
        <v>17</v>
      </c>
      <c r="C14" s="6">
        <f ca="1">D5+C6+D8+C9+D10</f>
        <v>9.8974641399217766</v>
      </c>
      <c r="F14" s="20" t="s">
        <v>23</v>
      </c>
      <c r="G14" s="23">
        <f ca="1">G10-G4-F5*(1-COS(RADIANS(C5)))-C6*TAN(RADIANS(C5))-D8*(SIN(G13/2)*COS(H14)/COS(H14+G13/2)+SIN(H14)*SIN(G13)/2/SIN(G13/2)/COS(G13/2+H14))-C9*TAN(RADIANS(C5)+G13)-D10*SIN(RADIANS(C5)/2+G13/2)</f>
        <v>0</v>
      </c>
      <c r="H14" s="24">
        <f>RADIANS(C5)</f>
        <v>9.6427157081691584E-2</v>
      </c>
    </row>
    <row r="15" spans="1:14">
      <c r="B15" t="s">
        <v>24</v>
      </c>
      <c r="C15" s="116">
        <v>8.2754390398780799</v>
      </c>
      <c r="F15" s="26" t="s">
        <v>25</v>
      </c>
      <c r="G15" s="27">
        <f ca="1">-(D8/2+C9)/POWER(COS(H14+G13/2),2)-D10/2*COS(H14/2+G13/2)</f>
        <v>-4.8946559702590573</v>
      </c>
      <c r="H15" s="28"/>
    </row>
    <row r="17" spans="1:14">
      <c r="C17" t="s">
        <v>26</v>
      </c>
    </row>
    <row r="18" spans="1:14">
      <c r="A18" t="s">
        <v>27</v>
      </c>
      <c r="B18" s="32">
        <f>4483-'first passNE'!B52</f>
        <v>4482.4890010899999</v>
      </c>
      <c r="C18" s="7">
        <f>SQRT($B$18*$B$18+2*'first passNE'!$B$52*$B$18)</f>
        <v>4482.9999708766582</v>
      </c>
    </row>
    <row r="19" spans="1:14">
      <c r="C19" s="7"/>
    </row>
    <row r="21" spans="1:14">
      <c r="B21" s="153"/>
      <c r="C21" s="153"/>
      <c r="D21" s="153"/>
      <c r="E21" s="153"/>
      <c r="G21" s="135"/>
      <c r="H21" s="135"/>
      <c r="I21" s="135"/>
      <c r="J21" s="135"/>
      <c r="K21" s="135"/>
      <c r="L21" s="135"/>
    </row>
    <row r="23" spans="1:14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</row>
    <row r="24" spans="1:14">
      <c r="C24" s="6"/>
      <c r="E24" s="6"/>
      <c r="G24" s="68">
        <f ca="1">H9</f>
        <v>101.14846524649887</v>
      </c>
    </row>
    <row r="25" spans="1:14">
      <c r="A25" s="30">
        <v>1.02</v>
      </c>
      <c r="B25" t="s">
        <v>64</v>
      </c>
      <c r="C25" s="15">
        <f ca="1">DEGREES(G31)</f>
        <v>4.199940591539967</v>
      </c>
      <c r="D25" s="16">
        <v>1.0011996982129556</v>
      </c>
      <c r="E25" s="10">
        <f ca="1">D25*G31/2/SIN(G31/2)</f>
        <v>1.0014238894150338</v>
      </c>
      <c r="F25" s="1">
        <f ca="1">D25/2/SIN(G31/2)</f>
        <v>13.661469993797912</v>
      </c>
      <c r="G25" s="11">
        <f ca="1">D25*D25/2/F25+G24</f>
        <v>101.18515239788729</v>
      </c>
      <c r="H25" s="10">
        <f ca="1">2*SIN(G31/2)/D25*C18*3.33564/100</f>
        <v>10.94587480676951</v>
      </c>
      <c r="I25" s="11">
        <f ca="1">C25/2</f>
        <v>2.0999702957699835</v>
      </c>
      <c r="J25" s="11">
        <f ca="1">C25/2</f>
        <v>2.0999702957699835</v>
      </c>
      <c r="K25" s="11">
        <f ca="1">(1+POWER(SIN(G31/2),2))/POWER(COS(G31/2),3)*A25*2.54/2</f>
        <v>1.2997563048113607</v>
      </c>
      <c r="L25" s="11">
        <f ca="1">K25</f>
        <v>1.2997563048113607</v>
      </c>
      <c r="M25" s="32">
        <f ca="1">H25*1000*E25*100</f>
        <v>1096146.0522045153</v>
      </c>
      <c r="N25" s="32">
        <f ca="1">H25*1000*100*D25</f>
        <v>1095900.6553214428</v>
      </c>
    </row>
    <row r="26" spans="1:14">
      <c r="B26" t="s">
        <v>17</v>
      </c>
      <c r="C26" s="116">
        <f ca="1">E26*COS(RADIANS(C25))</f>
        <v>3.7878783681753201</v>
      </c>
      <c r="E26" s="116">
        <v>3.7980779044719006</v>
      </c>
      <c r="F26" s="6"/>
      <c r="G26" s="11">
        <f ca="1">G25+TAN(G31)*C26</f>
        <v>101.46331284861158</v>
      </c>
      <c r="H26" s="6"/>
      <c r="I26" s="6"/>
      <c r="J26" s="6"/>
      <c r="K26" s="6"/>
      <c r="L26" s="6"/>
    </row>
    <row r="27" spans="1:14">
      <c r="E27" s="6"/>
      <c r="F27" s="6"/>
      <c r="G27" s="11">
        <f ca="1">G26+D28*D28/2/F28</f>
        <v>101.5</v>
      </c>
      <c r="H27" s="6"/>
      <c r="I27" s="6"/>
      <c r="J27" s="6"/>
      <c r="K27" s="6"/>
      <c r="L27" s="6"/>
    </row>
    <row r="28" spans="1:14">
      <c r="A28" s="30">
        <v>1.02</v>
      </c>
      <c r="B28" t="s">
        <v>65</v>
      </c>
      <c r="C28" s="15">
        <f ca="1">C25</f>
        <v>4.199940591539967</v>
      </c>
      <c r="D28" s="16">
        <v>1.0011996982129556</v>
      </c>
      <c r="E28" s="11">
        <f ca="1">D28*G31/2/SIN(G31/2)</f>
        <v>1.0014238894150338</v>
      </c>
      <c r="F28" s="1">
        <f ca="1">D28/2/SIN(G31/2)</f>
        <v>13.661469993797912</v>
      </c>
      <c r="G28" s="31">
        <v>101.5</v>
      </c>
      <c r="H28" s="11">
        <f ca="1">2*SIN(G31/2)/D28*C18*3.33564/100</f>
        <v>10.94587480676951</v>
      </c>
      <c r="I28" s="11">
        <f ca="1">C28/2</f>
        <v>2.0999702957699835</v>
      </c>
      <c r="J28" s="11">
        <f ca="1">C28/2</f>
        <v>2.0999702957699835</v>
      </c>
      <c r="K28" s="11">
        <f ca="1">(1+POWER(SIN(G31/2),2))/POWER(COS(G31/2),3)*2.54*A28*0.5</f>
        <v>1.2997563048113607</v>
      </c>
      <c r="L28" s="11">
        <f ca="1">K28</f>
        <v>1.2997563048113607</v>
      </c>
      <c r="M28" s="32">
        <f ca="1">H28*1000*E28*100</f>
        <v>1096146.0522045153</v>
      </c>
      <c r="N28" s="32">
        <f ca="1">H28*1000*100*D28</f>
        <v>1095900.6553214428</v>
      </c>
    </row>
    <row r="30" spans="1:14">
      <c r="F30" s="152" t="s">
        <v>66</v>
      </c>
      <c r="G30" s="152"/>
      <c r="H30" s="152"/>
    </row>
    <row r="31" spans="1:14">
      <c r="B31" s="19"/>
      <c r="C31" s="6"/>
      <c r="F31" s="20" t="s">
        <v>22</v>
      </c>
      <c r="G31" s="23">
        <f ca="1">G31-G32/G33</f>
        <v>7.3302791710530724E-2</v>
      </c>
      <c r="H31" s="22">
        <f ca="1">DEGREES(G31)</f>
        <v>4.199940591539967</v>
      </c>
      <c r="I31" s="6"/>
    </row>
    <row r="32" spans="1:14">
      <c r="B32" t="s">
        <v>17</v>
      </c>
      <c r="C32" s="32">
        <f ca="1">C14+E20+D25+C26+D28+C15</f>
        <v>23.963180944401088</v>
      </c>
      <c r="F32" s="20" t="s">
        <v>23</v>
      </c>
      <c r="G32" s="23">
        <f ca="1">G28-G24-D25*SIN(G31/2)-D28*SIN(G31/2)-C26*TAN(G31)</f>
        <v>0</v>
      </c>
      <c r="H32" s="24"/>
    </row>
    <row r="33" spans="1:8">
      <c r="E33" s="6"/>
      <c r="F33" s="26" t="s">
        <v>25</v>
      </c>
      <c r="G33" s="27">
        <f ca="1">-0.5*D25*COS(G31/2)-0.5*D28*COS(G31/2)-C26/COS(G31)/COS(G31)</f>
        <v>-4.8088322101211851</v>
      </c>
      <c r="H33" s="28"/>
    </row>
    <row r="35" spans="1:8">
      <c r="B35" t="s">
        <v>17</v>
      </c>
      <c r="C35" t="s">
        <v>10</v>
      </c>
    </row>
    <row r="36" spans="1:8">
      <c r="B36" s="44">
        <v>-91.525080000000003</v>
      </c>
      <c r="C36" s="6">
        <f>G4</f>
        <v>100</v>
      </c>
    </row>
    <row r="37" spans="1:8">
      <c r="B37" s="6">
        <f>B36+D5</f>
        <v>-90.510503126100488</v>
      </c>
      <c r="C37" s="6">
        <f>G5</f>
        <v>100.04895431991615</v>
      </c>
    </row>
    <row r="38" spans="1:8">
      <c r="B38" s="6">
        <f>B37+C6</f>
        <v>-88.530746577713103</v>
      </c>
      <c r="C38" s="6">
        <f>G6</f>
        <v>100.24045050689641</v>
      </c>
    </row>
    <row r="39" spans="1:8">
      <c r="B39" s="6">
        <f>B38+D8</f>
        <v>-87.504971008687392</v>
      </c>
      <c r="C39" s="6">
        <f ca="1">G8</f>
        <v>100.38118412767254</v>
      </c>
    </row>
    <row r="40" spans="1:8">
      <c r="B40" s="6">
        <f ca="1">B39+C9</f>
        <v>-84.730503405658396</v>
      </c>
      <c r="C40" s="6">
        <f ca="1">G9</f>
        <v>100.87535397628679</v>
      </c>
    </row>
    <row r="41" spans="1:8">
      <c r="B41" s="6">
        <f ca="1">B40+D10</f>
        <v>-81.627615860078222</v>
      </c>
      <c r="C41" s="6">
        <f ca="1">H9</f>
        <v>101.14846524649887</v>
      </c>
    </row>
    <row r="42" spans="1:8">
      <c r="B42" s="6">
        <f ca="1">B41+C15</f>
        <v>-73.352176820200143</v>
      </c>
      <c r="C42" s="6">
        <f ca="1">G24</f>
        <v>101.14846524649887</v>
      </c>
    </row>
    <row r="43" spans="1:8">
      <c r="B43" s="6">
        <f ca="1">B42+D25</f>
        <v>-72.350977121987185</v>
      </c>
      <c r="C43" s="6">
        <f ca="1">G25</f>
        <v>101.18515239788729</v>
      </c>
    </row>
    <row r="44" spans="1:8">
      <c r="B44" s="6">
        <f ca="1">B43+C26</f>
        <v>-68.563098753811872</v>
      </c>
      <c r="C44" s="6">
        <f ca="1">G26</f>
        <v>101.46331284861158</v>
      </c>
    </row>
    <row r="45" spans="1:8">
      <c r="B45" s="6">
        <f ca="1">B44+D28</f>
        <v>-67.561899055598914</v>
      </c>
      <c r="C45" s="6">
        <f ca="1">G27</f>
        <v>101.5</v>
      </c>
    </row>
    <row r="48" spans="1:8">
      <c r="A48" t="s">
        <v>67</v>
      </c>
    </row>
    <row r="49" spans="1:2">
      <c r="A49" t="s">
        <v>33</v>
      </c>
      <c r="B49" s="34">
        <v>2</v>
      </c>
    </row>
    <row r="50" spans="1:2">
      <c r="A50" t="s">
        <v>34</v>
      </c>
      <c r="B50" s="10">
        <f>B49*RADIANS(180)/32/2/SIN(RADIANS(180)/32/2)</f>
        <v>2.0008034163099304</v>
      </c>
    </row>
    <row r="51" spans="1:2">
      <c r="A51" t="s">
        <v>11</v>
      </c>
      <c r="B51" s="10">
        <f>3.33564/100*$C$18*RADIANS(180)/32/B50</f>
        <v>7.3374200695182088</v>
      </c>
    </row>
    <row r="52" spans="1:2">
      <c r="A52" t="s">
        <v>6</v>
      </c>
      <c r="B52" s="11">
        <f>180/32/2</f>
        <v>2.8125</v>
      </c>
    </row>
    <row r="53" spans="1:2">
      <c r="A53" t="s">
        <v>4</v>
      </c>
      <c r="B53" s="34">
        <v>1.0009999999999999</v>
      </c>
    </row>
    <row r="54" spans="1:2">
      <c r="A54" t="s">
        <v>35</v>
      </c>
      <c r="B54" s="11">
        <f>(1+POWER(SIN(RADIANS(B52)/2),2))/POWER(COS(RADIANS(B52/2)),3)*2.54*B53*0.5</f>
        <v>1.273185682928986</v>
      </c>
    </row>
  </sheetData>
  <mergeCells count="3">
    <mergeCell ref="F12:H12"/>
    <mergeCell ref="B21:E21"/>
    <mergeCell ref="F30:H30"/>
  </mergeCells>
  <conditionalFormatting sqref="D8">
    <cfRule type="cellIs" dxfId="26" priority="5" operator="notEqual">
      <formula>AO8</formula>
    </cfRule>
  </conditionalFormatting>
  <conditionalFormatting sqref="D10">
    <cfRule type="cellIs" dxfId="25" priority="4" operator="notEqual">
      <formula>AO10</formula>
    </cfRule>
  </conditionalFormatting>
  <conditionalFormatting sqref="G10">
    <cfRule type="cellIs" dxfId="24" priority="3" operator="notEqual">
      <formula>AR10</formula>
    </cfRule>
  </conditionalFormatting>
  <conditionalFormatting sqref="D25">
    <cfRule type="cellIs" dxfId="23" priority="2" operator="notEqual">
      <formula>AO25</formula>
    </cfRule>
  </conditionalFormatting>
  <conditionalFormatting sqref="D28">
    <cfRule type="cellIs" dxfId="22" priority="1" operator="notEqual">
      <formula>AO28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ignoredErrors>
    <ignoredError sqref="E8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O69"/>
  <sheetViews>
    <sheetView zoomScale="136" workbookViewId="0">
      <selection activeCell="G12" sqref="G12"/>
    </sheetView>
  </sheetViews>
  <sheetFormatPr baseColWidth="10" defaultColWidth="9" defaultRowHeight="13"/>
  <cols>
    <col min="1" max="1" width="9" style="39"/>
    <col min="2" max="2" width="9.83203125" style="39" customWidth="1"/>
    <col min="3" max="3" width="19.5" style="39" customWidth="1"/>
    <col min="4" max="4" width="16.33203125" style="39" customWidth="1"/>
    <col min="5" max="5" width="15.6640625" style="39" customWidth="1"/>
    <col min="6" max="6" width="16.6640625" style="39" customWidth="1"/>
    <col min="7" max="7" width="13.6640625" style="39" customWidth="1"/>
    <col min="8" max="8" width="12.6640625" style="39" customWidth="1"/>
    <col min="9" max="12" width="9" style="39"/>
    <col min="13" max="13" width="18.83203125" style="39" customWidth="1"/>
    <col min="14" max="14" width="15.5" style="39" customWidth="1"/>
    <col min="15" max="16384" width="9" style="39"/>
  </cols>
  <sheetData>
    <row r="1" spans="1:15">
      <c r="C1" s="189"/>
      <c r="D1" s="39" t="s">
        <v>0</v>
      </c>
      <c r="F1" s="41"/>
      <c r="G1" s="39" t="s">
        <v>1</v>
      </c>
      <c r="I1" s="42"/>
      <c r="J1" s="39" t="s">
        <v>38</v>
      </c>
    </row>
    <row r="2" spans="1:15">
      <c r="A2" s="40" t="s">
        <v>3</v>
      </c>
    </row>
    <row r="4" spans="1:15">
      <c r="A4" s="43" t="s">
        <v>4</v>
      </c>
      <c r="B4" s="39" t="s">
        <v>5</v>
      </c>
      <c r="C4" s="39" t="s">
        <v>6</v>
      </c>
      <c r="D4" s="39" t="s">
        <v>7</v>
      </c>
      <c r="E4" s="39" t="s">
        <v>8</v>
      </c>
      <c r="F4" s="39" t="s">
        <v>9</v>
      </c>
      <c r="G4" s="39" t="s">
        <v>10</v>
      </c>
      <c r="H4" s="39" t="s">
        <v>11</v>
      </c>
      <c r="I4" s="39" t="s">
        <v>12</v>
      </c>
      <c r="J4" s="39" t="s">
        <v>13</v>
      </c>
      <c r="K4" s="39" t="s">
        <v>14</v>
      </c>
      <c r="L4" s="39" t="s">
        <v>15</v>
      </c>
    </row>
    <row r="5" spans="1:15">
      <c r="C5" s="44"/>
      <c r="G5" s="46">
        <v>100</v>
      </c>
      <c r="M5" s="39" t="s">
        <v>39</v>
      </c>
      <c r="N5" t="s">
        <v>40</v>
      </c>
    </row>
    <row r="6" spans="1:15">
      <c r="A6" s="8">
        <v>1.5</v>
      </c>
      <c r="B6" s="39" t="s">
        <v>16</v>
      </c>
      <c r="C6" s="190">
        <f ca="1">DEGREES(ASIN(H6*D6/3.33564/C30*100))</f>
        <v>5.7021188937254736</v>
      </c>
      <c r="D6" s="57">
        <f>'first passNE'!D6</f>
        <v>1.5</v>
      </c>
      <c r="E6" s="191">
        <f ca="1">D6*RADIANS(C6)/SIN(RADIANS(C6))</f>
        <v>1.5024789590179206</v>
      </c>
      <c r="F6" s="191">
        <f ca="1">3.33564/100*$C$30/H6</f>
        <v>15.097142792596561</v>
      </c>
      <c r="G6" s="191">
        <f ca="1">G5+F6*(1-COS(RADIANS(C6)))</f>
        <v>100.07470222855869</v>
      </c>
      <c r="H6" s="70">
        <f ca="1">'second pass NE'!H6</f>
        <v>13.58812472731378</v>
      </c>
      <c r="I6" s="191">
        <v>0</v>
      </c>
      <c r="J6" s="191">
        <f ca="1">C6</f>
        <v>5.7021188937254736</v>
      </c>
      <c r="K6" s="191">
        <f>A6*2.54/2</f>
        <v>1.905</v>
      </c>
      <c r="L6" s="193">
        <f ca="1">(1+POWER(SIN(RADIANS(J6)),2))/POWER(COS(RADIANS(J6)),3)*2.54*A6*0.5</f>
        <v>1.9526481629009353</v>
      </c>
      <c r="M6" s="6">
        <f ca="1">H6*1000*E6*100</f>
        <v>2041587.1495300075</v>
      </c>
      <c r="N6" s="6">
        <f ca="1">H6*1000*100*D6</f>
        <v>2038218.7090970669</v>
      </c>
    </row>
    <row r="7" spans="1:15">
      <c r="B7" s="39" t="s">
        <v>17</v>
      </c>
      <c r="C7" s="57">
        <f>'second pass NE'!C7</f>
        <v>0.48955313700000003</v>
      </c>
      <c r="D7" s="44"/>
      <c r="E7" s="191">
        <f ca="1">C7/COS(RADIANS(C6))</f>
        <v>0.491987542393445</v>
      </c>
      <c r="F7" s="44"/>
      <c r="G7" s="191">
        <f ca="1">G6+TAN(RADIANS(C6))*C7</f>
        <v>100.12358441267317</v>
      </c>
      <c r="H7" s="44"/>
      <c r="I7" s="44"/>
      <c r="J7" s="44"/>
      <c r="K7" s="44"/>
      <c r="L7" s="44"/>
      <c r="M7" s="44"/>
      <c r="N7" s="44"/>
    </row>
    <row r="8" spans="1:15"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1:15">
      <c r="A9" s="8">
        <v>1.87</v>
      </c>
      <c r="B9" s="39" t="s">
        <v>51</v>
      </c>
      <c r="C9" s="190">
        <f ca="1">DEGREES(G27)</f>
        <v>1.805492289492389</v>
      </c>
      <c r="D9" s="57">
        <f>'second pass NE'!D9</f>
        <v>1.0155270090794399</v>
      </c>
      <c r="E9" s="191">
        <f ca="1">D9*RADIANS(C9)/2/SIN(RADIANS(C9)/2)/COS(RADIANS(C6)+RADIANS(C9)/2)</f>
        <v>1.0223543908492598</v>
      </c>
      <c r="F9" s="191">
        <f ca="1">3.33564/100*$C$30/H9</f>
        <v>32.443556864371594</v>
      </c>
      <c r="G9" s="191">
        <f ca="1">F9*(1-COS(RADIANS(C9)))*COS(RADIANS(C6))+G7+F9*SIN(RADIANS(C9))*SIN(RADIANS(C6))</f>
        <v>100.24117228119268</v>
      </c>
      <c r="H9" s="57">
        <f ca="1">'second pass NE'!H9</f>
        <v>6.3230385049781059</v>
      </c>
      <c r="I9" s="191">
        <f ca="1">C6</f>
        <v>5.7021188937254736</v>
      </c>
      <c r="J9" s="191">
        <f ca="1">C9+C6</f>
        <v>7.5076111832178629</v>
      </c>
      <c r="K9" s="191">
        <f ca="1">(1+POWER(SIN(RADIANS(I9)),2))/POWER(COS(RADIANS(I9)),3)*2.54*A9*0.5</f>
        <v>2.4343013764164994</v>
      </c>
      <c r="L9" s="191">
        <f ca="1">(1+POWER(SIN(RADIANS(J9)),2))/POWER(COS(RADIANS(J9)),3)*2.54*A9*0.5</f>
        <v>2.4786425744314435</v>
      </c>
      <c r="M9" s="6">
        <f ca="1">H9*1000*E9*100</f>
        <v>646438.61790733063</v>
      </c>
      <c r="N9" s="6">
        <f ca="1">H9*1000*100*D9</f>
        <v>642121.63812545501</v>
      </c>
    </row>
    <row r="10" spans="1:15">
      <c r="B10" s="39" t="s">
        <v>17</v>
      </c>
      <c r="C10" s="31">
        <v>3.6250309999999999</v>
      </c>
      <c r="D10" s="31" t="s">
        <v>21</v>
      </c>
      <c r="E10" s="191">
        <f ca="1">C10/COS(G27+RADIANS(C6))</f>
        <v>3.6563752272759436</v>
      </c>
      <c r="F10" s="44"/>
      <c r="G10" s="191">
        <f ca="1">G9+TAN(RADIANS(C9+C6))*C10</f>
        <v>100.71890657101936</v>
      </c>
      <c r="H10" s="191"/>
      <c r="I10" s="44"/>
      <c r="J10" s="44"/>
      <c r="K10" s="44"/>
      <c r="L10" s="44"/>
      <c r="M10" s="44"/>
      <c r="N10" s="44"/>
    </row>
    <row r="11" spans="1:15">
      <c r="A11" s="8">
        <v>1</v>
      </c>
      <c r="B11" s="44" t="s">
        <v>68</v>
      </c>
      <c r="C11" s="191">
        <v>3.78</v>
      </c>
      <c r="D11" s="64">
        <v>0.99935282392598712</v>
      </c>
      <c r="E11" s="191">
        <f>D11*RADIANS(C11/2)/SIN(RADIANS(C11/2))</f>
        <v>0.99953408354912676</v>
      </c>
      <c r="F11" s="191">
        <f>E11/(RADIANS(C11))</f>
        <v>15.150551446254383</v>
      </c>
      <c r="G11" s="192">
        <f ca="1">G10+F11*SIN(RADIANS(C11))*RADIANS(C6+C9-C11/2)</f>
        <v>100.81683562572162</v>
      </c>
      <c r="H11" s="191">
        <f>RADIANS(C11)/E11*3.33564/100*C30</f>
        <v>13.540223933075707</v>
      </c>
      <c r="I11" s="191">
        <f>C11/2</f>
        <v>1.89</v>
      </c>
      <c r="J11" s="191">
        <f>C11/2</f>
        <v>1.89</v>
      </c>
      <c r="K11" s="193">
        <f>(1+POWER(SIN(RADIANS(I11)),2))/POWER(COS(RADIANS(I11)),3)*2.54*A11*0.5</f>
        <v>1.2734586183824352</v>
      </c>
      <c r="L11" s="193">
        <f>(1+POWER(SIN(RADIANS(J11)),2))/POWER(COS(RADIANS(J11)),3)*2.54*A11*0.5</f>
        <v>1.2734586183824352</v>
      </c>
      <c r="M11" s="6">
        <f>H11*1000*E11*100</f>
        <v>1353391.5319996781</v>
      </c>
      <c r="N11" s="6">
        <f>H11*1000*100*D11</f>
        <v>1353146.1024109444</v>
      </c>
    </row>
    <row r="12" spans="1:15">
      <c r="B12" s="39" t="s">
        <v>17</v>
      </c>
      <c r="C12" s="31">
        <v>0.41899999999999998</v>
      </c>
      <c r="D12" s="44"/>
      <c r="E12" s="191">
        <f ca="1">C12/COS(G28+RADIANS(C6)-RADIANS(C11))</f>
        <v>0.41923588642864479</v>
      </c>
      <c r="F12" s="191"/>
      <c r="G12" s="191">
        <f ca="1">G11+TAN(RADIANS(C6+C9-C11))*C12</f>
        <v>100.84413390963802</v>
      </c>
      <c r="H12" s="191">
        <f ca="1">G12+F13*(1-COS(RADIANS(C13)))</f>
        <v>100.87667714081167</v>
      </c>
      <c r="I12" s="44"/>
      <c r="J12" s="44"/>
      <c r="K12" s="44"/>
      <c r="L12" s="44"/>
      <c r="M12" s="44"/>
      <c r="N12" s="44"/>
    </row>
    <row r="13" spans="1:15">
      <c r="A13" s="8">
        <v>1.1599999999999999</v>
      </c>
      <c r="B13" t="s">
        <v>69</v>
      </c>
      <c r="C13" s="191">
        <f ca="1">C6+C9-C11</f>
        <v>3.7276111832178631</v>
      </c>
      <c r="D13" s="64">
        <v>1.0005972133130701</v>
      </c>
      <c r="E13" s="191">
        <f ca="1">D13*RADIANS(C13)/2/SIN(RADIANS(C13)/2)</f>
        <v>1.000773702300829</v>
      </c>
      <c r="F13" s="191">
        <f ca="1">E13/(RADIANS(C13))</f>
        <v>15.382534972443262</v>
      </c>
      <c r="G13" s="192">
        <f ca="1">D13*D13/2/F13+G12</f>
        <v>100.87667714081167</v>
      </c>
      <c r="H13" s="191">
        <f ca="1">RADIANS(C13)/E13*3.33564/100*C30</f>
        <v>13.336024241736858</v>
      </c>
      <c r="I13" s="191">
        <f ca="1">C13/2</f>
        <v>1.8638055916089316</v>
      </c>
      <c r="J13" s="191">
        <f ca="1">C13/2</f>
        <v>1.8638055916089316</v>
      </c>
      <c r="K13" s="193">
        <f ca="1">(1+POWER(SIN(RADIANS(I13)),2))/POWER(COS(RADIANS(I13)),3)*2.54*A13*0.5</f>
        <v>1.477101440741128</v>
      </c>
      <c r="L13" s="193">
        <f ca="1">(1+POWER(SIN(RADIANS(J13)),2))/POWER(COS(RADIANS(J13)),3)*2.54*A13*0.5</f>
        <v>1.477101440741128</v>
      </c>
      <c r="M13" s="6">
        <f ca="1">H13*1000*E13*100</f>
        <v>1334634.2354376602</v>
      </c>
      <c r="N13" s="6">
        <f ca="1">H13*1000*100*D13</f>
        <v>1334398.8692957449</v>
      </c>
      <c r="O13"/>
    </row>
    <row r="14" spans="1: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>
      <c r="A15"/>
      <c r="B15"/>
      <c r="C15"/>
      <c r="D15"/>
      <c r="E15"/>
      <c r="F15"/>
      <c r="G15" s="7"/>
      <c r="H15"/>
      <c r="I15"/>
      <c r="J15"/>
      <c r="K15"/>
      <c r="L15"/>
      <c r="M15"/>
      <c r="N15"/>
      <c r="O15"/>
    </row>
    <row r="16" spans="1:15">
      <c r="A16"/>
      <c r="B16"/>
      <c r="C16" t="s">
        <v>21</v>
      </c>
      <c r="D16"/>
      <c r="E16"/>
      <c r="F16"/>
      <c r="G16"/>
      <c r="H16"/>
      <c r="I16"/>
      <c r="J16"/>
      <c r="K16"/>
      <c r="L16"/>
      <c r="M16"/>
      <c r="N16"/>
      <c r="O16"/>
    </row>
    <row r="17" spans="1:15">
      <c r="A17"/>
      <c r="B17"/>
      <c r="C17"/>
      <c r="D17"/>
      <c r="E17"/>
      <c r="F17"/>
      <c r="H17"/>
      <c r="I17"/>
      <c r="J17"/>
      <c r="K17"/>
      <c r="L17"/>
      <c r="M17"/>
      <c r="N17"/>
      <c r="O17"/>
    </row>
    <row r="18" spans="1:1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>
      <c r="A19"/>
      <c r="B19"/>
      <c r="C19"/>
      <c r="D19"/>
      <c r="E19" s="7"/>
      <c r="F19"/>
      <c r="G19"/>
      <c r="H19" s="7"/>
      <c r="I19"/>
      <c r="J19"/>
      <c r="K19"/>
      <c r="L19"/>
      <c r="M19"/>
      <c r="N19"/>
      <c r="O19"/>
    </row>
    <row r="20" spans="1:15">
      <c r="A20"/>
      <c r="B20"/>
      <c r="C20"/>
      <c r="D20"/>
      <c r="E20"/>
      <c r="F20"/>
      <c r="G20"/>
      <c r="H20" s="7"/>
      <c r="I20"/>
      <c r="J20"/>
      <c r="K20"/>
      <c r="L20"/>
      <c r="M20"/>
      <c r="N20"/>
      <c r="O20"/>
    </row>
    <row r="21" spans="1: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>
      <c r="B26" s="39" t="s">
        <v>17</v>
      </c>
      <c r="C26" s="44">
        <f>D6+C7+D9+C10+D11</f>
        <v>7.6294639700054265</v>
      </c>
      <c r="F26" s="71" t="s">
        <v>53</v>
      </c>
      <c r="G26" s="72"/>
      <c r="H26" s="73"/>
    </row>
    <row r="27" spans="1:15">
      <c r="B27" s="47" t="s">
        <v>24</v>
      </c>
      <c r="C27" s="74">
        <v>11.6799970789942</v>
      </c>
      <c r="F27" s="75" t="s">
        <v>22</v>
      </c>
      <c r="G27" s="50">
        <f ca="1">G27-G28/G29</f>
        <v>3.1511785071012807E-2</v>
      </c>
      <c r="H27" s="49">
        <f ca="1">DEGREES(G27)</f>
        <v>1.805492289492389</v>
      </c>
      <c r="I27" s="39" t="s">
        <v>70</v>
      </c>
      <c r="J27" s="39" t="s">
        <v>71</v>
      </c>
    </row>
    <row r="28" spans="1:15">
      <c r="F28" s="75" t="s">
        <v>23</v>
      </c>
      <c r="G28" s="50">
        <f ca="1">0.5*H9*D9/3.33564/C30*100-SIN(G27/2)*COS(G27/2+RADIANS(C6))</f>
        <v>0</v>
      </c>
      <c r="H28" s="49"/>
      <c r="I28" s="39">
        <v>9356.1059999999998</v>
      </c>
      <c r="J28" s="39">
        <v>9718.1090000000004</v>
      </c>
      <c r="K28" s="39">
        <f ca="1">(J28-I28)/COS(RADIANS(C6+C9))/100</f>
        <v>3.651330985582125</v>
      </c>
    </row>
    <row r="29" spans="1:15">
      <c r="C29" s="39" t="s">
        <v>26</v>
      </c>
      <c r="F29" s="76" t="s">
        <v>25</v>
      </c>
      <c r="G29" s="53">
        <f ca="1">-COS(RADIANS(C6)+G27)/2</f>
        <v>-0.49571375674983781</v>
      </c>
      <c r="H29" s="77"/>
      <c r="J29" s="39">
        <v>9818.2960000000003</v>
      </c>
    </row>
    <row r="30" spans="1:15">
      <c r="A30" s="39" t="s">
        <v>27</v>
      </c>
      <c r="B30" s="56">
        <f>650+5*1100-'first passNE'!B52</f>
        <v>6149.4890010899999</v>
      </c>
      <c r="C30" s="46">
        <f>SQRT(B30*B30+2*'first passNE'!B52*B30)</f>
        <v>6149.9999787707411</v>
      </c>
      <c r="J30" s="39">
        <f ca="1">(J29-J28)/COS(G27/2+RADIANS(C9)/2)/100</f>
        <v>1.0023676306383567</v>
      </c>
    </row>
    <row r="32" spans="1:15">
      <c r="C32" s="55">
        <f ca="1">3323.6715*COS(RADIANS(C6+C9))</f>
        <v>3295.1793709347371</v>
      </c>
      <c r="D32" s="39" t="s">
        <v>72</v>
      </c>
      <c r="E32" s="46">
        <f>(G32-F32)/COS(RADIANS(C11/2))/100</f>
        <v>0.99840314390064522</v>
      </c>
      <c r="F32" s="46">
        <v>9859.7080000000005</v>
      </c>
      <c r="G32" s="46">
        <v>9959.4940000000006</v>
      </c>
    </row>
    <row r="33" spans="1:14">
      <c r="B33" s="155"/>
      <c r="C33" s="155"/>
      <c r="D33" s="155"/>
      <c r="E33" s="155"/>
      <c r="G33" s="136"/>
      <c r="H33" s="136"/>
      <c r="I33" s="136"/>
      <c r="J33" s="136"/>
      <c r="K33" s="136"/>
      <c r="L33" s="136"/>
    </row>
    <row r="35" spans="1:14">
      <c r="A35" s="39" t="s">
        <v>4</v>
      </c>
      <c r="B35" s="39" t="s">
        <v>5</v>
      </c>
      <c r="C35" s="39" t="s">
        <v>6</v>
      </c>
      <c r="D35" s="39" t="s">
        <v>7</v>
      </c>
      <c r="E35" s="39" t="s">
        <v>8</v>
      </c>
      <c r="F35" s="39" t="s">
        <v>9</v>
      </c>
      <c r="G35" s="39" t="s">
        <v>10</v>
      </c>
      <c r="H35" s="39" t="s">
        <v>11</v>
      </c>
      <c r="I35" s="39" t="s">
        <v>12</v>
      </c>
      <c r="J35" s="39" t="s">
        <v>13</v>
      </c>
      <c r="K35" s="39" t="s">
        <v>14</v>
      </c>
      <c r="L35" s="39" t="s">
        <v>15</v>
      </c>
    </row>
    <row r="36" spans="1:14">
      <c r="C36" s="44"/>
      <c r="E36" s="44"/>
      <c r="G36" s="57">
        <f ca="1">G13</f>
        <v>100.87667714081167</v>
      </c>
    </row>
    <row r="37" spans="1:14">
      <c r="A37" s="30">
        <v>1.02</v>
      </c>
      <c r="B37" s="39" t="s">
        <v>73</v>
      </c>
      <c r="C37" s="190">
        <f ca="1">DEGREES(G43)</f>
        <v>3.5245350017554555</v>
      </c>
      <c r="D37" s="64">
        <v>1.03883612446886</v>
      </c>
      <c r="E37" s="194">
        <f ca="1">D37*G43/2/SIN(G43/2)</f>
        <v>1.0389999351164148</v>
      </c>
      <c r="F37" s="189">
        <f ca="1">D37/2/SIN(G43/2)</f>
        <v>16.890259613505567</v>
      </c>
      <c r="G37" s="191">
        <f ca="1">D37*D37/2/F37+G36</f>
        <v>100.90862397046959</v>
      </c>
      <c r="H37" s="194">
        <f ca="1">2*SIN(G43/2)/D37*C30*3.33564/100</f>
        <v>12.145571707366507</v>
      </c>
      <c r="I37" s="191">
        <f ca="1">C37/2</f>
        <v>1.7622675008777278</v>
      </c>
      <c r="J37" s="191">
        <f ca="1">C37/2</f>
        <v>1.7622675008777278</v>
      </c>
      <c r="K37" s="191">
        <f ca="1">(1+POWER(SIN(G43/2),2))/POWER(COS(G43/2),3)*A37*2.54/2</f>
        <v>1.2984666209346571</v>
      </c>
      <c r="L37" s="191">
        <f ca="1">K37</f>
        <v>1.2984666209346571</v>
      </c>
      <c r="M37" s="32">
        <f ca="1">H37*1000*E37*100</f>
        <v>1261924.8215905563</v>
      </c>
      <c r="N37" s="32">
        <f ca="1">H37*1000*100*D37</f>
        <v>1261725.8641939256</v>
      </c>
    </row>
    <row r="38" spans="1:14">
      <c r="B38" s="39" t="s">
        <v>17</v>
      </c>
      <c r="C38" s="31">
        <v>0.96487800000000001</v>
      </c>
      <c r="D38" s="31">
        <v>0.96487807999999997</v>
      </c>
      <c r="E38" s="191">
        <f ca="1">C38/COS(G43)</f>
        <v>0.96670646252183734</v>
      </c>
      <c r="F38" s="44"/>
      <c r="G38" s="191">
        <f ca="1">G37+TAN(G43)*C38</f>
        <v>100.96805317034209</v>
      </c>
      <c r="H38" s="44"/>
      <c r="I38" s="44"/>
      <c r="J38" s="44"/>
      <c r="K38" s="44"/>
      <c r="L38" s="44"/>
    </row>
    <row r="39" spans="1:14">
      <c r="E39" s="44"/>
      <c r="F39" s="44"/>
      <c r="G39" s="191">
        <f ca="1">G38+D37*D37/2/F37</f>
        <v>101.00000000000001</v>
      </c>
      <c r="H39" s="44"/>
      <c r="I39" s="44"/>
      <c r="J39" s="44"/>
      <c r="K39" s="44"/>
      <c r="L39" s="44"/>
    </row>
    <row r="40" spans="1:14">
      <c r="A40" s="30">
        <v>1.02</v>
      </c>
      <c r="B40" s="39" t="s">
        <v>74</v>
      </c>
      <c r="C40" s="190">
        <f ca="1">C37</f>
        <v>3.5245350017554555</v>
      </c>
      <c r="D40" s="64">
        <v>1.03883612446886</v>
      </c>
      <c r="E40" s="191">
        <f ca="1">D40*G43/2/SIN(G43/2)</f>
        <v>1.0389999351164148</v>
      </c>
      <c r="F40" s="189">
        <f ca="1">D40/2/SIN(G43/2)</f>
        <v>16.890259613505567</v>
      </c>
      <c r="G40" s="31">
        <v>101</v>
      </c>
      <c r="H40" s="191">
        <f ca="1">2*SIN(G43/2)/D40*C30*3.33564/100</f>
        <v>12.145571707366507</v>
      </c>
      <c r="I40" s="191">
        <f ca="1">C40/2</f>
        <v>1.7622675008777278</v>
      </c>
      <c r="J40" s="191">
        <f ca="1">C40/2</f>
        <v>1.7622675008777278</v>
      </c>
      <c r="K40" s="191">
        <f ca="1">(1+POWER(SIN(G43/2),2))/POWER(COS(G43/2),3)*2.54*A40*0.5</f>
        <v>1.2984666209346571</v>
      </c>
      <c r="L40" s="191">
        <f ca="1">K40</f>
        <v>1.2984666209346571</v>
      </c>
      <c r="M40" s="32">
        <f ca="1">H40*1000*E40*100</f>
        <v>1261924.8215905563</v>
      </c>
      <c r="N40" s="32">
        <f ca="1">H40*1000*100*D40</f>
        <v>1261725.8641939256</v>
      </c>
    </row>
    <row r="42" spans="1:14">
      <c r="F42" s="156" t="s">
        <v>75</v>
      </c>
      <c r="G42" s="156"/>
      <c r="H42" s="156"/>
    </row>
    <row r="43" spans="1:14">
      <c r="B43" s="47" t="s">
        <v>17</v>
      </c>
      <c r="C43" s="44">
        <f>C26+C27+D37+C38+D40</f>
        <v>22.352011297937345</v>
      </c>
      <c r="F43" s="48" t="s">
        <v>22</v>
      </c>
      <c r="G43" s="50">
        <f ca="1">G43-G44/G45</f>
        <v>6.1514740382416819E-2</v>
      </c>
      <c r="H43" s="49">
        <f ca="1">DEGREES(G43)</f>
        <v>3.5245350017554555</v>
      </c>
      <c r="I43" s="44"/>
    </row>
    <row r="44" spans="1:14">
      <c r="D44" s="44">
        <f>D61+D40</f>
        <v>114.3253285112504</v>
      </c>
      <c r="F44" s="48" t="s">
        <v>23</v>
      </c>
      <c r="G44" s="50">
        <f ca="1">G40-G36-D37*SIN(G43/2)-D40*SIN(G43/2)-C38*TAN(G43)</f>
        <v>0</v>
      </c>
      <c r="H44" s="51"/>
    </row>
    <row r="45" spans="1:14">
      <c r="E45" s="44"/>
      <c r="F45" s="52" t="s">
        <v>25</v>
      </c>
      <c r="G45" s="53">
        <f ca="1">-0.5*D37*COS(G43/2)-0.5*D40*COS(G43/2)-C38/COS(G43)/COS(G43)</f>
        <v>-2.0068831755162133</v>
      </c>
      <c r="H45" s="54"/>
    </row>
    <row r="46" spans="1:14">
      <c r="J46" s="39">
        <v>11230.466</v>
      </c>
      <c r="K46" s="39">
        <v>11314.454</v>
      </c>
      <c r="L46" s="39">
        <f ca="1">(K46-J46)/100/COS(G43/2)</f>
        <v>0.84027742653732895</v>
      </c>
    </row>
    <row r="50" spans="1:5">
      <c r="D50" s="39" t="s">
        <v>31</v>
      </c>
      <c r="E50" s="39" t="s">
        <v>10</v>
      </c>
    </row>
    <row r="51" spans="1:5">
      <c r="D51" s="44">
        <v>90.553719999999998</v>
      </c>
      <c r="E51" s="44">
        <v>100</v>
      </c>
    </row>
    <row r="52" spans="1:5">
      <c r="D52" s="44">
        <f>D51+D6</f>
        <v>92.053719999999998</v>
      </c>
      <c r="E52" s="44">
        <f ca="1">G6</f>
        <v>100.07470222855869</v>
      </c>
    </row>
    <row r="53" spans="1:5">
      <c r="D53" s="44">
        <f>D52+C7</f>
        <v>92.543273137</v>
      </c>
      <c r="E53" s="44">
        <f ca="1">G7</f>
        <v>100.12358441267317</v>
      </c>
    </row>
    <row r="54" spans="1:5">
      <c r="D54" s="44">
        <f>D53+D9</f>
        <v>93.558800146079435</v>
      </c>
      <c r="E54" s="44">
        <f ca="1">G9</f>
        <v>100.24117228119268</v>
      </c>
    </row>
    <row r="55" spans="1:5">
      <c r="D55" s="44">
        <f>D54+C10</f>
        <v>97.183831146079427</v>
      </c>
      <c r="E55" s="44">
        <f ca="1">G10</f>
        <v>100.71890657101936</v>
      </c>
    </row>
    <row r="56" spans="1:5">
      <c r="D56" s="44">
        <f>D55+D11</f>
        <v>98.183183970005416</v>
      </c>
      <c r="E56" s="44">
        <f ca="1">G11</f>
        <v>100.81683562572162</v>
      </c>
    </row>
    <row r="57" spans="1:5">
      <c r="D57" s="44">
        <f>D56+C12</f>
        <v>98.602183970005413</v>
      </c>
      <c r="E57" s="44">
        <f ca="1">G12</f>
        <v>100.84413390963802</v>
      </c>
    </row>
    <row r="58" spans="1:5">
      <c r="D58" s="44">
        <f>D57+D13</f>
        <v>99.602781183318484</v>
      </c>
      <c r="E58" s="44">
        <f ca="1">G13</f>
        <v>100.87667714081167</v>
      </c>
    </row>
    <row r="59" spans="1:5">
      <c r="D59" s="44">
        <f>D58+C27</f>
        <v>111.28277826231269</v>
      </c>
      <c r="E59" s="44">
        <f ca="1">G36</f>
        <v>100.87667714081167</v>
      </c>
    </row>
    <row r="60" spans="1:5">
      <c r="D60" s="44">
        <f>D59+D37</f>
        <v>112.32161438678155</v>
      </c>
      <c r="E60" s="44">
        <f ca="1">G37</f>
        <v>100.90862397046959</v>
      </c>
    </row>
    <row r="61" spans="1:5">
      <c r="D61" s="44">
        <f>D60+C38</f>
        <v>113.28649238678155</v>
      </c>
      <c r="E61" s="44">
        <f ca="1">G38</f>
        <v>100.96805317034209</v>
      </c>
    </row>
    <row r="62" spans="1:5">
      <c r="D62" s="44">
        <f>D61+D40</f>
        <v>114.3253285112504</v>
      </c>
      <c r="E62" s="44">
        <f>G40</f>
        <v>101</v>
      </c>
    </row>
    <row r="63" spans="1:5">
      <c r="A63" t="s">
        <v>76</v>
      </c>
      <c r="B63"/>
    </row>
    <row r="64" spans="1:5">
      <c r="A64" t="s">
        <v>33</v>
      </c>
      <c r="B64" s="34">
        <v>2</v>
      </c>
    </row>
    <row r="65" spans="1:2">
      <c r="A65" t="s">
        <v>34</v>
      </c>
      <c r="B65" s="167">
        <f>B64*RADIANS(180)/32/2/SIN(RADIANS(180)/32/2)</f>
        <v>2.0008034163099304</v>
      </c>
    </row>
    <row r="66" spans="1:2">
      <c r="A66" t="s">
        <v>11</v>
      </c>
      <c r="B66" s="167">
        <f>3.33564/100*$C$30*RADIANS(180)/32/B65</f>
        <v>10.065833942654407</v>
      </c>
    </row>
    <row r="67" spans="1:2">
      <c r="A67" t="s">
        <v>6</v>
      </c>
      <c r="B67" s="162">
        <f>180/32/2</f>
        <v>2.8125</v>
      </c>
    </row>
    <row r="68" spans="1:2">
      <c r="A68" t="s">
        <v>4</v>
      </c>
      <c r="B68" s="34">
        <v>1.0009999999999999</v>
      </c>
    </row>
    <row r="69" spans="1:2">
      <c r="A69" t="s">
        <v>35</v>
      </c>
      <c r="B69" s="162">
        <f>(1+POWER(SIN(RADIANS(B67)/2),2))/POWER(COS(RADIANS(B67/2)),3)*2.54*B68*0.5</f>
        <v>1.273185682928986</v>
      </c>
    </row>
  </sheetData>
  <mergeCells count="2">
    <mergeCell ref="B33:E33"/>
    <mergeCell ref="F42:H4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"/>
  <sheetViews>
    <sheetView workbookViewId="0">
      <selection activeCell="Q22" sqref="Q22"/>
    </sheetView>
  </sheetViews>
  <sheetFormatPr baseColWidth="10" defaultColWidth="9" defaultRowHeight="13"/>
  <cols>
    <col min="2" max="2" width="10.83203125" customWidth="1"/>
    <col min="3" max="3" width="12.83203125" customWidth="1"/>
    <col min="5" max="7" width="13.5" customWidth="1"/>
    <col min="8" max="8" width="11.5" customWidth="1"/>
  </cols>
  <sheetData>
    <row r="1" spans="1:14">
      <c r="A1" s="4" t="s">
        <v>37</v>
      </c>
      <c r="D1" s="182"/>
      <c r="E1" t="s">
        <v>0</v>
      </c>
      <c r="G1" s="2"/>
      <c r="H1" t="s">
        <v>1</v>
      </c>
      <c r="J1" s="3"/>
      <c r="K1" t="s">
        <v>38</v>
      </c>
    </row>
    <row r="3" spans="1:14">
      <c r="A3" s="5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4">
      <c r="C4" s="6"/>
      <c r="G4" s="38">
        <v>100</v>
      </c>
      <c r="M4" s="39" t="s">
        <v>39</v>
      </c>
      <c r="N4" t="s">
        <v>40</v>
      </c>
    </row>
    <row r="5" spans="1:14">
      <c r="A5" s="8">
        <v>1.5</v>
      </c>
      <c r="B5" t="s">
        <v>60</v>
      </c>
      <c r="C5" s="183">
        <f>DEGREES(ASIN(H5*D5/3.33564/C18*100))</f>
        <v>3.7140853521897372</v>
      </c>
      <c r="D5" s="61">
        <f>'first pass SW'!D5</f>
        <v>1.0145768738995105</v>
      </c>
      <c r="E5" s="184">
        <f>D5*RADIANS(C5)/SIN(RADIANS(C5))</f>
        <v>1.0152877683965948</v>
      </c>
      <c r="F5" s="184">
        <f>3.33564/100*$C$18/H5</f>
        <v>15.662457537784915</v>
      </c>
      <c r="G5" s="184">
        <f>G4+D5*(1-COS(RADIANS(C5)))/SIN(RADIANS(C5))</f>
        <v>100.03289548730302</v>
      </c>
      <c r="H5" s="68">
        <f>'Second pass SW'!$H$5</f>
        <v>14.190218361978818</v>
      </c>
      <c r="I5" s="186">
        <v>0</v>
      </c>
      <c r="J5" s="184">
        <f>C5</f>
        <v>3.7140853521897372</v>
      </c>
      <c r="K5" s="184">
        <f>A5*2.54/2</f>
        <v>1.905</v>
      </c>
      <c r="L5" s="187">
        <f>(1+POWER(SIN(RADIANS(J5)),2))/POWER(COS(RADIANS(J5)),3)*2.54*A5*0.5</f>
        <v>1.9250979033862632</v>
      </c>
      <c r="M5" s="32">
        <f>H5*1000*E5*100</f>
        <v>1440715.5133793857</v>
      </c>
      <c r="N5" s="32">
        <f>H5*1000*100*D5</f>
        <v>1439706.73856479</v>
      </c>
    </row>
    <row r="6" spans="1:14">
      <c r="B6" t="s">
        <v>17</v>
      </c>
      <c r="C6" s="68">
        <f>'Second pass SW'!C6</f>
        <v>1.9797565483873789</v>
      </c>
      <c r="E6" s="185">
        <f>C6/COS(RADIANS(C5))</f>
        <v>1.9839233354150769</v>
      </c>
      <c r="F6" s="7"/>
      <c r="G6" s="184">
        <f>G5+TAN(RADIANS(C5))*C6</f>
        <v>100.16140933839222</v>
      </c>
      <c r="M6" s="39"/>
      <c r="N6" s="39"/>
    </row>
    <row r="7" spans="1:14">
      <c r="E7" s="6"/>
      <c r="M7" s="39"/>
      <c r="N7" s="39"/>
    </row>
    <row r="8" spans="1:14">
      <c r="A8" s="8">
        <v>1.87</v>
      </c>
      <c r="B8" t="s">
        <v>61</v>
      </c>
      <c r="C8" s="68">
        <f ca="1">DEGREES(G13)</f>
        <v>3.0615342046863603</v>
      </c>
      <c r="D8" s="61">
        <f>'Second pass SW'!D8</f>
        <v>1.0257755690257144</v>
      </c>
      <c r="E8" s="184">
        <f ca="1">D8*RADIANS(C8)/2/SIN(RADIANS(C8)/2)/COS(RADIANS(C5)+RADIANS(C8)/2)</f>
        <v>1.0302109559933228</v>
      </c>
      <c r="F8" s="188">
        <f ca="1">3.33564*C18/100/H8</f>
        <v>19.280117692691981</v>
      </c>
      <c r="G8" s="184">
        <f ca="1">F8*(1-COS(RADIANS(C8)))*COS(RADIANS(C5))+G6+F8*SIN(RADIANS(C8))*SIN(RADIANS(C5))</f>
        <v>100.25557193745905</v>
      </c>
      <c r="H8" s="68">
        <f ca="1">'Second pass SW'!$H$8</f>
        <v>11.527610779608107</v>
      </c>
      <c r="I8" s="186">
        <f>C5</f>
        <v>3.7140853521897372</v>
      </c>
      <c r="J8" s="184">
        <f ca="1">C5+C8</f>
        <v>6.775619556876098</v>
      </c>
      <c r="K8" s="184">
        <f>(1+POWER(SIN(RADIANS(I8)),2))/POWER(COS(RADIANS(I8)),3)*2.54*A8*0.5</f>
        <v>2.3999553862215417</v>
      </c>
      <c r="L8" s="184">
        <f ca="1">(1+POWER(SIN(RADIANS(J8)),2))/POWER(COS(RADIANS(J8)),3)*2.54*A8*0.5</f>
        <v>2.4591237035772489</v>
      </c>
      <c r="M8" s="32">
        <f ca="1">H8*1000*E8*100</f>
        <v>1187587.0921579001</v>
      </c>
      <c r="N8" s="32">
        <f ca="1">H8*1000*100*D8</f>
        <v>1182474.1506959465</v>
      </c>
    </row>
    <row r="9" spans="1:14">
      <c r="B9" t="s">
        <v>17</v>
      </c>
      <c r="C9" s="31">
        <f ca="1">E9*COS(RADIANS(C10))</f>
        <v>3.3177857676733344</v>
      </c>
      <c r="E9" s="116">
        <v>3.3411208191965578</v>
      </c>
      <c r="G9" s="184">
        <f ca="1">G8+TAN(RADIANS(C10))*C9</f>
        <v>100.64976215587262</v>
      </c>
      <c r="H9" s="184">
        <f ca="1">G9+F10*(1-COS(RADIANS(C10)))</f>
        <v>100.79937334340325</v>
      </c>
      <c r="M9" s="39"/>
      <c r="N9" s="39"/>
    </row>
    <row r="10" spans="1:14">
      <c r="A10" s="8">
        <v>1.02</v>
      </c>
      <c r="B10" s="6" t="s">
        <v>77</v>
      </c>
      <c r="C10" s="182">
        <f ca="1">C5+C8</f>
        <v>6.775619556876098</v>
      </c>
      <c r="D10" s="181">
        <v>2.5317497524571322</v>
      </c>
      <c r="E10" s="184">
        <f ca="1">D10*RADIANS(C10)/2/SIN(RADIANS(C10)/2)</f>
        <v>2.5332255931048566</v>
      </c>
      <c r="F10" s="184">
        <f ca="1">E10/(RADIANS(C10))</f>
        <v>21.421382033195407</v>
      </c>
      <c r="G10" s="184">
        <f ca="1">H9</f>
        <v>100.79937334340325</v>
      </c>
      <c r="H10" s="184">
        <f ca="1">3.33564*C18/100/F10</f>
        <v>10.375319958440407</v>
      </c>
      <c r="I10" s="184">
        <f ca="1">C10/2</f>
        <v>3.387809778438049</v>
      </c>
      <c r="J10" s="184">
        <f ca="1">C10/2</f>
        <v>3.387809778438049</v>
      </c>
      <c r="K10" s="187">
        <f ca="1">(1+POWER(SIN(RADIANS(I10)),2))/POWER(COS(RADIANS(I10)),3)*2.54*A10*0.5</f>
        <v>1.3067627038506542</v>
      </c>
      <c r="L10" s="187">
        <f ca="1">(1+POWER(SIN(RADIANS(J10)),2))/POWER(COS(RADIANS(J10)),3)*2.54*A10*0.5</f>
        <v>1.3067627038506542</v>
      </c>
      <c r="M10" s="32">
        <f ca="1">H10*1000*E10*100</f>
        <v>2628302.6055372856</v>
      </c>
      <c r="N10" s="32">
        <f ca="1">H10*1000*100*D10</f>
        <v>2626771.3736445042</v>
      </c>
    </row>
    <row r="12" spans="1:14">
      <c r="F12" s="78" t="s">
        <v>63</v>
      </c>
      <c r="G12" s="79"/>
      <c r="H12" s="80"/>
    </row>
    <row r="13" spans="1:14">
      <c r="F13" s="81" t="s">
        <v>22</v>
      </c>
      <c r="G13" s="23">
        <f ca="1">G13-G14/G15</f>
        <v>5.3433852034202999E-2</v>
      </c>
      <c r="H13" s="22">
        <f ca="1">DEGREES(G13)</f>
        <v>3.0615342046863603</v>
      </c>
    </row>
    <row r="14" spans="1:14">
      <c r="B14" t="s">
        <v>17</v>
      </c>
      <c r="C14" s="6">
        <f ca="1">D5+C6+D8+C9+D10</f>
        <v>9.8696445114430702</v>
      </c>
      <c r="F14" s="81" t="s">
        <v>23</v>
      </c>
      <c r="G14" s="23">
        <f ca="1">0.5*H8*D8/3.33564/C18*100-SIN(G13/2)*COS(G13/2+RADIANS(C5))</f>
        <v>0</v>
      </c>
      <c r="H14" s="22"/>
    </row>
    <row r="15" spans="1:14">
      <c r="B15" t="s">
        <v>24</v>
      </c>
      <c r="C15" s="116">
        <v>9.7249390398780786</v>
      </c>
      <c r="D15" s="6"/>
      <c r="F15" s="82" t="s">
        <v>25</v>
      </c>
      <c r="G15" s="27">
        <f ca="1">-COS(RADIANS(C5)+G13)/2</f>
        <v>-0.49650790067375733</v>
      </c>
      <c r="H15" s="83"/>
    </row>
    <row r="17" spans="1:14">
      <c r="C17" t="s">
        <v>26</v>
      </c>
    </row>
    <row r="18" spans="1:14">
      <c r="A18" t="s">
        <v>27</v>
      </c>
      <c r="B18" s="29">
        <f>6*1090+123-'first passNE'!B52</f>
        <v>6662.4890010899999</v>
      </c>
      <c r="C18" s="7">
        <f>SQRT(B18*B18+2*'first passNE'!B52*B18)</f>
        <v>6662.9999804052313</v>
      </c>
    </row>
    <row r="21" spans="1:14">
      <c r="B21" s="153"/>
      <c r="C21" s="153"/>
      <c r="D21" s="153"/>
      <c r="E21" s="153"/>
      <c r="G21" s="135"/>
      <c r="H21" s="135"/>
      <c r="I21" s="135"/>
      <c r="J21" s="135"/>
      <c r="K21" s="135"/>
      <c r="L21" s="135"/>
    </row>
    <row r="23" spans="1:14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</row>
    <row r="24" spans="1:14">
      <c r="C24" s="6"/>
      <c r="E24" s="6"/>
      <c r="G24" s="68">
        <f ca="1">H9</f>
        <v>100.79937334340325</v>
      </c>
    </row>
    <row r="25" spans="1:14">
      <c r="A25" s="30">
        <v>1.02</v>
      </c>
      <c r="B25" t="s">
        <v>78</v>
      </c>
      <c r="C25" s="183">
        <f ca="1">DEGREES(F31)</f>
        <v>3.4384362078761606</v>
      </c>
      <c r="D25" s="181">
        <v>1.0035796447443648</v>
      </c>
      <c r="E25" s="185">
        <f ca="1">D25*F31/2/SIN(F31/2)</f>
        <v>1.0037302578978005</v>
      </c>
      <c r="F25" s="182">
        <f ca="1">D25/2/SIN(F31/2)</f>
        <v>16.725483350654883</v>
      </c>
      <c r="G25" s="184">
        <f ca="1">D25*D25/2/F25+G24</f>
        <v>100.8294822521334</v>
      </c>
      <c r="H25" s="184">
        <f ca="1">2*SIN(F31/2)/D25*C18*3.33564/100</f>
        <v>13.288327032873864</v>
      </c>
      <c r="I25" s="184">
        <f ca="1">C25/2</f>
        <v>1.7192181039380803</v>
      </c>
      <c r="J25" s="184">
        <f ca="1">C25/2</f>
        <v>1.7192181039380803</v>
      </c>
      <c r="K25" s="184">
        <f ca="1">(1+POWER(SIN(F31/2),2))/POWER(COS(F31/2),3)*A25*2.54/2</f>
        <v>1.2983184900428</v>
      </c>
      <c r="L25" s="184">
        <f ca="1">K25</f>
        <v>1.2983184900428</v>
      </c>
      <c r="M25" s="32">
        <f ca="1">H25*1000*E25*100</f>
        <v>1333789.5919736796</v>
      </c>
      <c r="N25" s="32">
        <f ca="1">H25*1000*100*D25</f>
        <v>1333589.4522898491</v>
      </c>
    </row>
    <row r="26" spans="1:14">
      <c r="B26" t="s">
        <v>17</v>
      </c>
      <c r="C26" s="31">
        <f ca="1">E26*COS(F31)</f>
        <v>2.3368686839963853</v>
      </c>
      <c r="E26" s="116">
        <v>2.3410830588320954</v>
      </c>
      <c r="F26" s="6"/>
      <c r="G26" s="184">
        <f ca="1">G25+TAN(F31)*C26</f>
        <v>100.96989109126984</v>
      </c>
      <c r="H26" s="6"/>
      <c r="I26" s="6"/>
      <c r="J26" s="6"/>
      <c r="K26" s="6"/>
      <c r="L26" s="6"/>
    </row>
    <row r="27" spans="1:14">
      <c r="E27" s="6"/>
      <c r="F27" s="6"/>
      <c r="G27" s="184">
        <f ca="1">G26+D28*D28/2/F28</f>
        <v>101</v>
      </c>
      <c r="H27" s="6"/>
      <c r="I27" s="6"/>
      <c r="J27" s="6"/>
      <c r="K27" s="6"/>
      <c r="L27" s="6"/>
    </row>
    <row r="28" spans="1:14">
      <c r="A28" s="30">
        <v>1.02</v>
      </c>
      <c r="B28" t="s">
        <v>79</v>
      </c>
      <c r="C28" s="183">
        <f ca="1">C25</f>
        <v>3.4384362078761606</v>
      </c>
      <c r="D28" s="181">
        <v>1.0035796447443648</v>
      </c>
      <c r="E28" s="184">
        <f ca="1">D28*F31/2/SIN(F31/2)</f>
        <v>1.0037302578978005</v>
      </c>
      <c r="F28" s="182">
        <f ca="1">D28/2/SIN(F31/2)</f>
        <v>16.725483350654883</v>
      </c>
      <c r="G28" s="31">
        <v>101</v>
      </c>
      <c r="H28" s="184">
        <f ca="1">2*SIN(F31/2)/D28*C18*3.33564/100</f>
        <v>13.288327032873864</v>
      </c>
      <c r="I28" s="184">
        <f ca="1">C28/2</f>
        <v>1.7192181039380803</v>
      </c>
      <c r="J28" s="184">
        <f ca="1">C28/2</f>
        <v>1.7192181039380803</v>
      </c>
      <c r="K28" s="184">
        <f ca="1">(1+POWER(SIN(F31/2),2))/POWER(COS(F31/2),3)*2.54*A28*0.5</f>
        <v>1.2983184900428002</v>
      </c>
      <c r="L28" s="184">
        <f ca="1">K28</f>
        <v>1.2983184900428002</v>
      </c>
      <c r="M28" s="32">
        <f ca="1">H28*1000*E28*100</f>
        <v>1333789.5919736796</v>
      </c>
      <c r="N28" s="32">
        <f ca="1">H28*1000*100*D28</f>
        <v>1333589.4522898491</v>
      </c>
    </row>
    <row r="30" spans="1:14">
      <c r="E30" s="134" t="s">
        <v>80</v>
      </c>
      <c r="F30" s="134"/>
      <c r="G30" s="134"/>
    </row>
    <row r="31" spans="1:14">
      <c r="B31" s="19" t="s">
        <v>17</v>
      </c>
      <c r="C31" s="6">
        <f ca="1">C14+C15+D25+C26+D28</f>
        <v>23.938611524806262</v>
      </c>
      <c r="E31" s="20" t="s">
        <v>22</v>
      </c>
      <c r="F31" s="23">
        <f ca="1">F31-F32/F33</f>
        <v>6.0012032947227179E-2</v>
      </c>
      <c r="G31" s="22">
        <f ca="1">DEGREES(F31)</f>
        <v>3.4384362078761606</v>
      </c>
      <c r="I31" s="6"/>
    </row>
    <row r="32" spans="1:14">
      <c r="E32" s="20" t="s">
        <v>23</v>
      </c>
      <c r="F32" s="23">
        <f ca="1">G28-G24-D25*SIN(F31/2)-D28*SIN(F31/2)-C26*TAN(F31)</f>
        <v>0</v>
      </c>
      <c r="G32" s="24"/>
    </row>
    <row r="33" spans="1:17">
      <c r="E33" s="26" t="s">
        <v>25</v>
      </c>
      <c r="F33" s="27">
        <f ca="1">-0.5*D25*COS(F31/2)-0.5*D28*COS(F31/2)-C26/COS(F31)/COS(F31)</f>
        <v>-3.3484329206328693</v>
      </c>
      <c r="G33" s="28"/>
    </row>
    <row r="36" spans="1:17">
      <c r="B36" t="s">
        <v>17</v>
      </c>
      <c r="C36" t="s">
        <v>10</v>
      </c>
    </row>
    <row r="37" spans="1:17">
      <c r="B37" s="44">
        <v>-91.525080000000003</v>
      </c>
      <c r="C37" s="6">
        <f>G4</f>
        <v>100</v>
      </c>
      <c r="E37" t="s">
        <v>81</v>
      </c>
    </row>
    <row r="38" spans="1:17">
      <c r="B38" s="6">
        <f>B37+D5</f>
        <v>-90.510503126100488</v>
      </c>
      <c r="C38" s="6">
        <f>G5</f>
        <v>100.03289548730302</v>
      </c>
    </row>
    <row r="39" spans="1:17">
      <c r="B39" s="6">
        <f>B38+C6</f>
        <v>-88.530746577713103</v>
      </c>
      <c r="C39" s="6">
        <f>G6</f>
        <v>100.16140933839222</v>
      </c>
    </row>
    <row r="40" spans="1:17">
      <c r="B40" s="6">
        <f>B39+D8</f>
        <v>-87.504971008687392</v>
      </c>
      <c r="C40" s="6">
        <f ca="1">G8</f>
        <v>100.25557193745905</v>
      </c>
      <c r="D40" t="s">
        <v>4</v>
      </c>
      <c r="E40" t="s">
        <v>5</v>
      </c>
      <c r="F40" t="s">
        <v>6</v>
      </c>
      <c r="G40" t="s">
        <v>82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</row>
    <row r="41" spans="1:17">
      <c r="B41" s="6">
        <f ca="1">B40+C9</f>
        <v>-84.187185241014063</v>
      </c>
      <c r="C41" s="6">
        <f ca="1">G9</f>
        <v>100.64976215587262</v>
      </c>
      <c r="F41" s="6"/>
      <c r="H41" s="6"/>
      <c r="J41" s="68">
        <f ca="1">H9</f>
        <v>100.79937334340325</v>
      </c>
    </row>
    <row r="42" spans="1:17">
      <c r="B42" s="6">
        <f ca="1">B41+D10</f>
        <v>-81.655435488556932</v>
      </c>
      <c r="C42" s="6">
        <f ca="1">H9</f>
        <v>100.79937334340325</v>
      </c>
      <c r="D42" s="30">
        <v>1.02</v>
      </c>
      <c r="E42" t="s">
        <v>83</v>
      </c>
      <c r="F42" s="183" t="e">
        <f ca="1">DEGREES(J48)</f>
        <v>#VALUE!</v>
      </c>
      <c r="G42" s="30">
        <v>1</v>
      </c>
      <c r="H42" s="185" t="e">
        <f ca="1">G42*J48/2/SIN(J48/2)</f>
        <v>#VALUE!</v>
      </c>
      <c r="I42" s="182" t="e">
        <f ca="1">G42/2/SIN(J48/2)</f>
        <v>#VALUE!</v>
      </c>
      <c r="J42" s="184" t="e">
        <f ca="1">G42*G42/2/I42+J41</f>
        <v>#VALUE!</v>
      </c>
      <c r="K42" s="184" t="e">
        <f ca="1">2*SIN(J48/2)/G42*C18*3.33564/100</f>
        <v>#VALUE!</v>
      </c>
      <c r="L42" s="184" t="e">
        <f ca="1">F42/2</f>
        <v>#VALUE!</v>
      </c>
      <c r="M42" s="184" t="e">
        <f ca="1">F42/2</f>
        <v>#VALUE!</v>
      </c>
      <c r="N42" s="184" t="e">
        <f ca="1">(1+POWER(SIN(J48/2),2))/POWER(COS(J48/2),3)*D42*2.54/2</f>
        <v>#VALUE!</v>
      </c>
      <c r="O42" s="184" t="e">
        <f ca="1">N42</f>
        <v>#VALUE!</v>
      </c>
      <c r="P42" s="32" t="e">
        <f ca="1">K42*1000*H42*100</f>
        <v>#VALUE!</v>
      </c>
      <c r="Q42" s="32" t="e">
        <f ca="1">K42*1000*100*G42</f>
        <v>#VALUE!</v>
      </c>
    </row>
    <row r="43" spans="1:17">
      <c r="B43" s="6">
        <f ca="1">B42+C15</f>
        <v>-71.930496448678852</v>
      </c>
      <c r="C43" s="6">
        <f ca="1">G24</f>
        <v>100.79937334340325</v>
      </c>
      <c r="E43" t="s">
        <v>17</v>
      </c>
      <c r="F43" s="31">
        <v>3.7720000000000002</v>
      </c>
      <c r="H43" s="184" t="e">
        <f ca="1">F43/COS(J48)</f>
        <v>#VALUE!</v>
      </c>
      <c r="I43" s="6"/>
      <c r="J43" s="184" t="e">
        <f ca="1">J42+TAN(J48)*F43</f>
        <v>#VALUE!</v>
      </c>
      <c r="K43" s="6"/>
      <c r="L43" s="6"/>
      <c r="M43" s="6"/>
      <c r="N43" s="6"/>
      <c r="O43" s="6"/>
    </row>
    <row r="44" spans="1:17">
      <c r="B44" s="6">
        <f ca="1">B43+D25</f>
        <v>-70.926916803934489</v>
      </c>
      <c r="C44" s="6">
        <f ca="1">G25</f>
        <v>100.8294822521334</v>
      </c>
      <c r="H44" s="6"/>
      <c r="I44" s="6"/>
      <c r="J44" s="184" t="e">
        <f ca="1">J43+G45*G45/2/I45</f>
        <v>#VALUE!</v>
      </c>
      <c r="K44" s="6"/>
      <c r="L44" s="6"/>
      <c r="M44" s="6"/>
      <c r="N44" s="6"/>
      <c r="O44" s="6"/>
    </row>
    <row r="45" spans="1:17">
      <c r="B45" s="6">
        <f ca="1">B44+C26</f>
        <v>-68.590048119938103</v>
      </c>
      <c r="C45" s="6">
        <f ca="1">G26</f>
        <v>100.96989109126984</v>
      </c>
      <c r="D45" s="30">
        <v>1.02</v>
      </c>
      <c r="E45" t="s">
        <v>84</v>
      </c>
      <c r="F45" s="183" t="e">
        <f ca="1">F42</f>
        <v>#VALUE!</v>
      </c>
      <c r="G45" s="30">
        <v>1</v>
      </c>
      <c r="H45" s="184" t="e">
        <f ca="1">G45*J48/2/SIN(J48/2)</f>
        <v>#VALUE!</v>
      </c>
      <c r="I45" s="182" t="e">
        <f ca="1">G45/2/SIN(J48/2)</f>
        <v>#VALUE!</v>
      </c>
      <c r="J45" s="31">
        <v>101</v>
      </c>
      <c r="K45" s="184" t="e">
        <f ca="1">2*SIN(J48/2)/G45*C18*3.33564/100</f>
        <v>#VALUE!</v>
      </c>
      <c r="L45" s="184" t="e">
        <f ca="1">F45/2</f>
        <v>#VALUE!</v>
      </c>
      <c r="M45" s="184" t="e">
        <f ca="1">F45/2</f>
        <v>#VALUE!</v>
      </c>
      <c r="N45" s="184" t="e">
        <f ca="1">(1+POWER(SIN(J48/2),2))/POWER(COS(J48/2),3)*2.54*D45*0.5</f>
        <v>#VALUE!</v>
      </c>
      <c r="O45" s="184" t="e">
        <f ca="1">N45</f>
        <v>#VALUE!</v>
      </c>
      <c r="P45" s="32" t="e">
        <f ca="1">K45*1000*H45*100</f>
        <v>#VALUE!</v>
      </c>
      <c r="Q45" s="32" t="e">
        <f ca="1">K45*1000*100*G45</f>
        <v>#VALUE!</v>
      </c>
    </row>
    <row r="46" spans="1:17">
      <c r="B46" s="6">
        <f ca="1">B45+D28</f>
        <v>-67.58646847519374</v>
      </c>
      <c r="C46" s="6">
        <f ca="1">G27</f>
        <v>101</v>
      </c>
    </row>
    <row r="47" spans="1:17">
      <c r="I47" s="152" t="s">
        <v>85</v>
      </c>
      <c r="J47" s="152"/>
      <c r="K47" s="152"/>
    </row>
    <row r="48" spans="1:17">
      <c r="A48" t="s">
        <v>86</v>
      </c>
      <c r="E48" s="19" t="s">
        <v>17</v>
      </c>
      <c r="F48" s="6">
        <f ca="1">F31+F32+G42+F43+G45</f>
        <v>5.8320120329472278</v>
      </c>
      <c r="I48" s="20" t="s">
        <v>22</v>
      </c>
      <c r="J48" s="23" t="e">
        <f ca="1">J48-J49/J50</f>
        <v>#VALUE!</v>
      </c>
      <c r="K48" s="22" t="e">
        <f ca="1">DEGREES(J48)</f>
        <v>#VALUE!</v>
      </c>
      <c r="L48" s="6"/>
    </row>
    <row r="49" spans="1:11">
      <c r="A49" t="s">
        <v>33</v>
      </c>
      <c r="B49" s="34">
        <v>2</v>
      </c>
      <c r="I49" s="20" t="s">
        <v>23</v>
      </c>
      <c r="J49" s="23" t="e">
        <f ca="1">J45-J41-G42*SIN(J48/2)-G45*SIN(J48/2)-F43*TAN(J48)</f>
        <v>#VALUE!</v>
      </c>
      <c r="K49" s="24"/>
    </row>
    <row r="50" spans="1:11">
      <c r="A50" t="s">
        <v>34</v>
      </c>
      <c r="B50" s="185">
        <f>B49*RADIANS(180)/32/2/SIN(RADIANS(180)/32/2)</f>
        <v>2.0008034163099304</v>
      </c>
      <c r="H50" s="6"/>
      <c r="I50" s="26" t="s">
        <v>25</v>
      </c>
      <c r="J50" s="27" t="e">
        <f ca="1">-0.5*G42*COS(J48/2)-0.5*G45*COS(J48/2)-F43/COS(J48)/COS(J48)</f>
        <v>#VALUE!</v>
      </c>
      <c r="K50" s="28"/>
    </row>
    <row r="51" spans="1:11">
      <c r="A51" t="s">
        <v>11</v>
      </c>
      <c r="B51" s="185">
        <f>3.33564/100*$C$18*RADIANS(180)/32/B50</f>
        <v>10.905471803932311</v>
      </c>
    </row>
    <row r="52" spans="1:11">
      <c r="A52" t="s">
        <v>6</v>
      </c>
      <c r="B52" s="184">
        <f>180/32/2</f>
        <v>2.8125</v>
      </c>
    </row>
    <row r="53" spans="1:11">
      <c r="A53" t="s">
        <v>4</v>
      </c>
      <c r="B53" s="34">
        <v>1.0009999999999999</v>
      </c>
      <c r="E53" t="s">
        <v>87</v>
      </c>
    </row>
    <row r="54" spans="1:11">
      <c r="A54" t="s">
        <v>35</v>
      </c>
      <c r="B54" s="184">
        <f>(1+POWER(SIN(RADIANS(B52)/2),2))/POWER(COS(RADIANS(B52/2)),3)*2.54*B53*0.5</f>
        <v>1.273185682928986</v>
      </c>
    </row>
  </sheetData>
  <mergeCells count="2">
    <mergeCell ref="B21:E21"/>
    <mergeCell ref="I47:K47"/>
  </mergeCells>
  <conditionalFormatting sqref="D10">
    <cfRule type="cellIs" dxfId="21" priority="3" operator="notEqual">
      <formula>AO10</formula>
    </cfRule>
  </conditionalFormatting>
  <conditionalFormatting sqref="D25">
    <cfRule type="cellIs" dxfId="20" priority="2" operator="notEqual">
      <formula>AO25</formula>
    </cfRule>
  </conditionalFormatting>
  <conditionalFormatting sqref="D28">
    <cfRule type="cellIs" dxfId="19" priority="1" operator="notEqual">
      <formula>AO28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55"/>
  <sheetViews>
    <sheetView zoomScale="138" workbookViewId="0">
      <selection activeCell="G24" sqref="G24"/>
    </sheetView>
  </sheetViews>
  <sheetFormatPr baseColWidth="10" defaultColWidth="8.6640625" defaultRowHeight="13"/>
  <cols>
    <col min="1" max="1" width="8.83203125" bestFit="1" customWidth="1"/>
    <col min="2" max="2" width="10.6640625" bestFit="1" customWidth="1"/>
    <col min="3" max="3" width="14.5" customWidth="1"/>
    <col min="4" max="4" width="12.6640625" customWidth="1"/>
    <col min="5" max="5" width="17.5" customWidth="1"/>
    <col min="6" max="6" width="16.5" customWidth="1"/>
    <col min="7" max="8" width="14.5" customWidth="1"/>
    <col min="9" max="14" width="8.83203125" bestFit="1" customWidth="1"/>
  </cols>
  <sheetData>
    <row r="1" spans="1:14">
      <c r="C1" s="159"/>
      <c r="D1" t="s">
        <v>0</v>
      </c>
      <c r="F1" s="2"/>
      <c r="G1" t="s">
        <v>1</v>
      </c>
      <c r="I1" s="3"/>
      <c r="J1" t="s">
        <v>38</v>
      </c>
    </row>
    <row r="2" spans="1:14">
      <c r="A2" s="4" t="s">
        <v>3</v>
      </c>
    </row>
    <row r="4" spans="1:14">
      <c r="A4" s="5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4">
      <c r="C5" s="6"/>
      <c r="G5" s="7">
        <v>100</v>
      </c>
      <c r="M5" s="39" t="s">
        <v>39</v>
      </c>
      <c r="N5" t="s">
        <v>40</v>
      </c>
    </row>
    <row r="6" spans="1:14">
      <c r="A6" s="8">
        <v>1.5</v>
      </c>
      <c r="B6" t="s">
        <v>16</v>
      </c>
      <c r="C6" s="165">
        <f ca="1">DEGREES(ASIN(H6*D6/3.33564/$C$17*100))</f>
        <v>4.1965862095495412</v>
      </c>
      <c r="D6" s="68">
        <f>'first passNE'!$D$6</f>
        <v>1.5</v>
      </c>
      <c r="E6" s="167">
        <f ca="1">D6*RADIANS(C6)/SIN(RADIANS(C6))</f>
        <v>1.5013420198167753</v>
      </c>
      <c r="F6" s="162">
        <f ca="1">3.33564/100*$C$17/H6</f>
        <v>20.497746750776507</v>
      </c>
      <c r="G6" s="163">
        <f ca="1">G5+F6*(1-COS(RADIANS(C6)))</f>
        <v>100.05495775663559</v>
      </c>
      <c r="H6" s="69">
        <f ca="1">'second pass NE'!$H$6</f>
        <v>13.58812472731378</v>
      </c>
      <c r="I6" s="163">
        <v>0</v>
      </c>
      <c r="J6" s="162">
        <f ca="1">C6</f>
        <v>4.1965862095495412</v>
      </c>
      <c r="K6" s="162">
        <f>A6*2.54/2</f>
        <v>1.905</v>
      </c>
      <c r="L6" s="164">
        <f ca="1">(1+POWER(SIN(RADIANS(J6)),2))/POWER(COS(RADIANS(J6)),3)*2.54*A6*0.5</f>
        <v>1.9306893954358828</v>
      </c>
      <c r="M6" s="32">
        <f ca="1">H6*1000*E6*100</f>
        <v>2040042.262362754</v>
      </c>
      <c r="N6" s="32">
        <f ca="1">H6*1000*100*D6</f>
        <v>2038218.7090970669</v>
      </c>
    </row>
    <row r="7" spans="1:14">
      <c r="B7" t="s">
        <v>17</v>
      </c>
      <c r="C7" s="68">
        <f>'second pass NE'!$C$7</f>
        <v>0.48955313700000003</v>
      </c>
      <c r="E7" s="162">
        <f ca="1">C7/COS(RADIANS(C6))</f>
        <v>0.49086923639187602</v>
      </c>
      <c r="F7" s="7"/>
      <c r="G7" s="162">
        <f ca="1">G6+TAN(RADIANS(C6))*C7</f>
        <v>100.09087896610023</v>
      </c>
      <c r="M7" s="39"/>
      <c r="N7" s="39"/>
    </row>
    <row r="8" spans="1:14">
      <c r="E8" s="6"/>
      <c r="M8" s="39"/>
      <c r="N8" s="39"/>
    </row>
    <row r="9" spans="1:14">
      <c r="A9" s="8">
        <v>1.87</v>
      </c>
      <c r="B9" t="s">
        <v>51</v>
      </c>
      <c r="C9" s="165">
        <f ca="1">H14</f>
        <v>1.3257079340322091</v>
      </c>
      <c r="D9" s="61">
        <f>'third pass NE'!$D$9</f>
        <v>1.0155270090794399</v>
      </c>
      <c r="E9" s="167">
        <f ca="1">D9*RADIANS(C9)/2/SIN(RADIANS(C9)/2)/COS(RADIANS(C6)+RADIANS(C9)/2)</f>
        <v>1.0192132109323075</v>
      </c>
      <c r="F9" s="162">
        <f ca="1">3.33564/100*$C$17/H9</f>
        <v>44.049382153716046</v>
      </c>
      <c r="G9" s="167">
        <f ca="1">F9*(1-COS(RADIANS(C9)))*COS(RADIANS(C6))+G7+F9*SIN(RADIANS(C9))*SIN(RADIANS(C6))</f>
        <v>100.17721620823876</v>
      </c>
      <c r="H9" s="69">
        <f ca="1">'second pass NE'!$H$9</f>
        <v>6.3230385049781059</v>
      </c>
      <c r="I9" s="163">
        <f ca="1">C6</f>
        <v>4.1965862095495412</v>
      </c>
      <c r="J9" s="162">
        <f ca="1">C9+C6</f>
        <v>5.5222941435817505</v>
      </c>
      <c r="K9" s="162">
        <f ca="1">(1+POWER(SIN(RADIANS(I9)),2))/POWER(COS(RADIANS(I9)),3)*2.54*A9*0.5</f>
        <v>2.4069261129767341</v>
      </c>
      <c r="L9" s="162">
        <f ca="1">(1+POWER(SIN(RADIANS(J9)),2))/POWER(COS(RADIANS(J9)),3)*2.54*A9*0.5</f>
        <v>2.4305788513077897</v>
      </c>
      <c r="M9" s="32">
        <f ca="1">H9*1000*E9*100</f>
        <v>644452.43775073532</v>
      </c>
      <c r="N9" s="32">
        <f ca="1">H9*1000*100*D9</f>
        <v>642121.63812545501</v>
      </c>
    </row>
    <row r="10" spans="1:14">
      <c r="B10" t="s">
        <v>17</v>
      </c>
      <c r="C10" s="63">
        <v>0.88810009400000001</v>
      </c>
      <c r="E10" s="167">
        <f ca="1">C10/COS(G14+RADIANS(C6))</f>
        <v>0.89224113783905579</v>
      </c>
      <c r="G10" s="162">
        <f ca="1">G9+TAN(RADIANS(C9+C6))*C10</f>
        <v>100.26307930327688</v>
      </c>
      <c r="H10" s="162">
        <f ca="1">G10+F11*(1-COS(RADIANS(C11)))</f>
        <v>100.4094674051474</v>
      </c>
      <c r="M10" s="39"/>
      <c r="N10" s="39"/>
    </row>
    <row r="11" spans="1:14">
      <c r="A11" s="8">
        <v>1</v>
      </c>
      <c r="B11" s="6" t="s">
        <v>88</v>
      </c>
      <c r="C11" s="165">
        <f ca="1">C6+C9</f>
        <v>5.5222941435817505</v>
      </c>
      <c r="D11" s="64">
        <v>3.03530607061214</v>
      </c>
      <c r="E11" s="162">
        <f ca="1">D11*RADIANS(C11)/SIN(RADIANS(C11))</f>
        <v>3.0400105972452911</v>
      </c>
      <c r="F11" s="162">
        <f ca="1">E11/(RADIANS(C11))</f>
        <v>31.54119870627304</v>
      </c>
      <c r="H11" s="167">
        <f ca="1">3.33564*C17/F11/100</f>
        <v>8.8305438887155407</v>
      </c>
      <c r="I11" s="162">
        <f ca="1">J9</f>
        <v>5.5222941435817505</v>
      </c>
      <c r="J11" s="162">
        <v>0</v>
      </c>
      <c r="K11" s="164">
        <f ca="1">(1+POWER(SIN(RADIANS(I11)),2))/POWER(COS(RADIANS(I11)),3)*2.54*A11*0.5</f>
        <v>1.2997747867956093</v>
      </c>
      <c r="L11" s="164">
        <f>(1+POWER(SIN(RADIANS(J11)),2))/POWER(COS(RADIANS(J11)),3)*2.54*A11*0.5</f>
        <v>1.27</v>
      </c>
      <c r="M11" s="32">
        <f ca="1">H11*1000*E11*100</f>
        <v>2684494.7001134888</v>
      </c>
      <c r="N11" s="32">
        <f ca="1">H11*1000*100*D11</f>
        <v>2680340.3472225219</v>
      </c>
    </row>
    <row r="13" spans="1:14">
      <c r="C13" s="6"/>
      <c r="D13" t="s">
        <v>21</v>
      </c>
      <c r="F13" s="78" t="s">
        <v>53</v>
      </c>
      <c r="G13" s="79"/>
      <c r="H13" s="80"/>
    </row>
    <row r="14" spans="1:14">
      <c r="B14" s="19" t="s">
        <v>17</v>
      </c>
      <c r="C14" s="6">
        <f>D6+C7+D9+C10+D11</f>
        <v>6.9284863106915804</v>
      </c>
      <c r="F14" s="81" t="s">
        <v>22</v>
      </c>
      <c r="G14" s="23">
        <f ca="1">G14-G15/G16</f>
        <v>2.3137968368673833E-2</v>
      </c>
      <c r="H14" s="22">
        <f ca="1">DEGREES(G14)</f>
        <v>1.3257079340322091</v>
      </c>
    </row>
    <row r="15" spans="1:14">
      <c r="B15" t="s">
        <v>24</v>
      </c>
      <c r="C15" s="67">
        <v>13.0239560579121</v>
      </c>
      <c r="F15" s="81" t="s">
        <v>23</v>
      </c>
      <c r="G15" s="23">
        <f ca="1">0.5*H9*D9/3.33564/C17*100-SIN(G14/2)*COS(G14/2+RADIANS(C6))</f>
        <v>0</v>
      </c>
      <c r="H15" s="22"/>
    </row>
    <row r="16" spans="1:14">
      <c r="C16" t="s">
        <v>26</v>
      </c>
      <c r="F16" s="82" t="s">
        <v>25</v>
      </c>
      <c r="G16" s="27">
        <f ca="1">-COS(RADIANS(C6)+G14)/2</f>
        <v>-0.49767941441868219</v>
      </c>
      <c r="H16" s="83"/>
    </row>
    <row r="17" spans="1:14">
      <c r="A17" t="s">
        <v>27</v>
      </c>
      <c r="B17" s="29">
        <f>7*1100+650-'first passNE'!B52</f>
        <v>8349.4890010899999</v>
      </c>
      <c r="C17" s="7">
        <f>SQRT(B17*B17+2*'first passNE'!B52*B17)</f>
        <v>8349.999984364078</v>
      </c>
    </row>
    <row r="18" spans="1:14">
      <c r="D18" t="s">
        <v>21</v>
      </c>
      <c r="F18">
        <v>92.435658371565495</v>
      </c>
      <c r="G18">
        <f ca="1">F18/100*COS(RADIANS(C6+C9))</f>
        <v>0.92006648659532153</v>
      </c>
    </row>
    <row r="19" spans="1:14">
      <c r="C19" s="32"/>
    </row>
    <row r="20" spans="1:14">
      <c r="B20" s="153"/>
      <c r="C20" s="153"/>
      <c r="D20" s="153"/>
      <c r="E20" s="153"/>
      <c r="G20" s="135"/>
      <c r="H20" s="135"/>
      <c r="I20" s="135"/>
      <c r="J20" s="135"/>
      <c r="K20" s="135"/>
      <c r="L20" s="135"/>
    </row>
    <row r="21" spans="1:14">
      <c r="D21">
        <v>9.8746899999999993</v>
      </c>
    </row>
    <row r="22" spans="1:14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</row>
    <row r="23" spans="1:14">
      <c r="C23" s="6"/>
      <c r="E23" s="6"/>
      <c r="G23" s="68">
        <f ca="1">H10</f>
        <v>100.4094674051474</v>
      </c>
    </row>
    <row r="24" spans="1:14">
      <c r="A24" s="30">
        <v>1.02</v>
      </c>
      <c r="B24" t="s">
        <v>89</v>
      </c>
      <c r="C24" s="165">
        <f ca="1">DEGREES(G30)</f>
        <v>2.0567952278396735</v>
      </c>
      <c r="D24" s="64">
        <v>0.99897170262137103</v>
      </c>
      <c r="E24" s="162">
        <f ca="1">D24*G30/2/SIN(G30/2)</f>
        <v>0.99902534340519644</v>
      </c>
      <c r="F24" s="159">
        <f ca="1">D24/2/SIN(G30/2)</f>
        <v>27.82967163135956</v>
      </c>
      <c r="G24" s="162">
        <f ca="1">D24*D24/2/F24+G23</f>
        <v>100.42739690995538</v>
      </c>
      <c r="H24" s="162">
        <f ca="1">2*SIN(G30/2)/D24*C17*3.33564/100</f>
        <v>10.008236646406854</v>
      </c>
      <c r="I24" s="162">
        <f ca="1">C24/2</f>
        <v>1.0283976139198368</v>
      </c>
      <c r="J24" s="162">
        <f ca="1">C24/2</f>
        <v>1.0283976139198368</v>
      </c>
      <c r="K24" s="162">
        <f ca="1">(1+POWER(SIN(G30/2),2))/POWER(COS(G30/2),3)*A24*2.54/2</f>
        <v>1.296443669554302</v>
      </c>
      <c r="L24" s="162">
        <f ca="1">K24</f>
        <v>1.296443669554302</v>
      </c>
      <c r="M24" s="32">
        <f ca="1">H24*1000*E24*100</f>
        <v>999848.20525570773</v>
      </c>
      <c r="N24" s="32">
        <f ca="1">H24*1000*100*D24</f>
        <v>999794.52028986544</v>
      </c>
    </row>
    <row r="25" spans="1:14">
      <c r="B25" t="s">
        <v>17</v>
      </c>
      <c r="C25" s="31">
        <v>1.52237808</v>
      </c>
      <c r="D25" s="31" t="s">
        <v>21</v>
      </c>
      <c r="E25" s="162">
        <f ca="1">C25/COS(G30)</f>
        <v>1.5233595174439662</v>
      </c>
      <c r="F25" s="6"/>
      <c r="G25" s="162">
        <f ca="1">G24+TAN(G30)*C25</f>
        <v>100.482070495192</v>
      </c>
      <c r="H25" s="6"/>
      <c r="I25" s="6"/>
      <c r="J25" s="6"/>
      <c r="K25" s="6"/>
      <c r="L25" s="6"/>
    </row>
    <row r="26" spans="1:14">
      <c r="E26" s="6"/>
      <c r="F26" s="6"/>
      <c r="G26" s="162">
        <f ca="1">G25+D27*D27/2/F27</f>
        <v>100.49999999999999</v>
      </c>
      <c r="H26" s="6"/>
      <c r="I26" s="6"/>
      <c r="J26" s="6"/>
      <c r="K26" s="6"/>
      <c r="L26" s="6"/>
      <c r="M26" s="32"/>
      <c r="N26" s="32"/>
    </row>
    <row r="27" spans="1:14">
      <c r="A27" s="30">
        <v>1.02</v>
      </c>
      <c r="B27" t="s">
        <v>90</v>
      </c>
      <c r="C27" s="165">
        <f ca="1">C24</f>
        <v>2.0567952278396735</v>
      </c>
      <c r="D27" s="64">
        <v>0.99897170262137103</v>
      </c>
      <c r="E27" s="162">
        <f ca="1">D27*G30/2/SIN(G30/2)</f>
        <v>0.99902534340519644</v>
      </c>
      <c r="F27" s="159">
        <f ca="1">D27/2/SIN(G30/2)</f>
        <v>27.82967163135956</v>
      </c>
      <c r="G27" s="31">
        <v>100.5</v>
      </c>
      <c r="H27" s="162">
        <f ca="1">2*SIN(G30/2)/D27*C17*3.33564/100</f>
        <v>10.008236646406854</v>
      </c>
      <c r="I27" s="162">
        <f ca="1">C27/2</f>
        <v>1.0283976139198368</v>
      </c>
      <c r="J27" s="162">
        <f ca="1">C27/2</f>
        <v>1.0283976139198368</v>
      </c>
      <c r="K27" s="162">
        <f ca="1">(1+POWER(SIN(G30/2),2))/POWER(COS(G30/2),3)*2.54*A27*0.5</f>
        <v>1.296443669554302</v>
      </c>
      <c r="L27" s="162">
        <f ca="1">K27</f>
        <v>1.296443669554302</v>
      </c>
      <c r="M27" s="32">
        <f ca="1">H27*1000*E27*100</f>
        <v>999848.20525570773</v>
      </c>
      <c r="N27" s="32">
        <f ca="1">H27*1000*100*D27</f>
        <v>999794.52028986544</v>
      </c>
    </row>
    <row r="29" spans="1:14">
      <c r="F29" s="152" t="s">
        <v>91</v>
      </c>
      <c r="G29" s="152"/>
      <c r="H29" s="152"/>
      <c r="M29" s="32"/>
      <c r="N29" s="32"/>
    </row>
    <row r="30" spans="1:14">
      <c r="B30" s="19" t="s">
        <v>17</v>
      </c>
      <c r="C30" s="6">
        <f>C14+C15+D24+C25+D27</f>
        <v>23.472763853846423</v>
      </c>
      <c r="F30" s="20" t="s">
        <v>22</v>
      </c>
      <c r="G30" s="23">
        <f ca="1">G30-G31/G32</f>
        <v>3.5897848765109243E-2</v>
      </c>
      <c r="H30" s="22">
        <f ca="1">DEGREES(G30)</f>
        <v>2.0567952278396735</v>
      </c>
      <c r="I30" s="6"/>
    </row>
    <row r="31" spans="1:14">
      <c r="F31" s="20" t="s">
        <v>23</v>
      </c>
      <c r="G31" s="23">
        <f ca="1">G27-G23-D24*SIN(G30/2)-D27*SIN(G30/2)-C25*TAN(G30)</f>
        <v>0</v>
      </c>
      <c r="H31" s="24"/>
    </row>
    <row r="32" spans="1:14">
      <c r="E32" s="6"/>
      <c r="F32" s="26" t="s">
        <v>25</v>
      </c>
      <c r="G32" s="27">
        <f ca="1">-0.5*D24*COS(G30/2)-0.5*D27*COS(G30/2)-C25/COS(G30)/COS(G30)</f>
        <v>-2.523152378233394</v>
      </c>
      <c r="H32" s="28"/>
    </row>
    <row r="34" spans="2:7">
      <c r="B34">
        <v>139.39580000000001</v>
      </c>
      <c r="C34">
        <f ca="1">B34/100*COS(RADIANS(C11/2))</f>
        <v>1.3923396611633594</v>
      </c>
    </row>
    <row r="36" spans="2:7">
      <c r="D36" t="s">
        <v>92</v>
      </c>
      <c r="E36" t="s">
        <v>93</v>
      </c>
      <c r="F36" t="s">
        <v>10</v>
      </c>
    </row>
    <row r="37" spans="2:7">
      <c r="E37" s="6">
        <v>90.553719999999998</v>
      </c>
      <c r="F37" s="6">
        <v>100</v>
      </c>
    </row>
    <row r="38" spans="2:7">
      <c r="D38" t="s">
        <v>94</v>
      </c>
      <c r="E38" s="6">
        <f>E37+D6</f>
        <v>92.053719999999998</v>
      </c>
      <c r="F38" s="23">
        <v>100.024939023296</v>
      </c>
      <c r="G38" s="23"/>
    </row>
    <row r="39" spans="2:7">
      <c r="E39" s="6">
        <f>E38+C7</f>
        <v>92.543273137</v>
      </c>
      <c r="F39" s="23">
        <v>100.07484811109001</v>
      </c>
      <c r="G39" s="23"/>
    </row>
    <row r="40" spans="2:7">
      <c r="D40" t="s">
        <v>95</v>
      </c>
      <c r="E40" s="6">
        <f>E39+D9</f>
        <v>93.558800146079435</v>
      </c>
      <c r="F40" s="23">
        <v>100.14791752022001</v>
      </c>
    </row>
    <row r="41" spans="2:7">
      <c r="E41" s="6">
        <f>E40+C10</f>
        <v>94.44690024007943</v>
      </c>
      <c r="F41" s="6">
        <v>100.232849589705</v>
      </c>
    </row>
    <row r="42" spans="2:7">
      <c r="D42" t="s">
        <v>96</v>
      </c>
      <c r="E42" s="6">
        <f>E41+D11</f>
        <v>97.482206310691566</v>
      </c>
      <c r="F42" s="6">
        <v>100.376812059578</v>
      </c>
    </row>
    <row r="43" spans="2:7">
      <c r="E43" s="6">
        <f>E42+D21</f>
        <v>107.35689631069157</v>
      </c>
      <c r="F43" s="6">
        <v>100.376812059578</v>
      </c>
    </row>
    <row r="44" spans="2:7">
      <c r="D44" t="s">
        <v>97</v>
      </c>
      <c r="E44" s="6">
        <f>E43+D24</f>
        <v>108.35586801331294</v>
      </c>
      <c r="F44" s="23">
        <v>100.390496617661</v>
      </c>
    </row>
    <row r="45" spans="2:7">
      <c r="E45" s="6">
        <f>E44+C25</f>
        <v>109.87824609331294</v>
      </c>
      <c r="F45" s="23">
        <v>100.486315441917</v>
      </c>
    </row>
    <row r="46" spans="2:7">
      <c r="D46" t="s">
        <v>98</v>
      </c>
      <c r="E46" s="6">
        <f>E45+D27</f>
        <v>110.87721779593431</v>
      </c>
      <c r="F46" s="23">
        <v>100.5</v>
      </c>
    </row>
    <row r="49" spans="1:2">
      <c r="A49" t="s">
        <v>99</v>
      </c>
    </row>
    <row r="50" spans="1:2">
      <c r="A50" t="s">
        <v>33</v>
      </c>
      <c r="B50" s="34">
        <v>3</v>
      </c>
    </row>
    <row r="51" spans="1:2">
      <c r="A51" t="s">
        <v>34</v>
      </c>
      <c r="B51" s="167">
        <f>B50*RADIANS(180)/32/2/SIN(RADIANS(180)/32/2)</f>
        <v>3.0012051244648958</v>
      </c>
    </row>
    <row r="52" spans="1:2">
      <c r="A52" t="s">
        <v>11</v>
      </c>
      <c r="B52" s="167">
        <f>3.33564/100*$C$17*RADIANS(180)/32/B51</f>
        <v>9.1110800600442197</v>
      </c>
    </row>
    <row r="53" spans="1:2">
      <c r="A53" t="s">
        <v>6</v>
      </c>
      <c r="B53" s="162">
        <f>180/32/2</f>
        <v>2.8125</v>
      </c>
    </row>
    <row r="54" spans="1:2">
      <c r="A54" t="s">
        <v>4</v>
      </c>
      <c r="B54" s="34">
        <v>1.0009999999999999</v>
      </c>
    </row>
    <row r="55" spans="1:2">
      <c r="A55" t="s">
        <v>35</v>
      </c>
      <c r="B55" s="162">
        <f>(1+POWER(SIN(RADIANS(B53)/2),2))/POWER(COS(RADIANS(B53/2)),3)*2.54*B54*0.5</f>
        <v>1.273185682928986</v>
      </c>
    </row>
  </sheetData>
  <mergeCells count="2">
    <mergeCell ref="B20:E20"/>
    <mergeCell ref="F29:H2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workbookViewId="0">
      <selection activeCell="E16" sqref="E16"/>
    </sheetView>
  </sheetViews>
  <sheetFormatPr baseColWidth="10" defaultColWidth="9" defaultRowHeight="13"/>
  <cols>
    <col min="2" max="2" width="13.5" customWidth="1"/>
    <col min="3" max="3" width="13.83203125" customWidth="1"/>
    <col min="6" max="6" width="11" customWidth="1"/>
    <col min="7" max="7" width="14.5" customWidth="1"/>
    <col min="8" max="8" width="15.5" customWidth="1"/>
  </cols>
  <sheetData>
    <row r="1" spans="1:14">
      <c r="A1" s="4" t="s">
        <v>37</v>
      </c>
      <c r="D1" s="1"/>
      <c r="E1" t="s">
        <v>0</v>
      </c>
      <c r="G1" s="2"/>
      <c r="H1" t="s">
        <v>1</v>
      </c>
      <c r="J1" s="3"/>
      <c r="K1" t="s">
        <v>38</v>
      </c>
    </row>
    <row r="3" spans="1:14">
      <c r="A3" s="5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</row>
    <row r="4" spans="1:14">
      <c r="C4" s="6"/>
      <c r="G4" s="38">
        <v>100</v>
      </c>
      <c r="M4" s="39" t="s">
        <v>39</v>
      </c>
      <c r="N4" t="s">
        <v>40</v>
      </c>
    </row>
    <row r="5" spans="1:14">
      <c r="A5" s="8">
        <v>1.5</v>
      </c>
      <c r="B5" t="s">
        <v>60</v>
      </c>
      <c r="C5" s="15">
        <f>DEGREES(ASIN(H5*D5/3.33564/C18*100))</f>
        <v>2.7976311660913145</v>
      </c>
      <c r="D5" s="61">
        <f>'first pass SW'!D5</f>
        <v>1.0145768738995105</v>
      </c>
      <c r="E5" s="11">
        <f>D5*RADIANS(C5)/SIN(RADIANS(C5))</f>
        <v>1.0149801385666373</v>
      </c>
      <c r="F5" s="11">
        <f>3.33564/100*$C$18/H5</f>
        <v>20.786899622197605</v>
      </c>
      <c r="G5" s="11">
        <f>G4+D5*(1-COS(RADIANS(C5)))/SIN(RADIANS(C5))</f>
        <v>100.02477473888503</v>
      </c>
      <c r="H5" s="68">
        <f>'Second pass SW'!$H$5</f>
        <v>14.190218361978818</v>
      </c>
      <c r="I5" s="12">
        <v>0</v>
      </c>
      <c r="J5" s="11">
        <f>C5</f>
        <v>2.7976311660913145</v>
      </c>
      <c r="K5" s="11">
        <f>A5*2.54/2</f>
        <v>1.905</v>
      </c>
      <c r="L5" s="13">
        <f>(1+POWER(SIN(RADIANS(J5)),2))/POWER(COS(RADIANS(J5)),3)*2.54*A5*0.5</f>
        <v>1.9163821406548358</v>
      </c>
      <c r="M5" s="32">
        <f>H5*1000*E5*100</f>
        <v>1440278.97993321</v>
      </c>
      <c r="N5" s="32">
        <f>H5*1000*100*D5</f>
        <v>1439706.73856479</v>
      </c>
    </row>
    <row r="6" spans="1:14">
      <c r="B6" t="s">
        <v>17</v>
      </c>
      <c r="C6" s="68">
        <f>'Second pass SW'!$C$6</f>
        <v>1.9797565483873789</v>
      </c>
      <c r="E6" s="11">
        <f>C6/COS(RADIANS(C5))</f>
        <v>1.9821189246767945</v>
      </c>
      <c r="F6" s="7"/>
      <c r="G6" s="11">
        <f>G5+TAN(RADIANS(C5))*C6</f>
        <v>100.12151894118772</v>
      </c>
      <c r="M6" s="39"/>
      <c r="N6" s="39"/>
    </row>
    <row r="7" spans="1:14">
      <c r="E7" s="6"/>
      <c r="M7" s="39"/>
      <c r="N7" s="39"/>
    </row>
    <row r="8" spans="1:14">
      <c r="A8" s="8">
        <v>1.87</v>
      </c>
      <c r="B8" t="s">
        <v>61</v>
      </c>
      <c r="C8" s="15">
        <f ca="1">H13</f>
        <v>2.3024860053898828</v>
      </c>
      <c r="D8" s="61">
        <f>'Second pass SW'!D8</f>
        <v>1.0257755690257144</v>
      </c>
      <c r="E8" s="11">
        <f ca="1">D8*RADIANS(C8)/2/SIN(RADIANS(C8)/2)/COS(RADIANS(C5)+RADIANS(C8)/2)</f>
        <v>1.0282858503494094</v>
      </c>
      <c r="F8" s="17">
        <f ca="1">3.33564*C18/100/H8</f>
        <v>25.588185648088547</v>
      </c>
      <c r="G8" s="11">
        <f ca="1">F8*(1-COS(RADIANS(C8)))*COS(RADIANS(C5))+G6+F8*SIN(RADIANS(C8))*SIN(RADIANS(C5))</f>
        <v>100.19232842398768</v>
      </c>
      <c r="H8" s="68">
        <f ca="1">'Second pass SW'!$H$8</f>
        <v>11.527610779608107</v>
      </c>
      <c r="I8" s="11">
        <f>J5</f>
        <v>2.7976311660913145</v>
      </c>
      <c r="J8" s="11">
        <f ca="1">I8+C8</f>
        <v>5.1001171714811973</v>
      </c>
      <c r="K8" s="11">
        <f>(1+POWER(SIN(RADIANS(I8)),2))/POWER(COS(RADIANS(I8)),3)*2.54*$A8*0.5</f>
        <v>2.3890897353496952</v>
      </c>
      <c r="L8" s="11">
        <f ca="1">(1+POWER(SIN(RADIANS(J8)),2))/POWER(COS(RADIANS(J8)),3)*2.54*$A8*0.5</f>
        <v>2.4223248264816828</v>
      </c>
      <c r="M8" s="32">
        <f ca="1">H8*1000*E8*100</f>
        <v>1185367.905300634</v>
      </c>
      <c r="N8" s="32">
        <f ca="1">H8*1000*100*D8</f>
        <v>1182474.1506959465</v>
      </c>
    </row>
    <row r="9" spans="1:14">
      <c r="B9" t="s">
        <v>17</v>
      </c>
      <c r="C9" s="31">
        <f ca="1">E9*COS(RADIANS(C10))</f>
        <v>0.21259189064706685</v>
      </c>
      <c r="E9" s="116">
        <v>0.21343691222291111</v>
      </c>
      <c r="G9" s="11">
        <f ca="1">G8+TAN(RADIANS(C10))*C9</f>
        <v>100.21130218298151</v>
      </c>
      <c r="H9" s="11">
        <f ca="1">G9+F10*(1-COS(RADIANS(C10)))</f>
        <v>100.34648357322639</v>
      </c>
      <c r="M9" s="39"/>
      <c r="N9" s="39"/>
    </row>
    <row r="10" spans="1:14">
      <c r="A10" s="8">
        <v>1</v>
      </c>
      <c r="B10" s="6" t="s">
        <v>100</v>
      </c>
      <c r="C10" s="11">
        <f ca="1">C5+C8</f>
        <v>5.1001171714811973</v>
      </c>
      <c r="D10" s="16">
        <v>3.0353060706121413</v>
      </c>
      <c r="E10" s="11">
        <f ca="1">D10*RADIANS(C10)/SIN(RADIANS(C10))</f>
        <v>3.0393181350204266</v>
      </c>
      <c r="F10" s="11">
        <f ca="1">E10/(RADIANS(C10))</f>
        <v>34.144333527864504</v>
      </c>
      <c r="H10" s="11">
        <f ca="1">3.33564*C18/100/F10</f>
        <v>8.6389340259577594</v>
      </c>
      <c r="I10" s="11">
        <f ca="1">C10</f>
        <v>5.1001171714811973</v>
      </c>
      <c r="J10" s="11">
        <v>0</v>
      </c>
      <c r="K10" s="13">
        <f ca="1">(1+POWER(SIN(RADIANS(I10)),2))/POWER(COS(RADIANS(I10)),3)*2.54*A10*0.5</f>
        <v>1.2953608697763008</v>
      </c>
      <c r="L10" s="13">
        <f>(1+POWER(SIN(RADIANS(J10)),2))/POWER(COS(RADIANS(J10)),3)*2.54*A10*0.5</f>
        <v>1.27</v>
      </c>
      <c r="M10" s="32">
        <f ca="1">H10*1000*E10*100</f>
        <v>2625646.8852338446</v>
      </c>
      <c r="N10" s="32">
        <f ca="1">H10*1000*100*D10</f>
        <v>2622180.8892607377</v>
      </c>
    </row>
    <row r="12" spans="1:14">
      <c r="F12" s="78" t="s">
        <v>63</v>
      </c>
      <c r="G12" s="79"/>
      <c r="H12" s="80"/>
    </row>
    <row r="13" spans="1:14">
      <c r="B13" t="s">
        <v>17</v>
      </c>
      <c r="C13" s="116">
        <v>12.293456057912115</v>
      </c>
      <c r="F13" s="81" t="s">
        <v>22</v>
      </c>
      <c r="G13" s="23">
        <f ca="1">G13-G14/G15</f>
        <v>4.0185961775145357E-2</v>
      </c>
      <c r="H13" s="22">
        <f ca="1">DEGREES(G13)</f>
        <v>2.3024860053898828</v>
      </c>
    </row>
    <row r="14" spans="1:14">
      <c r="B14" t="s">
        <v>24</v>
      </c>
      <c r="C14" s="6">
        <v>12.007389999999999</v>
      </c>
      <c r="F14" s="81" t="s">
        <v>23</v>
      </c>
      <c r="G14" s="23">
        <f ca="1">0.5*H8*D8/3.33564/C18*100-SIN(G13/2)*COS(G13/2+RADIANS(C5))</f>
        <v>0</v>
      </c>
      <c r="H14" s="22"/>
    </row>
    <row r="15" spans="1:14">
      <c r="F15" s="82" t="s">
        <v>25</v>
      </c>
      <c r="G15" s="27">
        <f ca="1">-COS(RADIANS(C5)+G13)/2</f>
        <v>-0.49802044180867427</v>
      </c>
      <c r="H15" s="83"/>
    </row>
    <row r="17" spans="1:14">
      <c r="C17" t="s">
        <v>26</v>
      </c>
    </row>
    <row r="18" spans="1:14">
      <c r="A18" t="s">
        <v>27</v>
      </c>
      <c r="B18" s="29">
        <f>8*1090+123-'first passNE'!B52</f>
        <v>8842.4890010899999</v>
      </c>
      <c r="C18" s="7">
        <f>SQRT(B18*B18+2*'first passNE'!B52*B18)</f>
        <v>8842.9999852357869</v>
      </c>
    </row>
    <row r="21" spans="1:14">
      <c r="B21" s="153"/>
      <c r="C21" s="153"/>
      <c r="D21" s="153"/>
      <c r="E21" s="153"/>
      <c r="G21" s="135"/>
      <c r="H21" s="135"/>
      <c r="I21" s="135"/>
      <c r="J21" s="135"/>
      <c r="K21" s="135"/>
      <c r="L21" s="135"/>
    </row>
    <row r="23" spans="1:14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</row>
    <row r="24" spans="1:14">
      <c r="C24" s="6"/>
      <c r="E24" s="6"/>
      <c r="G24" s="68">
        <f ca="1">H9</f>
        <v>100.34648357322639</v>
      </c>
    </row>
    <row r="25" spans="1:14">
      <c r="A25" s="30">
        <v>1.02</v>
      </c>
      <c r="B25" t="s">
        <v>101</v>
      </c>
      <c r="C25" s="15">
        <f ca="1">DEGREES(G31)</f>
        <v>2.5670662944426272</v>
      </c>
      <c r="D25" s="16">
        <v>0.99851244506604386</v>
      </c>
      <c r="E25" s="11">
        <f ca="1">D25*G31/2/SIN(G31/2)</f>
        <v>0.99859596623660507</v>
      </c>
      <c r="F25" s="1">
        <f ca="1">D25/2/SIN(G31/2)</f>
        <v>22.288218433629805</v>
      </c>
      <c r="G25" s="11">
        <f ca="1">D25*D25/2/F25+G24</f>
        <v>100.36885025780283</v>
      </c>
      <c r="H25" s="11">
        <f ca="1">2*SIN(G31/2)/D25*C18*3.33564/100</f>
        <v>13.234375173856407</v>
      </c>
      <c r="I25" s="11">
        <f ca="1">C25/2</f>
        <v>1.2835331472213136</v>
      </c>
      <c r="J25" s="11">
        <f ca="1">C25/2</f>
        <v>1.2835331472213136</v>
      </c>
      <c r="K25" s="11">
        <f ca="1">(1+POWER(SIN(G31/2),2))/POWER(COS(G31/2),3)*A25*2.54/2</f>
        <v>1.2970260519720436</v>
      </c>
      <c r="L25" s="11">
        <f ca="1">K25</f>
        <v>1.2970260519720436</v>
      </c>
      <c r="M25" s="32">
        <f ca="1">H25*1000*E25*100</f>
        <v>1321579.3664274875</v>
      </c>
      <c r="N25" s="32">
        <f ca="1">H25*1000*100*D25</f>
        <v>1321468.8313768709</v>
      </c>
    </row>
    <row r="26" spans="1:14">
      <c r="B26" t="s">
        <v>17</v>
      </c>
      <c r="C26" s="31">
        <f ca="1">E26*COS(G31)</f>
        <v>2.4263646819832756</v>
      </c>
      <c r="E26" s="116">
        <v>2.4288020346667025</v>
      </c>
      <c r="F26" s="6"/>
      <c r="G26" s="11">
        <f ca="1">G25+TAN(G31)*C26</f>
        <v>100.47763331542355</v>
      </c>
      <c r="H26" s="6"/>
      <c r="I26" s="6"/>
      <c r="J26" s="6"/>
      <c r="K26" s="6"/>
      <c r="L26" s="6"/>
    </row>
    <row r="27" spans="1:14">
      <c r="E27" s="6"/>
      <c r="F27" s="6"/>
      <c r="G27" s="11">
        <f ca="1">G26+D28*D28/2/F28</f>
        <v>100.49999999999999</v>
      </c>
      <c r="H27" s="6"/>
      <c r="I27" s="6"/>
      <c r="J27" s="6"/>
      <c r="K27" s="6"/>
      <c r="L27" s="6"/>
    </row>
    <row r="28" spans="1:14">
      <c r="A28" s="30">
        <v>1.02</v>
      </c>
      <c r="B28" t="s">
        <v>102</v>
      </c>
      <c r="C28" s="15">
        <f ca="1">C25</f>
        <v>2.5670662944426272</v>
      </c>
      <c r="D28" s="16">
        <v>0.99851244506604386</v>
      </c>
      <c r="E28" s="11">
        <f ca="1">D28*G31/2/SIN(G31/2)</f>
        <v>0.99859596623660507</v>
      </c>
      <c r="F28" s="1">
        <f ca="1">D28/2/SIN(G31/2)</f>
        <v>22.288218433629805</v>
      </c>
      <c r="G28" s="31">
        <v>100.5</v>
      </c>
      <c r="H28" s="11">
        <f ca="1">2*SIN(G31/2)/D28*C18*3.33564/100</f>
        <v>13.234375173856407</v>
      </c>
      <c r="I28" s="11">
        <f ca="1">C28/2</f>
        <v>1.2835331472213136</v>
      </c>
      <c r="J28" s="11">
        <f ca="1">C28/2</f>
        <v>1.2835331472213136</v>
      </c>
      <c r="K28" s="11">
        <f ca="1">(1+POWER(SIN(G31/2),2))/POWER(COS(G31/2),3)*2.54*A28*0.5</f>
        <v>1.2970260519720436</v>
      </c>
      <c r="L28" s="11">
        <f ca="1">K28</f>
        <v>1.2970260519720436</v>
      </c>
      <c r="M28" s="32">
        <f ca="1">H28*1000*E28*100</f>
        <v>1321579.3664274875</v>
      </c>
      <c r="N28" s="32">
        <f ca="1">H28*1000*100*D28</f>
        <v>1321468.8313768709</v>
      </c>
    </row>
    <row r="30" spans="1:14">
      <c r="F30" s="152" t="s">
        <v>103</v>
      </c>
      <c r="G30" s="152"/>
      <c r="H30" s="152"/>
    </row>
    <row r="31" spans="1:14">
      <c r="B31" s="19" t="s">
        <v>17</v>
      </c>
      <c r="C31" s="6">
        <f ca="1">C13+C14+D25+C26+D28</f>
        <v>28.724235630027479</v>
      </c>
      <c r="F31" s="20" t="s">
        <v>22</v>
      </c>
      <c r="G31" s="23">
        <f ca="1">G31-G32/G33</f>
        <v>4.4803758954994062E-2</v>
      </c>
      <c r="H31" s="22">
        <f ca="1">DEGREES(G31)</f>
        <v>2.5670662944426272</v>
      </c>
      <c r="I31" s="6"/>
    </row>
    <row r="32" spans="1:14">
      <c r="F32" s="20" t="s">
        <v>23</v>
      </c>
      <c r="G32" s="23">
        <f ca="1">G28-G24-D25*SIN(G31/2)-D28*SIN(G31/2)-C26*TAN(G31)</f>
        <v>0</v>
      </c>
      <c r="H32" s="24"/>
    </row>
    <row r="33" spans="1:8">
      <c r="E33" s="6"/>
      <c r="F33" s="26" t="s">
        <v>25</v>
      </c>
      <c r="G33" s="27">
        <f ca="1">-0.5*D25*COS(G31/2)-0.5*D28*COS(G31/2)-C26/COS(G31)/COS(G31)</f>
        <v>-3.4295037424428321</v>
      </c>
      <c r="H33" s="28"/>
    </row>
    <row r="35" spans="1:8">
      <c r="B35" t="s">
        <v>17</v>
      </c>
      <c r="C35" t="s">
        <v>10</v>
      </c>
    </row>
    <row r="36" spans="1:8">
      <c r="B36" s="44">
        <v>-91.525080000000003</v>
      </c>
      <c r="C36" s="6">
        <f>G4</f>
        <v>100</v>
      </c>
    </row>
    <row r="37" spans="1:8">
      <c r="B37" s="6">
        <f>B36+D5</f>
        <v>-90.510503126100488</v>
      </c>
      <c r="C37" s="6">
        <f>G5</f>
        <v>100.02477473888503</v>
      </c>
    </row>
    <row r="38" spans="1:8">
      <c r="B38" s="6">
        <f>B37+C6</f>
        <v>-88.530746577713103</v>
      </c>
      <c r="C38" s="6">
        <f>G6</f>
        <v>100.12151894118772</v>
      </c>
    </row>
    <row r="39" spans="1:8">
      <c r="B39" s="6">
        <f>B38+D8</f>
        <v>-87.504971008687392</v>
      </c>
      <c r="C39" s="6">
        <f ca="1">G8</f>
        <v>100.19232842398768</v>
      </c>
      <c r="F39" t="s">
        <v>104</v>
      </c>
    </row>
    <row r="40" spans="1:8">
      <c r="B40" s="6">
        <f ca="1">B39+C9</f>
        <v>-87.29237911804033</v>
      </c>
      <c r="C40" s="6">
        <f ca="1">G9</f>
        <v>100.21130218298151</v>
      </c>
    </row>
    <row r="41" spans="1:8">
      <c r="B41" s="6">
        <f ca="1">B40+D10</f>
        <v>-84.257073047428193</v>
      </c>
      <c r="C41" s="6">
        <f ca="1">H9</f>
        <v>100.34648357322639</v>
      </c>
    </row>
    <row r="42" spans="1:8">
      <c r="B42" s="6">
        <f ca="1">B41+C14</f>
        <v>-72.249683047428192</v>
      </c>
      <c r="C42" s="6">
        <f ca="1">G24</f>
        <v>100.34648357322639</v>
      </c>
    </row>
    <row r="43" spans="1:8">
      <c r="B43" s="6">
        <f ca="1">B42+D25</f>
        <v>-71.251170602362151</v>
      </c>
      <c r="C43" s="6">
        <f ca="1">G25</f>
        <v>100.36885025780283</v>
      </c>
    </row>
    <row r="44" spans="1:8">
      <c r="B44" s="6">
        <f ca="1">B43+C26</f>
        <v>-68.824805920378878</v>
      </c>
      <c r="C44" s="6">
        <f ca="1">G26</f>
        <v>100.47763331542355</v>
      </c>
    </row>
    <row r="45" spans="1:8">
      <c r="B45" s="6">
        <f ca="1">B44+D28</f>
        <v>-67.826293475312838</v>
      </c>
      <c r="C45" s="6">
        <f ca="1">G27</f>
        <v>100.49999999999999</v>
      </c>
    </row>
    <row r="47" spans="1:8">
      <c r="A47" t="s">
        <v>105</v>
      </c>
    </row>
    <row r="48" spans="1:8">
      <c r="A48" t="s">
        <v>33</v>
      </c>
      <c r="B48" s="34">
        <v>3</v>
      </c>
    </row>
    <row r="49" spans="1:2">
      <c r="A49" t="s">
        <v>34</v>
      </c>
      <c r="B49" s="10">
        <f>B48*RADIANS(180)/32/2/SIN(RADIANS(180)/32/2)</f>
        <v>3.0012051244648958</v>
      </c>
    </row>
    <row r="50" spans="1:2">
      <c r="A50" t="s">
        <v>11</v>
      </c>
      <c r="B50" s="10">
        <f>3.33564/100*$C$18*RADIANS(180)/32/B49</f>
        <v>9.649015687104713</v>
      </c>
    </row>
    <row r="51" spans="1:2">
      <c r="A51" t="s">
        <v>6</v>
      </c>
      <c r="B51" s="11">
        <f>180/32/2</f>
        <v>2.8125</v>
      </c>
    </row>
    <row r="52" spans="1:2">
      <c r="A52" t="s">
        <v>4</v>
      </c>
      <c r="B52" s="34">
        <v>1.0009999999999999</v>
      </c>
    </row>
    <row r="53" spans="1:2">
      <c r="A53" t="s">
        <v>35</v>
      </c>
      <c r="B53" s="11">
        <f>(1+POWER(SIN(RADIANS(B51)/2),2))/POWER(COS(RADIANS(B51/2)),3)*2.54*B52*0.5</f>
        <v>1.273185682928986</v>
      </c>
    </row>
  </sheetData>
  <mergeCells count="2">
    <mergeCell ref="B21:E21"/>
    <mergeCell ref="F30:H30"/>
  </mergeCells>
  <conditionalFormatting sqref="D10">
    <cfRule type="cellIs" dxfId="18" priority="3" operator="notEqual">
      <formula>AO10</formula>
    </cfRule>
  </conditionalFormatting>
  <conditionalFormatting sqref="D25">
    <cfRule type="cellIs" dxfId="17" priority="2" operator="notEqual">
      <formula>AO25</formula>
    </cfRule>
  </conditionalFormatting>
  <conditionalFormatting sqref="D28">
    <cfRule type="cellIs" dxfId="16" priority="1" operator="notEqual">
      <formula>AO28</formula>
    </cfRule>
  </conditionalFormatting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39"/>
  <sheetViews>
    <sheetView zoomScale="117" workbookViewId="0">
      <selection activeCell="B38" activeCellId="24" sqref="C1 C6 C9 C11 C13 C15 E6:G6 E7 G7 E9:G9 E10:E11 F11 G10 H10 I6:L6 I9:L9 I11:L11 E13:E15 F13 F15 G12:G14 H13:L15 E23 B34:B36 B38"/>
    </sheetView>
  </sheetViews>
  <sheetFormatPr baseColWidth="10" defaultColWidth="9" defaultRowHeight="13"/>
  <cols>
    <col min="1" max="1" width="9.1640625" bestFit="1" customWidth="1"/>
    <col min="2" max="2" width="11.6640625" bestFit="1" customWidth="1"/>
    <col min="3" max="3" width="13" customWidth="1"/>
    <col min="4" max="4" width="16.1640625" customWidth="1"/>
    <col min="5" max="5" width="14.1640625" customWidth="1"/>
    <col min="6" max="6" width="11.83203125" customWidth="1"/>
    <col min="7" max="7" width="13.5" customWidth="1"/>
    <col min="8" max="8" width="14.5" customWidth="1"/>
    <col min="9" max="12" width="9.1640625" bestFit="1" customWidth="1"/>
    <col min="13" max="13" width="13.5" customWidth="1"/>
    <col min="14" max="14" width="13.33203125" customWidth="1"/>
  </cols>
  <sheetData>
    <row r="1" spans="1:14">
      <c r="C1" s="159"/>
      <c r="D1" t="s">
        <v>0</v>
      </c>
      <c r="F1" s="2"/>
      <c r="G1" t="s">
        <v>1</v>
      </c>
      <c r="I1" s="3"/>
      <c r="J1" t="s">
        <v>38</v>
      </c>
    </row>
    <row r="2" spans="1:14">
      <c r="A2" s="4" t="s">
        <v>3</v>
      </c>
    </row>
    <row r="4" spans="1:14">
      <c r="A4" s="5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4">
      <c r="C5" s="6"/>
      <c r="G5" s="7">
        <v>100</v>
      </c>
      <c r="M5" s="39" t="s">
        <v>39</v>
      </c>
      <c r="N5" t="s">
        <v>40</v>
      </c>
    </row>
    <row r="6" spans="1:14">
      <c r="A6" s="31">
        <v>1.5</v>
      </c>
      <c r="B6" t="s">
        <v>94</v>
      </c>
      <c r="C6" s="160">
        <f ca="1">DEGREES(ASIN(H6*D6/3.33564/$C$22*100))</f>
        <v>3.526859051422635</v>
      </c>
      <c r="D6" s="68">
        <f>'first passNE'!D6</f>
        <v>1.5</v>
      </c>
      <c r="E6" s="167">
        <f ca="1">D6*RADIANS(C6)/SIN(RADIANS(C6))</f>
        <v>1.5009476827341028</v>
      </c>
      <c r="F6" s="162">
        <f ca="1">3.33564/100*$C$22/H6</f>
        <v>24.383726776922334</v>
      </c>
      <c r="G6" s="167">
        <f ca="1">G5+F6*(1-COS(RADIANS(C6)))</f>
        <v>100.04618105982918</v>
      </c>
      <c r="H6" s="62">
        <f ca="1">'first passNE'!H6</f>
        <v>13.58812472731378</v>
      </c>
      <c r="I6" s="163">
        <v>0</v>
      </c>
      <c r="J6" s="162">
        <f ca="1">C6</f>
        <v>3.526859051422635</v>
      </c>
      <c r="K6" s="162">
        <f>A6*2.54/2</f>
        <v>1.905</v>
      </c>
      <c r="L6" s="164">
        <f ca="1">(1+POWER(SIN(RADIANS(J6)),2))/POWER(COS(RADIANS(J6)),3)*2.54*A6*0.5</f>
        <v>1.9231150901684266</v>
      </c>
      <c r="M6" s="32">
        <f ca="1">H6*1000*E6*100</f>
        <v>2039506.4322163579</v>
      </c>
      <c r="N6" s="32">
        <f ca="1">H6*1000*100*D6</f>
        <v>2038218.7090970669</v>
      </c>
    </row>
    <row r="7" spans="1:14">
      <c r="B7" t="s">
        <v>17</v>
      </c>
      <c r="C7" s="69">
        <f>'second pass NE'!$C$7</f>
        <v>0.48955313700000003</v>
      </c>
      <c r="D7" s="6"/>
      <c r="E7" s="167">
        <f ca="1">C7/COS(RADIANS(C6))</f>
        <v>0.49048207547934231</v>
      </c>
      <c r="F7" s="7"/>
      <c r="G7" s="167">
        <f ca="1">G6+TAN(RADIANS(C6))*C7</f>
        <v>100.07635376968399</v>
      </c>
      <c r="H7" s="14"/>
    </row>
    <row r="8" spans="1:14">
      <c r="C8" s="14"/>
      <c r="D8" s="6"/>
      <c r="E8" s="14"/>
      <c r="G8" s="14"/>
      <c r="H8" s="14"/>
    </row>
    <row r="9" spans="1:14">
      <c r="A9" s="31">
        <v>1.87</v>
      </c>
      <c r="B9" t="s">
        <v>95</v>
      </c>
      <c r="C9" s="160" t="e">
        <f ca="1">H18</f>
        <v>#DIV/0!</v>
      </c>
      <c r="D9" s="69">
        <f>'third pass NE'!D9</f>
        <v>1.0155270090794399</v>
      </c>
      <c r="E9" s="167" t="e">
        <f ca="1">D9*RADIANS(C9)/2/SIN(RADIANS(C9)/2)/COS(RADIANS(C6)+RADIANS(C9)/2)</f>
        <v>#DIV/0!</v>
      </c>
      <c r="F9" s="162">
        <f ca="1">3.33564/100*$C$22/H9</f>
        <v>52.400300978826436</v>
      </c>
      <c r="G9" s="167" t="e">
        <f ca="1">F9*(1-COS(RADIANS(C9)))*COS(RADIANS(C6))+G7+F9*SIN(RADIANS(C9))*SIN(RADIANS(C6))</f>
        <v>#DIV/0!</v>
      </c>
      <c r="H9" s="69">
        <f ca="1">'second pass NE'!$H$9</f>
        <v>6.3230385049781059</v>
      </c>
      <c r="I9" s="163">
        <f ca="1">C6</f>
        <v>3.526859051422635</v>
      </c>
      <c r="J9" s="162" t="e">
        <f ca="1">C9+C6</f>
        <v>#DIV/0!</v>
      </c>
      <c r="K9" s="162">
        <f ca="1">(1+POWER(SIN(RADIANS(I9)),2))/POWER(COS(RADIANS(I9)),3)*2.54*A9*0.5</f>
        <v>2.3974834790766386</v>
      </c>
      <c r="L9" s="162" t="e">
        <f ca="1">(1+POWER(SIN(RADIANS(J9)),2))/POWER(COS(RADIANS(J9)),3)*2.54*A9*0.5</f>
        <v>#DIV/0!</v>
      </c>
      <c r="M9" s="32" t="e">
        <f ca="1">H9*1000*E9*100</f>
        <v>#DIV/0!</v>
      </c>
      <c r="N9" s="32">
        <f ca="1">H9*1000*100*D9</f>
        <v>642121.63812545501</v>
      </c>
    </row>
    <row r="10" spans="1:14">
      <c r="B10" t="s">
        <v>17</v>
      </c>
      <c r="C10" s="69">
        <f>'fourth pass NE'!C10</f>
        <v>0.88810009400000001</v>
      </c>
      <c r="D10" s="6"/>
      <c r="E10" s="167" t="e">
        <f ca="1">C10/COS(G18+RADIANS(C6))</f>
        <v>#DIV/0!</v>
      </c>
      <c r="G10" s="167" t="e">
        <f ca="1">G9+TAN(RADIANS(C9+C6))*C10</f>
        <v>#DIV/0!</v>
      </c>
      <c r="H10" s="167" t="e">
        <f ca="1">G10+F11*(1-COS(RADIANS(C11)))</f>
        <v>#DIV/0!</v>
      </c>
    </row>
    <row r="11" spans="1:14">
      <c r="A11" s="31">
        <v>1</v>
      </c>
      <c r="B11" s="6" t="s">
        <v>88</v>
      </c>
      <c r="C11" s="160">
        <f ca="1">DEGREES(ASIN(H11*D11/3.33564/$C$22*100))</f>
        <v>4.6401048958433098</v>
      </c>
      <c r="D11" s="68">
        <f>'fourth pass NE'!D11</f>
        <v>3.03530607061214</v>
      </c>
      <c r="E11" s="167">
        <f ca="1">D11*RADIANS(C11)/SIN(RADIANS(C11))</f>
        <v>3.0386264979698954</v>
      </c>
      <c r="F11" s="162">
        <f ca="1">3.33564/100*$C$22/H11</f>
        <v>37.520805619341694</v>
      </c>
      <c r="G11" s="14"/>
      <c r="H11" s="69">
        <f ca="1">'fourth pass NE'!H11</f>
        <v>8.8305438887155407</v>
      </c>
      <c r="I11" s="162" t="e">
        <f ca="1">J9</f>
        <v>#DIV/0!</v>
      </c>
      <c r="J11" s="162">
        <v>0</v>
      </c>
      <c r="K11" s="164" t="e">
        <f ca="1">(1+POWER(SIN(RADIANS(I11)),2))/POWER(COS(RADIANS(I11)),3)*2.54*A11*0.5</f>
        <v>#DIV/0!</v>
      </c>
      <c r="L11" s="164">
        <f>(1+POWER(SIN(RADIANS(J11)),2))/POWER(COS(RADIANS(J11)),3)*2.54*A11*0.5</f>
        <v>1.27</v>
      </c>
      <c r="M11" s="32">
        <f ca="1">H11*1000*E11*100</f>
        <v>2683272.4651737167</v>
      </c>
      <c r="N11" s="32">
        <f ca="1">H11*1000*100*D11</f>
        <v>2680340.3472225219</v>
      </c>
    </row>
    <row r="12" spans="1:14">
      <c r="B12" t="s">
        <v>17</v>
      </c>
      <c r="C12" s="63">
        <v>1.8604571170000002</v>
      </c>
      <c r="E12" s="14"/>
      <c r="G12" s="167" t="e">
        <f ca="1">H10</f>
        <v>#DIV/0!</v>
      </c>
      <c r="H12" s="14"/>
    </row>
    <row r="13" spans="1:14">
      <c r="A13" s="31">
        <v>1</v>
      </c>
      <c r="B13" t="s">
        <v>106</v>
      </c>
      <c r="C13" s="167" t="e">
        <f ca="1">DEGREES(K18)</f>
        <v>#DIV/0!</v>
      </c>
      <c r="D13" s="64">
        <v>2.0015240030480101</v>
      </c>
      <c r="E13" s="167" t="e">
        <f ca="1">D13*K18/SIN(K18)</f>
        <v>#DIV/0!</v>
      </c>
      <c r="F13" s="162" t="e">
        <f ca="1">E13/RADIANS(C13)</f>
        <v>#DIV/0!</v>
      </c>
      <c r="G13" s="167" t="e">
        <f ca="1">G12+D13*(1-COS(K18))/SIN(K18)</f>
        <v>#DIV/0!</v>
      </c>
      <c r="H13" s="167" t="e">
        <f ca="1">3.33564/100*$C$22*K18/E13</f>
        <v>#DIV/0!</v>
      </c>
      <c r="I13" s="162">
        <v>0</v>
      </c>
      <c r="J13" s="162" t="e">
        <f ca="1">ABS(C13)</f>
        <v>#DIV/0!</v>
      </c>
      <c r="K13" s="162">
        <f>A13*2.54/2</f>
        <v>1.27</v>
      </c>
      <c r="L13" s="164" t="e">
        <f ca="1">(1+POWER(SIN(RADIANS(J13)),2))/POWER(COS(RADIANS(J13)),3)*2.54*A13*0.5</f>
        <v>#DIV/0!</v>
      </c>
      <c r="M13" s="32" t="e">
        <f ca="1">H13*1000*E13*100</f>
        <v>#DIV/0!</v>
      </c>
      <c r="N13" s="32" t="e">
        <f ca="1">H13*1000*100*D13</f>
        <v>#DIV/0!</v>
      </c>
    </row>
    <row r="14" spans="1:14">
      <c r="B14" t="s">
        <v>17</v>
      </c>
      <c r="C14" s="63">
        <v>8.4453470920000004</v>
      </c>
      <c r="E14" s="167">
        <v>8.4997135494268594</v>
      </c>
      <c r="G14" s="167" t="e">
        <f ca="1">G13+TAN(K18)*C14</f>
        <v>#DIV/0!</v>
      </c>
      <c r="H14" s="167" t="e">
        <f ca="1">G14+D15*SIN(K18/2)</f>
        <v>#DIV/0!</v>
      </c>
      <c r="I14" s="162"/>
      <c r="J14" s="162"/>
      <c r="K14" s="162"/>
      <c r="L14" s="162"/>
    </row>
    <row r="15" spans="1:14">
      <c r="A15" s="31">
        <v>1</v>
      </c>
      <c r="B15" s="84" t="s">
        <v>107</v>
      </c>
      <c r="C15" s="167" t="e">
        <f ca="1">DEGREES(K18)</f>
        <v>#DIV/0!</v>
      </c>
      <c r="D15" s="64">
        <v>1.0122983451221099</v>
      </c>
      <c r="E15" s="167" t="e">
        <f ca="1">D15*RADIANS(C15)/2/SIN(RADIANS(C15)/2)</f>
        <v>#DIV/0!</v>
      </c>
      <c r="F15" s="162" t="e">
        <f ca="1">E15/RADIANS(C15)</f>
        <v>#DIV/0!</v>
      </c>
      <c r="G15" s="63">
        <v>100</v>
      </c>
      <c r="H15" s="167" t="e">
        <f ca="1">3.33564/100*$C$22*K18/E15</f>
        <v>#DIV/0!</v>
      </c>
      <c r="I15" s="162" t="e">
        <f ca="1">ABS(C15)/2</f>
        <v>#DIV/0!</v>
      </c>
      <c r="J15" s="162" t="e">
        <f ca="1">ABS(C15)/2</f>
        <v>#DIV/0!</v>
      </c>
      <c r="K15" s="164" t="e">
        <f ca="1">(1+POWER(SIN(RADIANS(I15)),2))/POWER(COS(RADIANS(I15)),3)*2.54*A15*0.5</f>
        <v>#DIV/0!</v>
      </c>
      <c r="L15" s="164" t="e">
        <f ca="1">(1+POWER(SIN(RADIANS(J15)),2))/POWER(COS(RADIANS(J15)),3)*2.54*A15*0.5</f>
        <v>#DIV/0!</v>
      </c>
      <c r="M15" s="32" t="e">
        <f ca="1">H15*1000*E15*100</f>
        <v>#DIV/0!</v>
      </c>
      <c r="N15" s="32" t="e">
        <f ca="1">H15*1000*100*D15</f>
        <v>#DIV/0!</v>
      </c>
    </row>
    <row r="17" spans="1:12">
      <c r="F17" s="78" t="s">
        <v>53</v>
      </c>
      <c r="G17" s="79"/>
      <c r="H17" s="80"/>
      <c r="J17" s="152" t="s">
        <v>108</v>
      </c>
      <c r="K17" s="152"/>
      <c r="L17" s="152"/>
    </row>
    <row r="18" spans="1:12">
      <c r="C18" s="6"/>
      <c r="D18" s="14" t="e">
        <f ca="1">C6+C9-C11</f>
        <v>#DIV/0!</v>
      </c>
      <c r="F18" s="81" t="s">
        <v>22</v>
      </c>
      <c r="G18" s="23" t="e">
        <f ca="1">G18-G19/G20</f>
        <v>#DIV/0!</v>
      </c>
      <c r="H18" s="22" t="e">
        <f ca="1">DEGREES(G18)</f>
        <v>#DIV/0!</v>
      </c>
      <c r="J18" s="20" t="s">
        <v>22</v>
      </c>
      <c r="K18" s="21" t="e">
        <f ca="1">K18-K19/K20</f>
        <v>#DIV/0!</v>
      </c>
      <c r="L18" s="22" t="e">
        <f ca="1">DEGREES(K18)</f>
        <v>#DIV/0!</v>
      </c>
    </row>
    <row r="19" spans="1:12">
      <c r="B19" s="19" t="s">
        <v>17</v>
      </c>
      <c r="C19" s="6">
        <f>D6+C7+D9+C10+D11+C12+D13+C14+D15</f>
        <v>20.2481128678617</v>
      </c>
      <c r="F19" s="81" t="s">
        <v>23</v>
      </c>
      <c r="G19" s="85" t="e">
        <f ca="1">0.5*H9*D9/3.33564/C22*100-SIN(G18/2)*COS(G18/2+RADIANS(C6))</f>
        <v>#DIV/0!</v>
      </c>
      <c r="H19" s="22"/>
      <c r="J19" s="20" t="s">
        <v>23</v>
      </c>
      <c r="K19" s="23" t="e">
        <f ca="1">G15-G12-D13*(1-COS(K18))/SIN(K18)-C14*TAN(K18)-D15*SIN(K18/2)</f>
        <v>#DIV/0!</v>
      </c>
      <c r="L19" s="22"/>
    </row>
    <row r="20" spans="1:12">
      <c r="F20" s="82" t="s">
        <v>25</v>
      </c>
      <c r="G20" s="27" t="e">
        <f ca="1">-COS(RADIANS(C6)+G18)/2</f>
        <v>#DIV/0!</v>
      </c>
      <c r="H20" s="83"/>
      <c r="J20" s="26" t="s">
        <v>25</v>
      </c>
      <c r="K20" s="27" t="e">
        <f ca="1">-COS(K18/2)*D15/2+2*COS(K18/2)*SIN(K18/2)*D13-C14/COS(K18)/COS(K18)</f>
        <v>#DIV/0!</v>
      </c>
      <c r="L20" s="83"/>
    </row>
    <row r="21" spans="1:12">
      <c r="C21" t="s">
        <v>26</v>
      </c>
      <c r="J21" s="86"/>
      <c r="K21" s="23"/>
      <c r="L21" s="23"/>
    </row>
    <row r="22" spans="1:12">
      <c r="A22" t="s">
        <v>27</v>
      </c>
      <c r="B22" s="29">
        <f>9*1090+123-'first passNE'!B52</f>
        <v>9932.4890010899999</v>
      </c>
      <c r="C22" s="7">
        <f>SQRT(B22*B22+2*'first passNE'!B52*B22)</f>
        <v>9932.9999868559407</v>
      </c>
      <c r="E22">
        <v>849.97135494268605</v>
      </c>
      <c r="F22">
        <f>E22/100</f>
        <v>8.4997135494268612</v>
      </c>
      <c r="G22" s="14" t="e">
        <f ca="1">F22/COS(RADIANS(C13))</f>
        <v>#DIV/0!</v>
      </c>
    </row>
    <row r="23" spans="1:12">
      <c r="E23" s="167">
        <v>8.4997135494268594</v>
      </c>
      <c r="F23" s="14" t="e">
        <f ca="1">E23/COS(RADIANS(C13))</f>
        <v>#DIV/0!</v>
      </c>
    </row>
    <row r="24" spans="1:12">
      <c r="C24" s="32"/>
    </row>
    <row r="25" spans="1:12">
      <c r="F25" s="14" t="e">
        <f ca="1">C6+C9-C11</f>
        <v>#DIV/0!</v>
      </c>
    </row>
    <row r="27" spans="1:12">
      <c r="C27" s="14" t="e">
        <f ca="1">C6+C9-C11</f>
        <v>#DIV/0!</v>
      </c>
    </row>
    <row r="29" spans="1:12">
      <c r="E29" t="s">
        <v>31</v>
      </c>
      <c r="F29" t="s">
        <v>10</v>
      </c>
    </row>
    <row r="30" spans="1:12">
      <c r="E30" s="6">
        <v>90.553719999999998</v>
      </c>
      <c r="F30" s="6">
        <f>G5</f>
        <v>100</v>
      </c>
    </row>
    <row r="31" spans="1:12">
      <c r="E31" s="6">
        <f>E30+D6</f>
        <v>92.053719999999998</v>
      </c>
      <c r="F31" s="6">
        <f ca="1">G6</f>
        <v>100.04618105982918</v>
      </c>
    </row>
    <row r="32" spans="1:12">
      <c r="A32" t="s">
        <v>109</v>
      </c>
      <c r="E32" s="6">
        <f>E31+C7</f>
        <v>92.543273137</v>
      </c>
      <c r="F32" s="6">
        <f ca="1">G7</f>
        <v>100.07635376968399</v>
      </c>
    </row>
    <row r="33" spans="1:6">
      <c r="A33" t="s">
        <v>33</v>
      </c>
      <c r="B33" s="34">
        <v>3</v>
      </c>
      <c r="E33" s="6">
        <f>E32+D9</f>
        <v>93.558800146079435</v>
      </c>
      <c r="F33" s="6" t="e">
        <f ca="1">G9</f>
        <v>#DIV/0!</v>
      </c>
    </row>
    <row r="34" spans="1:6">
      <c r="A34" t="s">
        <v>34</v>
      </c>
      <c r="B34" s="167">
        <f>B33*RADIANS(180)/32/2/SIN(RADIANS(180)/32/2)</f>
        <v>3.0012051244648958</v>
      </c>
      <c r="E34" s="6">
        <f>E33+C10</f>
        <v>94.44690024007943</v>
      </c>
      <c r="F34" s="6" t="e">
        <f ca="1">G10</f>
        <v>#DIV/0!</v>
      </c>
    </row>
    <row r="35" spans="1:6">
      <c r="A35" t="s">
        <v>11</v>
      </c>
      <c r="B35" s="167">
        <f>3.33564/100*$C$22*RADIANS(180)/32/B34</f>
        <v>10.838366261812038</v>
      </c>
      <c r="E35" s="6">
        <f>E34+D11</f>
        <v>97.482206310691566</v>
      </c>
      <c r="F35" s="6" t="e">
        <f ca="1">G12</f>
        <v>#DIV/0!</v>
      </c>
    </row>
    <row r="36" spans="1:6">
      <c r="A36" t="s">
        <v>6</v>
      </c>
      <c r="B36" s="162">
        <f>180/32/2</f>
        <v>2.8125</v>
      </c>
      <c r="E36" s="6">
        <f>E35+C12</f>
        <v>99.342663427691562</v>
      </c>
      <c r="F36" s="6" t="e">
        <f ca="1">G12</f>
        <v>#DIV/0!</v>
      </c>
    </row>
    <row r="37" spans="1:6">
      <c r="A37" t="s">
        <v>4</v>
      </c>
      <c r="B37" s="34">
        <v>1.0009999999999999</v>
      </c>
      <c r="E37" s="6">
        <f>E36+D13</f>
        <v>101.34418743073957</v>
      </c>
      <c r="F37" s="6" t="e">
        <f ca="1">G13</f>
        <v>#DIV/0!</v>
      </c>
    </row>
    <row r="38" spans="1:6">
      <c r="A38" t="s">
        <v>35</v>
      </c>
      <c r="B38" s="162">
        <f>(1+POWER(SIN(RADIANS(B36)/2),2))/POWER(COS(RADIANS(B36/2)),3)*2.54*B37*0.5</f>
        <v>1.273185682928986</v>
      </c>
      <c r="E38" s="6">
        <f>E37+C14</f>
        <v>109.78953452273957</v>
      </c>
      <c r="F38" s="6" t="e">
        <f ca="1">G14</f>
        <v>#DIV/0!</v>
      </c>
    </row>
    <row r="39" spans="1:6">
      <c r="E39" s="6">
        <f>E38+D15</f>
        <v>110.80183286786168</v>
      </c>
      <c r="F39" s="6">
        <f>G15</f>
        <v>100</v>
      </c>
    </row>
  </sheetData>
  <mergeCells count="1">
    <mergeCell ref="J17:L17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B1D514388CB41A0EEF7AB490ED85B" ma:contentTypeVersion="11" ma:contentTypeDescription="Create a new document." ma:contentTypeScope="" ma:versionID="4e967332ddf00547eff62f3f904129ff">
  <xsd:schema xmlns:xsd="http://www.w3.org/2001/XMLSchema" xmlns:xs="http://www.w3.org/2001/XMLSchema" xmlns:p="http://schemas.microsoft.com/office/2006/metadata/properties" xmlns:ns3="426b74de-0581-4e94-90c0-1abf6215444e" xmlns:ns4="dcff909e-542d-4672-8557-4ef8d9009dce" targetNamespace="http://schemas.microsoft.com/office/2006/metadata/properties" ma:root="true" ma:fieldsID="fd13c56c191b553521ec5206ed61821d" ns3:_="" ns4:_="">
    <xsd:import namespace="426b74de-0581-4e94-90c0-1abf6215444e"/>
    <xsd:import namespace="dcff909e-542d-4672-8557-4ef8d9009d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b74de-0581-4e94-90c0-1abf621544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f909e-542d-4672-8557-4ef8d9009d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B4E047-5C64-4B03-85E4-D7D72B3424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189D2F-D007-465A-9D20-A073E79F5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b74de-0581-4e94-90c0-1abf6215444e"/>
    <ds:schemaRef ds:uri="dcff909e-542d-4672-8557-4ef8d9009d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0B8DC9-5823-47EA-B104-8E070CD560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first passNE</vt:lpstr>
      <vt:lpstr>first pass SW</vt:lpstr>
      <vt:lpstr>second pass NE</vt:lpstr>
      <vt:lpstr>Second pass SW</vt:lpstr>
      <vt:lpstr>third pass NE</vt:lpstr>
      <vt:lpstr>third pass SW</vt:lpstr>
      <vt:lpstr>fourth pass NE</vt:lpstr>
      <vt:lpstr>fourth pass SW</vt:lpstr>
      <vt:lpstr>fith pass NE</vt:lpstr>
      <vt:lpstr>fifth pass SW</vt:lpstr>
      <vt:lpstr>sixth pass NE</vt:lpstr>
      <vt:lpstr>NE spreader elevations</vt:lpstr>
      <vt:lpstr>SW spreader elevations</vt:lpstr>
      <vt:lpstr>'NE spreader elevations'!Print_Area</vt:lpstr>
      <vt:lpstr>'SW spreader elevations'!Print_Area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Yves Roblin</dc:creator>
  <cp:keywords/>
  <dc:description/>
  <cp:lastModifiedBy>Microsoft Office User</cp:lastModifiedBy>
  <cp:revision/>
  <dcterms:created xsi:type="dcterms:W3CDTF">2009-10-28T15:18:54Z</dcterms:created>
  <dcterms:modified xsi:type="dcterms:W3CDTF">2022-07-18T18:51:11Z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0x010100C41B1D514388CB41A0EEF7AB490ED85B</vt:lpwstr>
  </property>
</Properties>
</file>