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ayduraev\OneDrive - ИСМ\РАБОТА ТЕКУЩАЯ\"/>
    </mc:Choice>
  </mc:AlternateContent>
  <xr:revisionPtr revIDLastSave="0" documentId="13_ncr:1_{859B1F9A-51E0-4A9D-A9D3-4163E82B585D}" xr6:coauthVersionLast="47" xr6:coauthVersionMax="47" xr10:uidLastSave="{00000000-0000-0000-0000-000000000000}"/>
  <bookViews>
    <workbookView xWindow="810" yWindow="-120" windowWidth="28110" windowHeight="16440" activeTab="3" xr2:uid="{00000000-000D-0000-FFFF-FFFF00000000}"/>
  </bookViews>
  <sheets>
    <sheet name="Геология" sheetId="7" r:id="rId1"/>
    <sheet name="Скважина" sheetId="11" r:id="rId2"/>
    <sheet name="Стат.зонд" sheetId="12" state="hidden" r:id="rId3"/>
    <sheet name="Несущая способность по грунту 1" sheetId="5" r:id="rId4"/>
    <sheet name="Кбок.пов.сваи" sheetId="9" r:id="rId5"/>
    <sheet name="Осадка куста" sheetId="10" r:id="rId6"/>
    <sheet name="Осадка поля" sheetId="8" r:id="rId7"/>
    <sheet name="Служебный" sheetId="6" r:id="rId8"/>
    <sheet name="Нагрузка на сваю" sheetId="1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09" i="10" l="1"/>
  <c r="R109" i="10" s="1"/>
  <c r="Q89" i="10"/>
  <c r="Q69" i="10"/>
  <c r="R69" i="10" s="1"/>
  <c r="Q49" i="10"/>
  <c r="R49" i="10" s="1"/>
  <c r="Q29" i="10"/>
  <c r="R29" i="10" s="1"/>
  <c r="R89" i="10"/>
  <c r="R129" i="10"/>
  <c r="R149" i="10"/>
  <c r="R169" i="10"/>
  <c r="R189" i="10"/>
  <c r="R209" i="10"/>
  <c r="R229" i="10"/>
  <c r="R249" i="10"/>
  <c r="R269" i="10"/>
  <c r="R289" i="10"/>
  <c r="R309" i="10"/>
  <c r="R329" i="10"/>
  <c r="R9" i="10"/>
  <c r="AT9" i="8" a="1"/>
  <c r="AT9" i="8" l="1"/>
  <c r="P11" i="5"/>
  <c r="P12" i="5"/>
  <c r="P13" i="5"/>
  <c r="P14" i="5"/>
  <c r="P15" i="5"/>
  <c r="P16" i="5"/>
  <c r="P17" i="5"/>
  <c r="P18" i="5"/>
  <c r="P23" i="5"/>
  <c r="P24" i="5"/>
  <c r="P25" i="5"/>
  <c r="P26" i="5"/>
  <c r="P27" i="5"/>
  <c r="P28" i="5"/>
  <c r="P31" i="5"/>
  <c r="P32" i="5"/>
  <c r="P33" i="5"/>
  <c r="P34" i="5"/>
  <c r="P35" i="5"/>
  <c r="P36" i="5"/>
  <c r="P37" i="5"/>
  <c r="P38" i="5"/>
  <c r="P44" i="5"/>
  <c r="P45" i="5"/>
  <c r="P46" i="5"/>
  <c r="P47" i="5"/>
  <c r="P48" i="5"/>
  <c r="P51" i="5"/>
  <c r="P52" i="5"/>
  <c r="P53" i="5"/>
  <c r="P54" i="5"/>
  <c r="P55" i="5"/>
  <c r="P56" i="5"/>
  <c r="P57" i="5"/>
  <c r="P58" i="5"/>
  <c r="AX10" i="10"/>
  <c r="AX9" i="10"/>
  <c r="G28" i="11"/>
  <c r="I28" i="11"/>
  <c r="J28" i="11"/>
  <c r="G29" i="11"/>
  <c r="I29" i="11"/>
  <c r="J29" i="11"/>
  <c r="G30" i="11"/>
  <c r="I30" i="11"/>
  <c r="J30" i="11"/>
  <c r="G31" i="11"/>
  <c r="I31" i="11"/>
  <c r="J31" i="11"/>
  <c r="G32" i="11"/>
  <c r="I32" i="11"/>
  <c r="J32" i="11"/>
  <c r="G33" i="11"/>
  <c r="I33" i="11"/>
  <c r="J33" i="11"/>
  <c r="C14" i="11"/>
  <c r="Q18" i="5" a="1"/>
  <c r="Q18" i="5" s="1"/>
  <c r="Q17" i="5" a="1"/>
  <c r="Q17" i="5" s="1"/>
  <c r="Q16" i="5" a="1"/>
  <c r="Q16" i="5" s="1"/>
  <c r="Q15" i="5" a="1"/>
  <c r="Q15" i="5" s="1"/>
  <c r="Q14" i="5" a="1"/>
  <c r="Q14" i="5" s="1"/>
  <c r="Q13" i="5" a="1"/>
  <c r="Q13" i="5" s="1"/>
  <c r="Q12" i="5" a="1"/>
  <c r="Q12" i="5" s="1"/>
  <c r="Q11" i="5" a="1"/>
  <c r="Q11" i="5" s="1"/>
  <c r="Q10" i="5" a="1"/>
  <c r="Q10" i="5" s="1"/>
  <c r="Q9" i="5" a="1"/>
  <c r="Q9" i="5" s="1"/>
  <c r="C30" i="5"/>
  <c r="B30" i="5"/>
  <c r="AX43" i="10"/>
  <c r="AX42" i="10"/>
  <c r="AX36" i="10"/>
  <c r="AX35" i="10"/>
  <c r="AX34" i="10"/>
  <c r="AX27" i="10"/>
  <c r="AX29" i="10"/>
  <c r="AX28" i="10"/>
  <c r="AX22" i="10"/>
  <c r="AX21" i="10"/>
  <c r="AR42" i="10"/>
  <c r="AT42" i="10"/>
  <c r="AR35" i="10"/>
  <c r="AT35" i="10"/>
  <c r="AR28" i="10"/>
  <c r="AT28" i="10"/>
  <c r="AT16" i="10"/>
  <c r="AS17" i="10"/>
  <c r="AS18" i="10" s="1"/>
  <c r="AS19" i="10" s="1"/>
  <c r="AS20" i="10" s="1"/>
  <c r="AS16" i="10"/>
  <c r="AS10" i="10"/>
  <c r="AS11" i="10" s="1"/>
  <c r="AS12" i="10" s="1"/>
  <c r="AS13" i="10" s="1"/>
  <c r="AS14" i="10" s="1"/>
  <c r="AS15" i="10" s="1"/>
  <c r="AS9" i="10"/>
  <c r="AR21" i="10"/>
  <c r="AT21" i="10"/>
  <c r="AX14" i="10"/>
  <c r="AT15" i="10"/>
  <c r="AT14" i="10"/>
  <c r="AR14" i="10"/>
  <c r="AR23" i="10"/>
  <c r="AR22" i="10"/>
  <c r="AR20" i="10"/>
  <c r="AR19" i="10"/>
  <c r="AR18" i="10"/>
  <c r="AR17" i="10"/>
  <c r="AR16" i="10"/>
  <c r="AR15" i="10"/>
  <c r="AR10" i="10"/>
  <c r="AR9" i="10"/>
  <c r="AS22" i="10" l="1"/>
  <c r="AS21" i="10"/>
  <c r="I12" i="11"/>
  <c r="K44" i="8" l="1"/>
  <c r="M44" i="8"/>
  <c r="O44" i="8"/>
  <c r="Q44" i="8"/>
  <c r="S44" i="8"/>
  <c r="U44" i="8"/>
  <c r="W44" i="8"/>
  <c r="Y44" i="8"/>
  <c r="AA44" i="8"/>
  <c r="AC44" i="8"/>
  <c r="AE44" i="8"/>
  <c r="I44" i="8"/>
  <c r="I9" i="11"/>
  <c r="I10" i="11"/>
  <c r="I11" i="11"/>
  <c r="I13" i="11"/>
  <c r="G9" i="10" s="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8" i="11"/>
  <c r="F9" i="5" s="1"/>
  <c r="G29" i="10" l="1"/>
  <c r="H29" i="10" s="1"/>
  <c r="H9" i="10"/>
  <c r="G9" i="5"/>
  <c r="I9" i="5" s="1"/>
  <c r="Z10" i="5" s="1"/>
  <c r="K9" i="5"/>
  <c r="B19" i="8"/>
  <c r="B20" i="8" s="1"/>
  <c r="G40" i="8"/>
  <c r="G12" i="8"/>
  <c r="H11" i="8"/>
  <c r="AE11" i="8"/>
  <c r="AO309" i="8"/>
  <c r="AO311" i="8" s="1"/>
  <c r="AO313" i="8" s="1"/>
  <c r="AO315" i="8" s="1"/>
  <c r="AO317" i="8" s="1"/>
  <c r="AO319" i="8" s="1"/>
  <c r="AO321" i="8" s="1"/>
  <c r="AO323" i="8" s="1"/>
  <c r="AO325" i="8" s="1"/>
  <c r="AO327" i="8" s="1"/>
  <c r="AO289" i="8"/>
  <c r="AO291" i="8" s="1"/>
  <c r="AO293" i="8" s="1"/>
  <c r="AO295" i="8" s="1"/>
  <c r="AO297" i="8" s="1"/>
  <c r="AO299" i="8" s="1"/>
  <c r="AO301" i="8" s="1"/>
  <c r="AO303" i="8" s="1"/>
  <c r="AO305" i="8" s="1"/>
  <c r="AO307" i="8" s="1"/>
  <c r="AO269" i="8"/>
  <c r="AW269" i="8" s="1"/>
  <c r="AO249" i="8"/>
  <c r="AO251" i="8" s="1"/>
  <c r="AO229" i="8"/>
  <c r="AO231" i="8" s="1"/>
  <c r="AO233" i="8" s="1"/>
  <c r="AO235" i="8" s="1"/>
  <c r="AO237" i="8" s="1"/>
  <c r="AO239" i="8" s="1"/>
  <c r="AO241" i="8" s="1"/>
  <c r="AO243" i="8" s="1"/>
  <c r="AO245" i="8" s="1"/>
  <c r="AO247" i="8" s="1"/>
  <c r="AO209" i="8"/>
  <c r="AW209" i="8" s="1"/>
  <c r="AO189" i="8"/>
  <c r="AO169" i="8"/>
  <c r="AP169" i="8" s="1"/>
  <c r="AV169" i="8" s="1"/>
  <c r="AO149" i="8"/>
  <c r="AO151" i="8" s="1"/>
  <c r="AO153" i="8" s="1"/>
  <c r="AO155" i="8" s="1"/>
  <c r="AO157" i="8" s="1"/>
  <c r="AO159" i="8" s="1"/>
  <c r="AO161" i="8" s="1"/>
  <c r="AO163" i="8" s="1"/>
  <c r="AO165" i="8" s="1"/>
  <c r="AO167" i="8" s="1"/>
  <c r="BQ13" i="8"/>
  <c r="BQ11" i="8"/>
  <c r="BO13" i="8"/>
  <c r="BO11" i="8"/>
  <c r="AJ5" i="8"/>
  <c r="AK9" i="8"/>
  <c r="K9" i="10"/>
  <c r="N199" i="9"/>
  <c r="N200" i="9" s="1"/>
  <c r="N201" i="9" s="1"/>
  <c r="N202" i="9" s="1"/>
  <c r="N203" i="9" s="1"/>
  <c r="N204" i="9" s="1"/>
  <c r="N205" i="9" s="1"/>
  <c r="N206" i="9" s="1"/>
  <c r="N207" i="9" s="1"/>
  <c r="N208" i="9" s="1"/>
  <c r="O208" i="9" s="1"/>
  <c r="N189" i="9"/>
  <c r="N190" i="9" s="1"/>
  <c r="N191" i="9" s="1"/>
  <c r="N192" i="9" s="1"/>
  <c r="N193" i="9" s="1"/>
  <c r="N194" i="9" s="1"/>
  <c r="N195" i="9" s="1"/>
  <c r="N196" i="9" s="1"/>
  <c r="N197" i="9" s="1"/>
  <c r="N198" i="9" s="1"/>
  <c r="O198" i="9" s="1"/>
  <c r="N179" i="9"/>
  <c r="N180" i="9" s="1"/>
  <c r="N181" i="9" s="1"/>
  <c r="N182" i="9" s="1"/>
  <c r="N183" i="9" s="1"/>
  <c r="N184" i="9" s="1"/>
  <c r="N185" i="9" s="1"/>
  <c r="N186" i="9" s="1"/>
  <c r="N187" i="9" s="1"/>
  <c r="N188" i="9" s="1"/>
  <c r="O188" i="9" s="1"/>
  <c r="N169" i="9"/>
  <c r="N170" i="9" s="1"/>
  <c r="N171" i="9" s="1"/>
  <c r="N172" i="9" s="1"/>
  <c r="N173" i="9" s="1"/>
  <c r="N174" i="9" s="1"/>
  <c r="N175" i="9" s="1"/>
  <c r="N176" i="9" s="1"/>
  <c r="N177" i="9" s="1"/>
  <c r="N178" i="9" s="1"/>
  <c r="O178" i="9" s="1"/>
  <c r="N159" i="9"/>
  <c r="N160" i="9" s="1"/>
  <c r="N161" i="9" s="1"/>
  <c r="N162" i="9" s="1"/>
  <c r="N163" i="9" s="1"/>
  <c r="N164" i="9" s="1"/>
  <c r="N165" i="9" s="1"/>
  <c r="N166" i="9" s="1"/>
  <c r="N167" i="9" s="1"/>
  <c r="N168" i="9" s="1"/>
  <c r="O168" i="9" s="1"/>
  <c r="N149" i="9"/>
  <c r="N150" i="9" s="1"/>
  <c r="N151" i="9" s="1"/>
  <c r="N152" i="9" s="1"/>
  <c r="N153" i="9" s="1"/>
  <c r="N154" i="9" s="1"/>
  <c r="N155" i="9" s="1"/>
  <c r="N156" i="9" s="1"/>
  <c r="N157" i="9" s="1"/>
  <c r="N158" i="9" s="1"/>
  <c r="O158" i="9" s="1"/>
  <c r="N139" i="9"/>
  <c r="O139" i="9" s="1"/>
  <c r="N199" i="5"/>
  <c r="N189" i="5"/>
  <c r="N179" i="5"/>
  <c r="N169" i="5"/>
  <c r="N159" i="5"/>
  <c r="N149" i="5"/>
  <c r="N139" i="5"/>
  <c r="N129" i="5"/>
  <c r="P129" i="5" s="1"/>
  <c r="Y51" i="5"/>
  <c r="Y73" i="5"/>
  <c r="Y71" i="5"/>
  <c r="Y91" i="5"/>
  <c r="AA91" i="5"/>
  <c r="AD92" i="5"/>
  <c r="Y93" i="5"/>
  <c r="AA93" i="5"/>
  <c r="Y101" i="5"/>
  <c r="AA101" i="5"/>
  <c r="AD102" i="5"/>
  <c r="Y103" i="5"/>
  <c r="AA103" i="5"/>
  <c r="Y111" i="5"/>
  <c r="AA111" i="5"/>
  <c r="AD112" i="5"/>
  <c r="Y113" i="5"/>
  <c r="AA113" i="5"/>
  <c r="Y121" i="5"/>
  <c r="AA121" i="5"/>
  <c r="AD122" i="5"/>
  <c r="Y123" i="5"/>
  <c r="AA123" i="5"/>
  <c r="Y131" i="5"/>
  <c r="AA131" i="5"/>
  <c r="AD132" i="5"/>
  <c r="Y133" i="5"/>
  <c r="AA133" i="5"/>
  <c r="Y141" i="5"/>
  <c r="AA141" i="5"/>
  <c r="AD142" i="5"/>
  <c r="Y143" i="5"/>
  <c r="AA143" i="5"/>
  <c r="Y151" i="5"/>
  <c r="AA151" i="5"/>
  <c r="AD152" i="5"/>
  <c r="Y153" i="5"/>
  <c r="AA153" i="5"/>
  <c r="Y161" i="5"/>
  <c r="AA161" i="5"/>
  <c r="AD162" i="5"/>
  <c r="Y163" i="5"/>
  <c r="AA163" i="5"/>
  <c r="Y171" i="5"/>
  <c r="AA171" i="5"/>
  <c r="AD172" i="5"/>
  <c r="Y173" i="5"/>
  <c r="AA173" i="5"/>
  <c r="Y181" i="5"/>
  <c r="AA181" i="5"/>
  <c r="AD182" i="5"/>
  <c r="Y183" i="5"/>
  <c r="AA183" i="5"/>
  <c r="Y191" i="5"/>
  <c r="AA191" i="5"/>
  <c r="AD192" i="5"/>
  <c r="Y193" i="5"/>
  <c r="AA193" i="5"/>
  <c r="Y201" i="5"/>
  <c r="AA201" i="5"/>
  <c r="AD202" i="5"/>
  <c r="Y203" i="5"/>
  <c r="AA203" i="5"/>
  <c r="J5" i="10"/>
  <c r="I5" i="9"/>
  <c r="I5" i="5"/>
  <c r="J9" i="11"/>
  <c r="J10" i="11"/>
  <c r="J12" i="11"/>
  <c r="J13" i="11"/>
  <c r="J14" i="11"/>
  <c r="J15" i="11"/>
  <c r="J16" i="11"/>
  <c r="J17" i="11"/>
  <c r="J18" i="11"/>
  <c r="J19" i="11"/>
  <c r="J20" i="11"/>
  <c r="J21" i="11"/>
  <c r="J22" i="11"/>
  <c r="J25" i="11"/>
  <c r="J26" i="11"/>
  <c r="J8" i="11"/>
  <c r="E6" i="11"/>
  <c r="J11" i="11"/>
  <c r="G21" i="11"/>
  <c r="G22" i="11"/>
  <c r="G23" i="11"/>
  <c r="J23" i="11"/>
  <c r="G24" i="11"/>
  <c r="J24" i="11"/>
  <c r="G25" i="11"/>
  <c r="G26" i="11"/>
  <c r="G27" i="11"/>
  <c r="J27" i="11"/>
  <c r="N160" i="5" l="1"/>
  <c r="O160" i="5" s="1"/>
  <c r="Q160" i="5" s="1" a="1"/>
  <c r="Q160" i="5" s="1"/>
  <c r="P159" i="5"/>
  <c r="U199" i="5"/>
  <c r="P199" i="5"/>
  <c r="O149" i="5"/>
  <c r="Q149" i="5" s="1" a="1"/>
  <c r="Q149" i="5" s="1"/>
  <c r="P149" i="5"/>
  <c r="R139" i="5"/>
  <c r="P139" i="5"/>
  <c r="U169" i="5"/>
  <c r="P169" i="5"/>
  <c r="O179" i="5"/>
  <c r="Q179" i="5" s="1" a="1"/>
  <c r="Q179" i="5" s="1"/>
  <c r="P179" i="5"/>
  <c r="N190" i="5"/>
  <c r="U190" i="5" s="1"/>
  <c r="P189" i="5"/>
  <c r="K29" i="10"/>
  <c r="G49" i="10"/>
  <c r="H49" i="10" s="1"/>
  <c r="I49" i="10" s="1"/>
  <c r="J29" i="10"/>
  <c r="N29" i="10"/>
  <c r="I29" i="10"/>
  <c r="AY169" i="8"/>
  <c r="AQ170" i="8"/>
  <c r="AQ169" i="8"/>
  <c r="AS169" i="8" s="1"/>
  <c r="AT169" i="8" s="1" a="1"/>
  <c r="AT169" i="8" s="1"/>
  <c r="BD169" i="8"/>
  <c r="BE169" i="8"/>
  <c r="BC169" i="8" s="1"/>
  <c r="AZ169" i="8"/>
  <c r="BA169" i="8"/>
  <c r="BB169" i="8"/>
  <c r="B5" i="8"/>
  <c r="B4" i="8"/>
  <c r="AW309" i="8"/>
  <c r="AW251" i="8"/>
  <c r="AO253" i="8"/>
  <c r="AO255" i="8" s="1"/>
  <c r="AO257" i="8" s="1"/>
  <c r="AO259" i="8" s="1"/>
  <c r="AO261" i="8" s="1"/>
  <c r="AO263" i="8" s="1"/>
  <c r="AO265" i="8" s="1"/>
  <c r="AO267" i="8" s="1"/>
  <c r="AO171" i="8"/>
  <c r="AO173" i="8" s="1"/>
  <c r="AO175" i="8" s="1"/>
  <c r="AO177" i="8" s="1"/>
  <c r="AO179" i="8" s="1"/>
  <c r="AO181" i="8" s="1"/>
  <c r="AO183" i="8" s="1"/>
  <c r="AO185" i="8" s="1"/>
  <c r="AO187" i="8" s="1"/>
  <c r="AO271" i="8"/>
  <c r="AO273" i="8" s="1"/>
  <c r="AO275" i="8" s="1"/>
  <c r="AO277" i="8" s="1"/>
  <c r="AO279" i="8" s="1"/>
  <c r="AO281" i="8" s="1"/>
  <c r="AO283" i="8" s="1"/>
  <c r="AO285" i="8" s="1"/>
  <c r="AO287" i="8" s="1"/>
  <c r="AO211" i="8"/>
  <c r="AO213" i="8" s="1"/>
  <c r="AO215" i="8" s="1"/>
  <c r="AO217" i="8" s="1"/>
  <c r="AO219" i="8" s="1"/>
  <c r="AO221" i="8" s="1"/>
  <c r="AO223" i="8" s="1"/>
  <c r="AO225" i="8" s="1"/>
  <c r="AO227" i="8" s="1"/>
  <c r="AO191" i="8"/>
  <c r="AO193" i="8" s="1"/>
  <c r="AO195" i="8" s="1"/>
  <c r="AO197" i="8" s="1"/>
  <c r="AO199" i="8" s="1"/>
  <c r="AO201" i="8" s="1"/>
  <c r="AO203" i="8" s="1"/>
  <c r="AO205" i="8" s="1"/>
  <c r="AO207" i="8" s="1"/>
  <c r="AP229" i="8"/>
  <c r="AY229" i="8" s="1"/>
  <c r="AW289" i="8"/>
  <c r="AP249" i="8"/>
  <c r="AY249" i="8" s="1"/>
  <c r="AW249" i="8"/>
  <c r="AP189" i="8"/>
  <c r="AY189" i="8" s="1"/>
  <c r="AP209" i="8"/>
  <c r="AY209" i="8" s="1"/>
  <c r="AW313" i="8"/>
  <c r="AP309" i="8"/>
  <c r="AY309" i="8" s="1"/>
  <c r="AW231" i="8"/>
  <c r="AP231" i="8"/>
  <c r="AY231" i="8" s="1"/>
  <c r="AW229" i="8"/>
  <c r="AP289" i="8"/>
  <c r="AY289" i="8" s="1"/>
  <c r="AR169" i="8"/>
  <c r="AW291" i="8"/>
  <c r="AP291" i="8"/>
  <c r="AY291" i="8" s="1"/>
  <c r="AP269" i="8"/>
  <c r="AY269" i="8" s="1"/>
  <c r="AP233" i="8"/>
  <c r="AY233" i="8" s="1"/>
  <c r="AW233" i="8"/>
  <c r="AW189" i="8"/>
  <c r="AW149" i="8"/>
  <c r="AP149" i="8"/>
  <c r="AY149" i="8" s="1"/>
  <c r="AW169" i="8"/>
  <c r="AR170" i="8"/>
  <c r="AV170" i="8"/>
  <c r="AP251" i="8"/>
  <c r="AY251" i="8" s="1"/>
  <c r="O153" i="9"/>
  <c r="O165" i="9"/>
  <c r="O177" i="9"/>
  <c r="O179" i="9"/>
  <c r="Q179" i="9" s="1"/>
  <c r="O181" i="9"/>
  <c r="Q181" i="9" s="1"/>
  <c r="O193" i="9"/>
  <c r="O205" i="9"/>
  <c r="O152" i="9"/>
  <c r="O164" i="9"/>
  <c r="O176" i="9"/>
  <c r="O180" i="9"/>
  <c r="Q180" i="9" s="1"/>
  <c r="O192" i="9"/>
  <c r="O204" i="9"/>
  <c r="O149" i="9"/>
  <c r="Q149" i="9" s="1"/>
  <c r="O151" i="9"/>
  <c r="Q151" i="9" s="1"/>
  <c r="O163" i="9"/>
  <c r="O175" i="9"/>
  <c r="O187" i="9"/>
  <c r="O189" i="9"/>
  <c r="Q189" i="9" s="1"/>
  <c r="O191" i="9"/>
  <c r="Q191" i="9" s="1"/>
  <c r="O203" i="9"/>
  <c r="O150" i="9"/>
  <c r="Q150" i="9" s="1"/>
  <c r="O162" i="9"/>
  <c r="O174" i="9"/>
  <c r="O186" i="9"/>
  <c r="O190" i="9"/>
  <c r="Q190" i="9" s="1"/>
  <c r="O202" i="9"/>
  <c r="O157" i="9"/>
  <c r="O159" i="9"/>
  <c r="Q159" i="9" s="1"/>
  <c r="O161" i="9"/>
  <c r="O173" i="9"/>
  <c r="O185" i="9"/>
  <c r="O197" i="9"/>
  <c r="O199" i="9"/>
  <c r="Q199" i="9" s="1"/>
  <c r="O201" i="9"/>
  <c r="O156" i="9"/>
  <c r="O160" i="9"/>
  <c r="Q160" i="9" s="1"/>
  <c r="O172" i="9"/>
  <c r="O184" i="9"/>
  <c r="O196" i="9"/>
  <c r="O200" i="9"/>
  <c r="Q200" i="9" s="1"/>
  <c r="O155" i="9"/>
  <c r="O167" i="9"/>
  <c r="O169" i="9"/>
  <c r="Q169" i="9" s="1"/>
  <c r="O171" i="9"/>
  <c r="O183" i="9"/>
  <c r="O195" i="9"/>
  <c r="O207" i="9"/>
  <c r="Q139" i="9"/>
  <c r="O154" i="9"/>
  <c r="O166" i="9"/>
  <c r="O170" i="9"/>
  <c r="Q170" i="9" s="1"/>
  <c r="O182" i="9"/>
  <c r="O194" i="9"/>
  <c r="O206" i="9"/>
  <c r="P149" i="9"/>
  <c r="P189" i="9"/>
  <c r="N140" i="9"/>
  <c r="P191" i="9"/>
  <c r="P170" i="9"/>
  <c r="P150" i="9"/>
  <c r="P169" i="9"/>
  <c r="P190" i="9"/>
  <c r="P200" i="9"/>
  <c r="P160" i="9"/>
  <c r="P179" i="9"/>
  <c r="P151" i="9"/>
  <c r="P180" i="9"/>
  <c r="P159" i="9"/>
  <c r="P199" i="9"/>
  <c r="P139" i="9"/>
  <c r="N130" i="5"/>
  <c r="N140" i="5"/>
  <c r="N150" i="5"/>
  <c r="N200" i="5"/>
  <c r="P200" i="5" s="1"/>
  <c r="R189" i="5"/>
  <c r="N180" i="5"/>
  <c r="N170" i="5"/>
  <c r="U149" i="5"/>
  <c r="U189" i="5"/>
  <c r="R199" i="5"/>
  <c r="R169" i="5"/>
  <c r="U179" i="5"/>
  <c r="U139" i="5"/>
  <c r="O199" i="5"/>
  <c r="Q199" i="5" s="1" a="1"/>
  <c r="Q199" i="5" s="1"/>
  <c r="O169" i="5"/>
  <c r="Q169" i="5" s="1" a="1"/>
  <c r="Q169" i="5" s="1"/>
  <c r="O139" i="5"/>
  <c r="Q139" i="5" s="1" a="1"/>
  <c r="Q139" i="5" s="1"/>
  <c r="R159" i="5"/>
  <c r="U159" i="5"/>
  <c r="O159" i="5"/>
  <c r="Q159" i="5" s="1" a="1"/>
  <c r="Q159" i="5" s="1"/>
  <c r="O189" i="5"/>
  <c r="Q189" i="5" s="1" a="1"/>
  <c r="Q189" i="5" s="1"/>
  <c r="R149" i="5"/>
  <c r="R179" i="5"/>
  <c r="O129" i="5"/>
  <c r="Q129" i="5" s="1" a="1"/>
  <c r="Q129" i="5" s="1"/>
  <c r="G7" i="9"/>
  <c r="C28" i="5"/>
  <c r="AR43" i="10"/>
  <c r="AR41" i="10"/>
  <c r="AR40" i="10"/>
  <c r="AR39" i="10"/>
  <c r="AR38" i="10"/>
  <c r="AR37" i="10"/>
  <c r="AR36" i="10"/>
  <c r="AR34" i="10"/>
  <c r="AR33" i="10"/>
  <c r="AR32" i="10"/>
  <c r="AR31" i="10"/>
  <c r="AR30" i="10"/>
  <c r="AR29" i="10"/>
  <c r="AR27" i="10"/>
  <c r="AR26" i="10"/>
  <c r="AR25" i="10"/>
  <c r="AR24" i="10"/>
  <c r="AR13" i="10"/>
  <c r="AR12" i="10"/>
  <c r="AR11" i="10"/>
  <c r="AX41" i="10"/>
  <c r="AX40" i="10"/>
  <c r="AX39" i="10"/>
  <c r="AX38" i="10"/>
  <c r="AX37" i="10"/>
  <c r="AX33" i="10"/>
  <c r="AX32" i="10"/>
  <c r="AX31" i="10"/>
  <c r="AX30" i="10"/>
  <c r="AX26" i="10"/>
  <c r="AX25" i="10"/>
  <c r="AX24" i="10"/>
  <c r="AX23" i="10"/>
  <c r="AX20" i="10"/>
  <c r="AX19" i="10"/>
  <c r="AX18" i="10"/>
  <c r="AX17" i="10"/>
  <c r="AX16" i="10"/>
  <c r="AX15" i="10"/>
  <c r="AX13" i="10"/>
  <c r="AX12" i="10"/>
  <c r="AX11" i="10"/>
  <c r="AU8" i="10"/>
  <c r="AT38" i="10"/>
  <c r="AT39" i="10"/>
  <c r="AT40" i="10"/>
  <c r="AT41" i="10"/>
  <c r="AT43" i="10"/>
  <c r="AT37" i="10"/>
  <c r="AT31" i="10"/>
  <c r="AT32" i="10"/>
  <c r="AT33" i="10"/>
  <c r="AT34" i="10"/>
  <c r="AT36" i="10"/>
  <c r="AT30" i="10"/>
  <c r="AT24" i="10"/>
  <c r="AT25" i="10"/>
  <c r="AT26" i="10"/>
  <c r="AT27" i="10"/>
  <c r="AT29" i="10"/>
  <c r="AT23" i="10"/>
  <c r="AT17" i="10"/>
  <c r="AT18" i="10"/>
  <c r="AT19" i="10"/>
  <c r="AT20" i="10"/>
  <c r="AT22" i="10"/>
  <c r="AT10" i="10"/>
  <c r="AT11" i="10"/>
  <c r="AT12" i="10"/>
  <c r="AT13" i="10"/>
  <c r="AT9" i="10"/>
  <c r="AS23" i="10"/>
  <c r="AS24" i="10" s="1"/>
  <c r="AS25" i="10" s="1"/>
  <c r="AS26" i="10" s="1"/>
  <c r="AS27" i="10" s="1"/>
  <c r="AS28" i="10" s="1"/>
  <c r="AS29" i="10" s="1"/>
  <c r="AS30" i="10"/>
  <c r="AS31" i="10" s="1"/>
  <c r="AS32" i="10" s="1"/>
  <c r="AS33" i="10" s="1"/>
  <c r="AS34" i="10" s="1"/>
  <c r="AS35" i="10" s="1"/>
  <c r="AS36" i="10" s="1"/>
  <c r="AS37" i="10"/>
  <c r="AS38" i="10" s="1"/>
  <c r="AS39" i="10" s="1"/>
  <c r="AS40" i="10" s="1"/>
  <c r="AS41" i="10" s="1"/>
  <c r="AS42" i="10" s="1"/>
  <c r="AS43" i="10" s="1"/>
  <c r="H7" i="10"/>
  <c r="B14" i="10"/>
  <c r="B16" i="10" s="1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8" i="7"/>
  <c r="AD82" i="5"/>
  <c r="AD72" i="5"/>
  <c r="AD62" i="5"/>
  <c r="AD52" i="5"/>
  <c r="AD42" i="5"/>
  <c r="AD32" i="5"/>
  <c r="AD22" i="5"/>
  <c r="AD12" i="5"/>
  <c r="AA83" i="5"/>
  <c r="Y83" i="5"/>
  <c r="AA81" i="5"/>
  <c r="Y81" i="5"/>
  <c r="AA73" i="5"/>
  <c r="AA71" i="5"/>
  <c r="AA63" i="5"/>
  <c r="Y63" i="5"/>
  <c r="AA61" i="5"/>
  <c r="Y61" i="5"/>
  <c r="AA53" i="5"/>
  <c r="Y53" i="5"/>
  <c r="AA51" i="5"/>
  <c r="AA43" i="5"/>
  <c r="Y43" i="5"/>
  <c r="AA41" i="5"/>
  <c r="Y41" i="5"/>
  <c r="AA33" i="5"/>
  <c r="Y33" i="5"/>
  <c r="AA31" i="5"/>
  <c r="Y31" i="5"/>
  <c r="AA23" i="5"/>
  <c r="Y23" i="5"/>
  <c r="AA21" i="5"/>
  <c r="Y21" i="5"/>
  <c r="AA13" i="5"/>
  <c r="AA11" i="5"/>
  <c r="Y13" i="5"/>
  <c r="Y11" i="5"/>
  <c r="B34" i="8"/>
  <c r="O8" i="7"/>
  <c r="P8" i="7"/>
  <c r="Z8" i="7" s="1"/>
  <c r="Q8" i="7"/>
  <c r="O47" i="7"/>
  <c r="P47" i="7"/>
  <c r="Z47" i="7" s="1"/>
  <c r="Q47" i="7"/>
  <c r="O48" i="7"/>
  <c r="P48" i="7"/>
  <c r="Q48" i="7"/>
  <c r="O49" i="7"/>
  <c r="P49" i="7"/>
  <c r="Z49" i="7" s="1"/>
  <c r="Q49" i="7"/>
  <c r="Z10" i="7"/>
  <c r="Z11" i="7"/>
  <c r="Z12" i="7"/>
  <c r="Z15" i="7"/>
  <c r="Z16" i="7"/>
  <c r="Z20" i="7"/>
  <c r="Z25" i="7"/>
  <c r="Z26" i="7"/>
  <c r="Z27" i="7"/>
  <c r="Z29" i="7"/>
  <c r="Z30" i="7"/>
  <c r="Z31" i="7"/>
  <c r="Z32" i="7"/>
  <c r="Z33" i="7"/>
  <c r="Z36" i="7"/>
  <c r="Z41" i="7"/>
  <c r="Z42" i="7"/>
  <c r="Z43" i="7"/>
  <c r="Z45" i="7"/>
  <c r="Z46" i="7"/>
  <c r="Z48" i="7"/>
  <c r="AH7" i="8"/>
  <c r="B19" i="5"/>
  <c r="B18" i="5"/>
  <c r="A13" i="5"/>
  <c r="J9" i="7"/>
  <c r="G9" i="11" s="1"/>
  <c r="J10" i="7"/>
  <c r="J11" i="7"/>
  <c r="J12" i="7"/>
  <c r="J13" i="7"/>
  <c r="J14" i="7"/>
  <c r="J15" i="7"/>
  <c r="J16" i="7"/>
  <c r="J17" i="7"/>
  <c r="J18" i="7"/>
  <c r="J19" i="7"/>
  <c r="G20" i="11" s="1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8" i="7"/>
  <c r="G8" i="11" s="1"/>
  <c r="O11" i="7"/>
  <c r="P11" i="7"/>
  <c r="Q11" i="7"/>
  <c r="O12" i="7"/>
  <c r="P12" i="7"/>
  <c r="Q12" i="7"/>
  <c r="O13" i="7"/>
  <c r="P13" i="7"/>
  <c r="Z13" i="7" s="1"/>
  <c r="Q13" i="7"/>
  <c r="O14" i="7"/>
  <c r="P14" i="7"/>
  <c r="Z14" i="7" s="1"/>
  <c r="Q14" i="7"/>
  <c r="O15" i="7"/>
  <c r="P15" i="7"/>
  <c r="Q15" i="7"/>
  <c r="O16" i="7"/>
  <c r="P16" i="7"/>
  <c r="Q16" i="7"/>
  <c r="O17" i="7"/>
  <c r="P17" i="7"/>
  <c r="Z17" i="7" s="1"/>
  <c r="Q17" i="7"/>
  <c r="O18" i="7"/>
  <c r="P18" i="7"/>
  <c r="Z18" i="7" s="1"/>
  <c r="Q18" i="7"/>
  <c r="O19" i="7"/>
  <c r="P19" i="7"/>
  <c r="Z19" i="7" s="1"/>
  <c r="Q19" i="7"/>
  <c r="O20" i="7"/>
  <c r="P20" i="7"/>
  <c r="Q20" i="7"/>
  <c r="O21" i="7"/>
  <c r="P21" i="7"/>
  <c r="Z21" i="7" s="1"/>
  <c r="Q21" i="7"/>
  <c r="O22" i="7"/>
  <c r="P22" i="7"/>
  <c r="Z22" i="7" s="1"/>
  <c r="Q22" i="7"/>
  <c r="O23" i="7"/>
  <c r="P23" i="7"/>
  <c r="Z23" i="7" s="1"/>
  <c r="Q23" i="7"/>
  <c r="O24" i="7"/>
  <c r="P24" i="7"/>
  <c r="Z24" i="7" s="1"/>
  <c r="Q24" i="7"/>
  <c r="O25" i="7"/>
  <c r="P25" i="7"/>
  <c r="Q25" i="7"/>
  <c r="O26" i="7"/>
  <c r="P26" i="7"/>
  <c r="Q26" i="7"/>
  <c r="O27" i="7"/>
  <c r="P27" i="7"/>
  <c r="Q27" i="7"/>
  <c r="O28" i="7"/>
  <c r="P28" i="7"/>
  <c r="Z28" i="7" s="1"/>
  <c r="Q28" i="7"/>
  <c r="O29" i="7"/>
  <c r="P29" i="7"/>
  <c r="Q29" i="7"/>
  <c r="O30" i="7"/>
  <c r="P30" i="7"/>
  <c r="Q30" i="7"/>
  <c r="O31" i="7"/>
  <c r="P31" i="7"/>
  <c r="Q31" i="7"/>
  <c r="O32" i="7"/>
  <c r="P32" i="7"/>
  <c r="Q32" i="7"/>
  <c r="O33" i="7"/>
  <c r="P33" i="7"/>
  <c r="Q33" i="7"/>
  <c r="O34" i="7"/>
  <c r="P34" i="7"/>
  <c r="Z34" i="7" s="1"/>
  <c r="Q34" i="7"/>
  <c r="O35" i="7"/>
  <c r="P35" i="7"/>
  <c r="Z35" i="7" s="1"/>
  <c r="Q35" i="7"/>
  <c r="O36" i="7"/>
  <c r="P36" i="7"/>
  <c r="Q36" i="7"/>
  <c r="O37" i="7"/>
  <c r="P37" i="7"/>
  <c r="Z37" i="7" s="1"/>
  <c r="Q37" i="7"/>
  <c r="O38" i="7"/>
  <c r="P38" i="7"/>
  <c r="Z38" i="7" s="1"/>
  <c r="Q38" i="7"/>
  <c r="O39" i="7"/>
  <c r="P39" i="7"/>
  <c r="Z39" i="7" s="1"/>
  <c r="Q39" i="7"/>
  <c r="O40" i="7"/>
  <c r="P40" i="7"/>
  <c r="Z40" i="7" s="1"/>
  <c r="Q40" i="7"/>
  <c r="O41" i="7"/>
  <c r="P41" i="7"/>
  <c r="Q41" i="7"/>
  <c r="O42" i="7"/>
  <c r="P42" i="7"/>
  <c r="Q42" i="7"/>
  <c r="O43" i="7"/>
  <c r="P43" i="7"/>
  <c r="Q43" i="7"/>
  <c r="O44" i="7"/>
  <c r="P44" i="7"/>
  <c r="Z44" i="7" s="1"/>
  <c r="Q44" i="7"/>
  <c r="O45" i="7"/>
  <c r="P45" i="7"/>
  <c r="Q45" i="7"/>
  <c r="O46" i="7"/>
  <c r="P46" i="7"/>
  <c r="Q46" i="7"/>
  <c r="O10" i="7"/>
  <c r="P10" i="7"/>
  <c r="Q10" i="7"/>
  <c r="P9" i="7"/>
  <c r="Z9" i="7" s="1"/>
  <c r="Q9" i="7"/>
  <c r="O9" i="7"/>
  <c r="G7" i="5"/>
  <c r="J25" i="1"/>
  <c r="J23" i="1"/>
  <c r="K23" i="1"/>
  <c r="L23" i="1"/>
  <c r="M23" i="1"/>
  <c r="J24" i="1"/>
  <c r="K24" i="1"/>
  <c r="L24" i="1"/>
  <c r="M24" i="1"/>
  <c r="F7" i="1"/>
  <c r="M25" i="1"/>
  <c r="L25" i="1"/>
  <c r="K25" i="1"/>
  <c r="M20" i="1"/>
  <c r="M21" i="1" s="1"/>
  <c r="L20" i="1"/>
  <c r="L21" i="1" s="1"/>
  <c r="K20" i="1"/>
  <c r="K21" i="1" s="1"/>
  <c r="J20" i="1"/>
  <c r="J21" i="1" s="1"/>
  <c r="M17" i="1"/>
  <c r="L17" i="1"/>
  <c r="K17" i="1"/>
  <c r="J17" i="1"/>
  <c r="M16" i="1"/>
  <c r="L16" i="1"/>
  <c r="K16" i="1"/>
  <c r="J16" i="1"/>
  <c r="M15" i="1"/>
  <c r="L15" i="1"/>
  <c r="K15" i="1"/>
  <c r="J15" i="1"/>
  <c r="M14" i="1"/>
  <c r="L14" i="1"/>
  <c r="K14" i="1"/>
  <c r="J14" i="1"/>
  <c r="J18" i="1" s="1"/>
  <c r="M13" i="1"/>
  <c r="L13" i="1"/>
  <c r="K13" i="1"/>
  <c r="J13" i="1"/>
  <c r="M10" i="1"/>
  <c r="L10" i="1"/>
  <c r="K10" i="1"/>
  <c r="J10" i="1"/>
  <c r="M9" i="1"/>
  <c r="L9" i="1"/>
  <c r="K9" i="1"/>
  <c r="J9" i="1"/>
  <c r="M8" i="1"/>
  <c r="L8" i="1"/>
  <c r="K8" i="1"/>
  <c r="J8" i="1"/>
  <c r="M7" i="1"/>
  <c r="K7" i="1"/>
  <c r="D7" i="1"/>
  <c r="M6" i="1"/>
  <c r="K6" i="1"/>
  <c r="D6" i="1"/>
  <c r="L6" i="1" s="1"/>
  <c r="N191" i="5" l="1"/>
  <c r="P190" i="5"/>
  <c r="U160" i="5"/>
  <c r="R170" i="5"/>
  <c r="P170" i="5"/>
  <c r="R160" i="5"/>
  <c r="N181" i="5"/>
  <c r="P180" i="5"/>
  <c r="N151" i="5"/>
  <c r="P150" i="5"/>
  <c r="N141" i="5"/>
  <c r="U141" i="5" s="1"/>
  <c r="P140" i="5"/>
  <c r="N131" i="5"/>
  <c r="P130" i="5"/>
  <c r="N161" i="5"/>
  <c r="O161" i="5" s="1"/>
  <c r="Q161" i="5" s="1" a="1"/>
  <c r="Q161" i="5" s="1"/>
  <c r="P160" i="5"/>
  <c r="AH24" i="10"/>
  <c r="B36" i="10" s="1"/>
  <c r="J49" i="10"/>
  <c r="N49" i="10"/>
  <c r="K49" i="10"/>
  <c r="G69" i="10"/>
  <c r="H69" i="10" s="1"/>
  <c r="J69" i="10" s="1"/>
  <c r="AU169" i="8"/>
  <c r="R129" i="5"/>
  <c r="AB24" i="10"/>
  <c r="I9" i="10"/>
  <c r="Q9" i="10"/>
  <c r="J9" i="10"/>
  <c r="AG9" i="8"/>
  <c r="AL9" i="8" s="1"/>
  <c r="N9" i="10"/>
  <c r="K9" i="9"/>
  <c r="F19" i="5"/>
  <c r="AQ209" i="8"/>
  <c r="AS209" i="8" s="1"/>
  <c r="AT209" i="8" s="1" a="1"/>
  <c r="AT209" i="8" s="1"/>
  <c r="AQ210" i="8"/>
  <c r="AQ149" i="8"/>
  <c r="AS149" i="8" s="1"/>
  <c r="AT149" i="8" s="1" a="1"/>
  <c r="AT149" i="8" s="1"/>
  <c r="AQ150" i="8"/>
  <c r="AQ189" i="8"/>
  <c r="AS189" i="8" s="1"/>
  <c r="AT189" i="8" s="1" a="1"/>
  <c r="AT189" i="8" s="1"/>
  <c r="AQ190" i="8"/>
  <c r="AQ289" i="8"/>
  <c r="AS289" i="8" s="1"/>
  <c r="AT289" i="8" s="1" a="1"/>
  <c r="AT289" i="8" s="1"/>
  <c r="AQ290" i="8"/>
  <c r="AQ250" i="8"/>
  <c r="AQ249" i="8"/>
  <c r="AS249" i="8" s="1"/>
  <c r="AT249" i="8" s="1" a="1"/>
  <c r="AT249" i="8" s="1"/>
  <c r="AQ229" i="8"/>
  <c r="AS229" i="8" s="1"/>
  <c r="AT229" i="8" s="1" a="1"/>
  <c r="AT229" i="8" s="1"/>
  <c r="AQ230" i="8"/>
  <c r="AQ269" i="8"/>
  <c r="AS269" i="8" s="1"/>
  <c r="AT269" i="8" s="1" a="1"/>
  <c r="AT269" i="8" s="1"/>
  <c r="AQ270" i="8"/>
  <c r="AQ234" i="8"/>
  <c r="AQ233" i="8"/>
  <c r="AS233" i="8" s="1"/>
  <c r="AT233" i="8" s="1" a="1"/>
  <c r="AT233" i="8" s="1"/>
  <c r="AQ291" i="8"/>
  <c r="AS291" i="8" s="1"/>
  <c r="AT291" i="8" s="1" a="1"/>
  <c r="AT291" i="8" s="1"/>
  <c r="AQ292" i="8"/>
  <c r="AQ251" i="8"/>
  <c r="AS251" i="8" s="1"/>
  <c r="AT251" i="8" s="1" a="1"/>
  <c r="AT251" i="8" s="1"/>
  <c r="AQ252" i="8"/>
  <c r="AQ231" i="8"/>
  <c r="AS231" i="8" s="1"/>
  <c r="AT231" i="8" s="1" a="1"/>
  <c r="AT231" i="8" s="1"/>
  <c r="AQ232" i="8"/>
  <c r="AQ309" i="8"/>
  <c r="AS309" i="8" s="1"/>
  <c r="AT309" i="8" s="1" a="1"/>
  <c r="AT309" i="8" s="1"/>
  <c r="AQ310" i="8"/>
  <c r="BD309" i="8"/>
  <c r="BE309" i="8"/>
  <c r="BC309" i="8" s="1"/>
  <c r="BD149" i="8"/>
  <c r="BE149" i="8"/>
  <c r="BC149" i="8" s="1"/>
  <c r="BE209" i="8"/>
  <c r="BC209" i="8" s="1"/>
  <c r="BD209" i="8"/>
  <c r="BE189" i="8"/>
  <c r="BC189" i="8" s="1"/>
  <c r="BD189" i="8"/>
  <c r="BD249" i="8"/>
  <c r="BE249" i="8"/>
  <c r="BC249" i="8" s="1"/>
  <c r="BE233" i="8"/>
  <c r="BC233" i="8" s="1"/>
  <c r="BD233" i="8"/>
  <c r="BD229" i="8"/>
  <c r="BE229" i="8"/>
  <c r="BC229" i="8" s="1"/>
  <c r="BE291" i="8"/>
  <c r="BC291" i="8" s="1"/>
  <c r="BD291" i="8"/>
  <c r="BE269" i="8"/>
  <c r="BC269" i="8" s="1"/>
  <c r="BD269" i="8"/>
  <c r="BE289" i="8"/>
  <c r="BC289" i="8" s="1"/>
  <c r="BD289" i="8"/>
  <c r="BD251" i="8"/>
  <c r="BE251" i="8"/>
  <c r="BC251" i="8" s="1"/>
  <c r="BE231" i="8"/>
  <c r="BC231" i="8" s="1"/>
  <c r="BD231" i="8"/>
  <c r="B11" i="8"/>
  <c r="BA289" i="8"/>
  <c r="BB289" i="8"/>
  <c r="BB231" i="8"/>
  <c r="BA231" i="8"/>
  <c r="BB309" i="8"/>
  <c r="BA309" i="8"/>
  <c r="BA251" i="8"/>
  <c r="BB251" i="8"/>
  <c r="BB149" i="8"/>
  <c r="BA149" i="8"/>
  <c r="BB209" i="8"/>
  <c r="BA209" i="8"/>
  <c r="BA189" i="8"/>
  <c r="BB189" i="8"/>
  <c r="BA249" i="8"/>
  <c r="BB249" i="8"/>
  <c r="BB229" i="8"/>
  <c r="BA229" i="8"/>
  <c r="BB233" i="8"/>
  <c r="BA233" i="8"/>
  <c r="BA269" i="8"/>
  <c r="BB269" i="8"/>
  <c r="BB291" i="8"/>
  <c r="BA291" i="8"/>
  <c r="AZ231" i="8"/>
  <c r="AZ289" i="8"/>
  <c r="AZ251" i="8"/>
  <c r="AZ309" i="8"/>
  <c r="AZ149" i="8"/>
  <c r="AZ209" i="8"/>
  <c r="AZ189" i="8"/>
  <c r="AZ249" i="8"/>
  <c r="AZ233" i="8"/>
  <c r="AZ229" i="8"/>
  <c r="AZ269" i="8"/>
  <c r="AZ291" i="8"/>
  <c r="AS170" i="8"/>
  <c r="AT170" i="8" s="1" a="1"/>
  <c r="AT170" i="8" s="1"/>
  <c r="AR310" i="8"/>
  <c r="B6" i="8"/>
  <c r="BP10" i="8" s="1"/>
  <c r="BP11" i="8" s="1"/>
  <c r="B10" i="8"/>
  <c r="B15" i="8" s="1"/>
  <c r="AV209" i="8"/>
  <c r="AR249" i="8"/>
  <c r="AR229" i="8"/>
  <c r="AW191" i="8"/>
  <c r="AR189" i="8"/>
  <c r="AW193" i="8"/>
  <c r="AP191" i="8"/>
  <c r="AY191" i="8" s="1"/>
  <c r="AP253" i="8"/>
  <c r="AY253" i="8" s="1"/>
  <c r="AV229" i="8"/>
  <c r="AR230" i="8"/>
  <c r="AV230" i="8"/>
  <c r="AR231" i="8"/>
  <c r="AR250" i="8"/>
  <c r="AV231" i="8"/>
  <c r="AV250" i="8"/>
  <c r="AV249" i="8"/>
  <c r="AP193" i="8"/>
  <c r="AY193" i="8" s="1"/>
  <c r="AW253" i="8"/>
  <c r="AW255" i="8"/>
  <c r="AP311" i="8"/>
  <c r="AY311" i="8" s="1"/>
  <c r="AV232" i="8"/>
  <c r="AR232" i="8"/>
  <c r="AP313" i="8"/>
  <c r="AY313" i="8" s="1"/>
  <c r="AV310" i="8"/>
  <c r="AR210" i="8"/>
  <c r="AV189" i="8"/>
  <c r="AV190" i="8"/>
  <c r="AR190" i="8"/>
  <c r="AR209" i="8"/>
  <c r="AV309" i="8"/>
  <c r="AW311" i="8"/>
  <c r="AR309" i="8"/>
  <c r="AV210" i="8"/>
  <c r="AV289" i="8"/>
  <c r="AW211" i="8"/>
  <c r="AP211" i="8"/>
  <c r="AY211" i="8" s="1"/>
  <c r="AV290" i="8"/>
  <c r="AR289" i="8"/>
  <c r="AR290" i="8"/>
  <c r="AR233" i="8"/>
  <c r="AV233" i="8"/>
  <c r="AR234" i="8"/>
  <c r="AV234" i="8"/>
  <c r="AW235" i="8"/>
  <c r="AP235" i="8"/>
  <c r="AY235" i="8" s="1"/>
  <c r="AP195" i="8"/>
  <c r="AY195" i="8" s="1"/>
  <c r="AW195" i="8"/>
  <c r="AR292" i="8"/>
  <c r="AV292" i="8"/>
  <c r="AR291" i="8"/>
  <c r="AV291" i="8"/>
  <c r="AW171" i="8"/>
  <c r="AP171" i="8"/>
  <c r="AY171" i="8" s="1"/>
  <c r="AW293" i="8"/>
  <c r="AP293" i="8"/>
  <c r="AY293" i="8" s="1"/>
  <c r="AR150" i="8"/>
  <c r="AV150" i="8"/>
  <c r="AR149" i="8"/>
  <c r="AV149" i="8"/>
  <c r="AR269" i="8"/>
  <c r="AV269" i="8"/>
  <c r="AV270" i="8"/>
  <c r="AR270" i="8"/>
  <c r="AP151" i="8"/>
  <c r="AY151" i="8" s="1"/>
  <c r="AW151" i="8"/>
  <c r="AP271" i="8"/>
  <c r="AY271" i="8" s="1"/>
  <c r="AW271" i="8"/>
  <c r="AV252" i="8"/>
  <c r="AR251" i="8"/>
  <c r="AV251" i="8"/>
  <c r="AR252" i="8"/>
  <c r="AP255" i="8"/>
  <c r="AY255" i="8" s="1"/>
  <c r="G15" i="11"/>
  <c r="G18" i="11"/>
  <c r="G13" i="11"/>
  <c r="G16" i="11"/>
  <c r="G19" i="11"/>
  <c r="G12" i="11"/>
  <c r="G11" i="11"/>
  <c r="G17" i="11"/>
  <c r="G10" i="11"/>
  <c r="G14" i="11"/>
  <c r="N141" i="9"/>
  <c r="P141" i="9" s="1"/>
  <c r="O140" i="9"/>
  <c r="Q140" i="9" s="1"/>
  <c r="Q182" i="9"/>
  <c r="P181" i="9"/>
  <c r="P140" i="9"/>
  <c r="Q201" i="9"/>
  <c r="P201" i="9"/>
  <c r="Q152" i="9"/>
  <c r="P152" i="9"/>
  <c r="Q171" i="9"/>
  <c r="P171" i="9"/>
  <c r="P192" i="9"/>
  <c r="Q192" i="9"/>
  <c r="Q161" i="9"/>
  <c r="P161" i="9"/>
  <c r="U129" i="5"/>
  <c r="O150" i="5"/>
  <c r="Q150" i="5" s="1" a="1"/>
  <c r="Q150" i="5" s="1"/>
  <c r="U140" i="5"/>
  <c r="N201" i="5"/>
  <c r="P201" i="5" s="1"/>
  <c r="U180" i="5"/>
  <c r="O170" i="5"/>
  <c r="Q170" i="5" s="1" a="1"/>
  <c r="Q170" i="5" s="1"/>
  <c r="N171" i="5"/>
  <c r="U170" i="5"/>
  <c r="O200" i="5"/>
  <c r="Q200" i="5" s="1" a="1"/>
  <c r="Q200" i="5" s="1"/>
  <c r="U200" i="5"/>
  <c r="R200" i="5"/>
  <c r="U150" i="5"/>
  <c r="R150" i="5"/>
  <c r="U151" i="5"/>
  <c r="O180" i="5"/>
  <c r="Q180" i="5" s="1" a="1"/>
  <c r="Q180" i="5" s="1"/>
  <c r="R180" i="5"/>
  <c r="O140" i="5"/>
  <c r="Q140" i="5" s="1" a="1"/>
  <c r="Q140" i="5" s="1"/>
  <c r="R140" i="5"/>
  <c r="O190" i="5"/>
  <c r="Q190" i="5" s="1" a="1"/>
  <c r="Q190" i="5" s="1"/>
  <c r="R190" i="5"/>
  <c r="O130" i="5"/>
  <c r="Q130" i="5" s="1" a="1"/>
  <c r="Q130" i="5" s="1"/>
  <c r="AE24" i="10"/>
  <c r="J7" i="1"/>
  <c r="L18" i="1"/>
  <c r="K11" i="1"/>
  <c r="K29" i="1" s="1"/>
  <c r="K18" i="1"/>
  <c r="M18" i="1"/>
  <c r="M11" i="1"/>
  <c r="M29" i="1" s="1"/>
  <c r="L7" i="1"/>
  <c r="L11" i="1" s="1"/>
  <c r="L29" i="1" s="1"/>
  <c r="J6" i="1"/>
  <c r="J11" i="1" s="1"/>
  <c r="R161" i="5" l="1"/>
  <c r="N182" i="5"/>
  <c r="U182" i="5" s="1"/>
  <c r="P181" i="5"/>
  <c r="N162" i="5"/>
  <c r="R162" i="5" s="1"/>
  <c r="P161" i="5"/>
  <c r="U161" i="5"/>
  <c r="N132" i="5"/>
  <c r="P131" i="5"/>
  <c r="N142" i="5"/>
  <c r="P141" i="5"/>
  <c r="N152" i="5"/>
  <c r="P151" i="5"/>
  <c r="N192" i="5"/>
  <c r="U192" i="5" s="1"/>
  <c r="P191" i="5"/>
  <c r="U181" i="5"/>
  <c r="U191" i="5"/>
  <c r="N172" i="5"/>
  <c r="O172" i="5" s="1"/>
  <c r="Q172" i="5" s="1" a="1"/>
  <c r="Q172" i="5" s="1"/>
  <c r="P171" i="5"/>
  <c r="AU15" i="10"/>
  <c r="K69" i="10"/>
  <c r="G89" i="10"/>
  <c r="H89" i="10" s="1"/>
  <c r="I69" i="10"/>
  <c r="N69" i="10"/>
  <c r="G109" i="10"/>
  <c r="H109" i="10" s="1"/>
  <c r="AU309" i="8"/>
  <c r="AU289" i="8"/>
  <c r="AU170" i="8"/>
  <c r="AU189" i="8"/>
  <c r="AU251" i="8"/>
  <c r="AU231" i="8"/>
  <c r="AU149" i="8"/>
  <c r="AU291" i="8"/>
  <c r="AU209" i="8"/>
  <c r="AU269" i="8"/>
  <c r="AU233" i="8"/>
  <c r="AU229" i="8"/>
  <c r="AU249" i="8"/>
  <c r="U130" i="5"/>
  <c r="AU42" i="10"/>
  <c r="AU35" i="10"/>
  <c r="AU28" i="10"/>
  <c r="AU21" i="10"/>
  <c r="AU12" i="10"/>
  <c r="AU13" i="10"/>
  <c r="AU14" i="10"/>
  <c r="AH9" i="8"/>
  <c r="G19" i="5"/>
  <c r="I19" i="5" s="1"/>
  <c r="J19" i="5"/>
  <c r="K19" i="5"/>
  <c r="K19" i="9" s="1"/>
  <c r="AG29" i="8"/>
  <c r="AK29" i="8" s="1"/>
  <c r="J9" i="5"/>
  <c r="J9" i="9" s="1"/>
  <c r="AN9" i="5"/>
  <c r="H9" i="5"/>
  <c r="X14" i="5" s="1"/>
  <c r="AT9" i="5"/>
  <c r="N9" i="5"/>
  <c r="N10" i="5" s="1"/>
  <c r="N11" i="5" s="1"/>
  <c r="G9" i="9"/>
  <c r="AW9" i="5"/>
  <c r="AQ9" i="5"/>
  <c r="Z13" i="5"/>
  <c r="F29" i="5"/>
  <c r="B21" i="8"/>
  <c r="AQ195" i="8"/>
  <c r="AS195" i="8" s="1"/>
  <c r="AT195" i="8" s="1" a="1"/>
  <c r="AT195" i="8" s="1"/>
  <c r="AQ196" i="8"/>
  <c r="AQ235" i="8"/>
  <c r="AS235" i="8" s="1"/>
  <c r="AT235" i="8" s="1" a="1"/>
  <c r="AT235" i="8" s="1"/>
  <c r="AQ236" i="8"/>
  <c r="AQ193" i="8"/>
  <c r="AS193" i="8" s="1"/>
  <c r="AT193" i="8" s="1" a="1"/>
  <c r="AT193" i="8" s="1"/>
  <c r="AQ194" i="8"/>
  <c r="AQ255" i="8"/>
  <c r="AS255" i="8" s="1"/>
  <c r="AT255" i="8" s="1" a="1"/>
  <c r="AT255" i="8" s="1"/>
  <c r="AQ256" i="8"/>
  <c r="AQ211" i="8"/>
  <c r="AS211" i="8" s="1"/>
  <c r="AT211" i="8" s="1" a="1"/>
  <c r="AT211" i="8" s="1"/>
  <c r="AQ212" i="8"/>
  <c r="AQ293" i="8"/>
  <c r="AS293" i="8" s="1"/>
  <c r="AT293" i="8" s="1" a="1"/>
  <c r="AT293" i="8" s="1"/>
  <c r="AQ294" i="8"/>
  <c r="AQ171" i="8"/>
  <c r="AS171" i="8" s="1"/>
  <c r="AT171" i="8" s="1" a="1"/>
  <c r="AT171" i="8" s="1"/>
  <c r="AQ172" i="8"/>
  <c r="AQ271" i="8"/>
  <c r="AS271" i="8" s="1"/>
  <c r="AT271" i="8" s="1" a="1"/>
  <c r="AT271" i="8" s="1"/>
  <c r="AQ272" i="8"/>
  <c r="AQ314" i="8"/>
  <c r="AQ313" i="8"/>
  <c r="AS313" i="8" s="1"/>
  <c r="AT313" i="8" s="1" a="1"/>
  <c r="AT313" i="8" s="1"/>
  <c r="AQ151" i="8"/>
  <c r="AS151" i="8" s="1"/>
  <c r="AT151" i="8" s="1" a="1"/>
  <c r="AT151" i="8" s="1"/>
  <c r="AQ152" i="8"/>
  <c r="AQ253" i="8"/>
  <c r="AS253" i="8" s="1"/>
  <c r="AT253" i="8" s="1" a="1"/>
  <c r="AT253" i="8" s="1"/>
  <c r="AQ254" i="8"/>
  <c r="AQ191" i="8"/>
  <c r="AS191" i="8" s="1"/>
  <c r="AT191" i="8" s="1" a="1"/>
  <c r="AT191" i="8" s="1"/>
  <c r="AQ192" i="8"/>
  <c r="AQ311" i="8"/>
  <c r="AS311" i="8" s="1"/>
  <c r="AT311" i="8" s="1" a="1"/>
  <c r="AT311" i="8" s="1"/>
  <c r="AQ312" i="8"/>
  <c r="BD151" i="8"/>
  <c r="BE151" i="8"/>
  <c r="BC151" i="8" s="1"/>
  <c r="BD211" i="8"/>
  <c r="BE211" i="8"/>
  <c r="BC211" i="8" s="1"/>
  <c r="BD271" i="8"/>
  <c r="BE271" i="8"/>
  <c r="BC271" i="8" s="1"/>
  <c r="BD255" i="8"/>
  <c r="BE255" i="8"/>
  <c r="BC255" i="8" s="1"/>
  <c r="BE195" i="8"/>
  <c r="BC195" i="8" s="1"/>
  <c r="BD195" i="8"/>
  <c r="BD313" i="8"/>
  <c r="BE313" i="8"/>
  <c r="BC313" i="8" s="1"/>
  <c r="BE235" i="8"/>
  <c r="BC235" i="8" s="1"/>
  <c r="BD235" i="8"/>
  <c r="BE253" i="8"/>
  <c r="BC253" i="8" s="1"/>
  <c r="BD253" i="8"/>
  <c r="BD311" i="8"/>
  <c r="BE311" i="8"/>
  <c r="BC311" i="8" s="1"/>
  <c r="BE191" i="8"/>
  <c r="BC191" i="8" s="1"/>
  <c r="BD191" i="8"/>
  <c r="BE293" i="8"/>
  <c r="BC293" i="8" s="1"/>
  <c r="BD293" i="8"/>
  <c r="BE193" i="8"/>
  <c r="BC193" i="8" s="1"/>
  <c r="BD193" i="8"/>
  <c r="BD171" i="8"/>
  <c r="BE171" i="8"/>
  <c r="BC171" i="8" s="1"/>
  <c r="BB235" i="8"/>
  <c r="BA235" i="8"/>
  <c r="BA311" i="8"/>
  <c r="BB311" i="8"/>
  <c r="BB195" i="8"/>
  <c r="BA195" i="8"/>
  <c r="BA313" i="8"/>
  <c r="BB313" i="8"/>
  <c r="BA253" i="8"/>
  <c r="BB253" i="8"/>
  <c r="BB191" i="8"/>
  <c r="BA191" i="8"/>
  <c r="BA211" i="8"/>
  <c r="BB211" i="8"/>
  <c r="BA293" i="8"/>
  <c r="BB293" i="8"/>
  <c r="BB271" i="8"/>
  <c r="BA271" i="8"/>
  <c r="BA193" i="8"/>
  <c r="BB193" i="8"/>
  <c r="BB171" i="8"/>
  <c r="BA171" i="8"/>
  <c r="BA151" i="8"/>
  <c r="BB151" i="8"/>
  <c r="BA255" i="8"/>
  <c r="BB255" i="8"/>
  <c r="AZ171" i="8"/>
  <c r="AZ151" i="8"/>
  <c r="AZ255" i="8"/>
  <c r="AZ211" i="8"/>
  <c r="AZ253" i="8"/>
  <c r="AZ195" i="8"/>
  <c r="AZ313" i="8"/>
  <c r="AZ235" i="8"/>
  <c r="AZ311" i="8"/>
  <c r="AZ191" i="8"/>
  <c r="AZ293" i="8"/>
  <c r="AZ271" i="8"/>
  <c r="AZ193" i="8"/>
  <c r="AS292" i="8"/>
  <c r="AT292" i="8" s="1" a="1"/>
  <c r="AT292" i="8" s="1"/>
  <c r="AS310" i="8"/>
  <c r="AT310" i="8" s="1" a="1"/>
  <c r="AT310" i="8" s="1"/>
  <c r="AS270" i="8"/>
  <c r="AT270" i="8" s="1" a="1"/>
  <c r="AT270" i="8" s="1"/>
  <c r="AS190" i="8"/>
  <c r="AT190" i="8" s="1" a="1"/>
  <c r="AT190" i="8" s="1"/>
  <c r="AS290" i="8"/>
  <c r="AT290" i="8" s="1" a="1"/>
  <c r="AT290" i="8" s="1"/>
  <c r="AS250" i="8"/>
  <c r="AT250" i="8" s="1" a="1"/>
  <c r="AT250" i="8" s="1"/>
  <c r="AS232" i="8"/>
  <c r="AT232" i="8" s="1" a="1"/>
  <c r="AT232" i="8" s="1"/>
  <c r="AS234" i="8"/>
  <c r="AT234" i="8" s="1" a="1"/>
  <c r="AT234" i="8" s="1"/>
  <c r="AS150" i="8"/>
  <c r="AT150" i="8" s="1" a="1"/>
  <c r="AT150" i="8" s="1"/>
  <c r="AS230" i="8"/>
  <c r="AT230" i="8" s="1" a="1"/>
  <c r="AT230" i="8" s="1"/>
  <c r="AS252" i="8"/>
  <c r="AT252" i="8" s="1" a="1"/>
  <c r="AT252" i="8" s="1"/>
  <c r="AS210" i="8"/>
  <c r="AT210" i="8" s="1" a="1"/>
  <c r="AT210" i="8" s="1"/>
  <c r="AR312" i="8"/>
  <c r="AV194" i="8"/>
  <c r="AS9" i="8"/>
  <c r="AR254" i="8"/>
  <c r="BP13" i="8"/>
  <c r="BP12" i="8" s="1"/>
  <c r="AR253" i="8"/>
  <c r="AV254" i="8"/>
  <c r="AR191" i="8"/>
  <c r="AV191" i="8"/>
  <c r="AR192" i="8"/>
  <c r="AV192" i="8"/>
  <c r="AV253" i="8"/>
  <c r="AP315" i="8"/>
  <c r="AY315" i="8" s="1"/>
  <c r="AW315" i="8"/>
  <c r="AR193" i="8"/>
  <c r="AR194" i="8"/>
  <c r="AV193" i="8"/>
  <c r="AV311" i="8"/>
  <c r="AR313" i="8"/>
  <c r="AV312" i="8"/>
  <c r="AR314" i="8"/>
  <c r="AR311" i="8"/>
  <c r="AV314" i="8"/>
  <c r="AW257" i="8"/>
  <c r="AV313" i="8"/>
  <c r="AR212" i="8"/>
  <c r="AR211" i="8"/>
  <c r="AV211" i="8"/>
  <c r="AV212" i="8"/>
  <c r="AP213" i="8"/>
  <c r="AY213" i="8" s="1"/>
  <c r="AW213" i="8"/>
  <c r="AR294" i="8"/>
  <c r="AR293" i="8"/>
  <c r="AV294" i="8"/>
  <c r="AV293" i="8"/>
  <c r="AW317" i="8"/>
  <c r="AP317" i="8"/>
  <c r="AY317" i="8" s="1"/>
  <c r="AR236" i="8"/>
  <c r="AV236" i="8"/>
  <c r="AR235" i="8"/>
  <c r="AV235" i="8"/>
  <c r="AP295" i="8"/>
  <c r="AY295" i="8" s="1"/>
  <c r="AW295" i="8"/>
  <c r="AP237" i="8"/>
  <c r="AY237" i="8" s="1"/>
  <c r="AW237" i="8"/>
  <c r="AR171" i="8"/>
  <c r="AV172" i="8"/>
  <c r="AR172" i="8"/>
  <c r="AV171" i="8"/>
  <c r="AP173" i="8"/>
  <c r="AY173" i="8" s="1"/>
  <c r="AW173" i="8"/>
  <c r="AP273" i="8"/>
  <c r="AY273" i="8" s="1"/>
  <c r="AW273" i="8"/>
  <c r="AR196" i="8"/>
  <c r="AV196" i="8"/>
  <c r="AR195" i="8"/>
  <c r="AV195" i="8"/>
  <c r="AR272" i="8"/>
  <c r="AV272" i="8"/>
  <c r="AR271" i="8"/>
  <c r="AV271" i="8"/>
  <c r="AP197" i="8"/>
  <c r="AY197" i="8" s="1"/>
  <c r="AW197" i="8"/>
  <c r="AR256" i="8"/>
  <c r="AR255" i="8"/>
  <c r="AV255" i="8"/>
  <c r="AV256" i="8"/>
  <c r="AP153" i="8"/>
  <c r="AY153" i="8" s="1"/>
  <c r="AW153" i="8"/>
  <c r="AV151" i="8"/>
  <c r="AR152" i="8"/>
  <c r="AV152" i="8"/>
  <c r="AR151" i="8"/>
  <c r="N142" i="9"/>
  <c r="P142" i="9" s="1"/>
  <c r="O141" i="9"/>
  <c r="Q141" i="9" s="1"/>
  <c r="Q183" i="9"/>
  <c r="P182" i="9"/>
  <c r="Q202" i="9"/>
  <c r="P202" i="9"/>
  <c r="Q162" i="9"/>
  <c r="P162" i="9"/>
  <c r="Q193" i="9"/>
  <c r="P193" i="9"/>
  <c r="Q153" i="9"/>
  <c r="P153" i="9"/>
  <c r="Q172" i="9"/>
  <c r="P172" i="9"/>
  <c r="U171" i="5"/>
  <c r="R130" i="5"/>
  <c r="U201" i="5"/>
  <c r="N202" i="5"/>
  <c r="R201" i="5"/>
  <c r="O201" i="5"/>
  <c r="Q201" i="5" s="1" a="1"/>
  <c r="Q201" i="5" s="1"/>
  <c r="R171" i="5"/>
  <c r="O171" i="5"/>
  <c r="Q171" i="5" s="1" a="1"/>
  <c r="Q171" i="5" s="1"/>
  <c r="O151" i="5"/>
  <c r="Q151" i="5" s="1" a="1"/>
  <c r="Q151" i="5" s="1"/>
  <c r="R151" i="5"/>
  <c r="R141" i="5"/>
  <c r="U142" i="5"/>
  <c r="O141" i="5"/>
  <c r="Q141" i="5" s="1" a="1"/>
  <c r="Q141" i="5" s="1"/>
  <c r="R191" i="5"/>
  <c r="O191" i="5"/>
  <c r="Q191" i="5" s="1" a="1"/>
  <c r="Q191" i="5" s="1"/>
  <c r="O181" i="5"/>
  <c r="Q181" i="5" s="1" a="1"/>
  <c r="Q181" i="5" s="1"/>
  <c r="R181" i="5"/>
  <c r="O131" i="5"/>
  <c r="Q131" i="5" s="1" a="1"/>
  <c r="Q131" i="5" s="1"/>
  <c r="AU34" i="10"/>
  <c r="AU10" i="10"/>
  <c r="AU29" i="10"/>
  <c r="AU11" i="10"/>
  <c r="AU30" i="10"/>
  <c r="AU31" i="10"/>
  <c r="AU32" i="10"/>
  <c r="AU27" i="10"/>
  <c r="AU33" i="10"/>
  <c r="AU16" i="10"/>
  <c r="AU17" i="10"/>
  <c r="AU36" i="10"/>
  <c r="AU18" i="10"/>
  <c r="AU37" i="10"/>
  <c r="AU19" i="10"/>
  <c r="AU38" i="10"/>
  <c r="AU20" i="10"/>
  <c r="AU39" i="10"/>
  <c r="AU22" i="10"/>
  <c r="AU40" i="10"/>
  <c r="AU23" i="10"/>
  <c r="AU41" i="10"/>
  <c r="AU24" i="10"/>
  <c r="AU9" i="10"/>
  <c r="AU25" i="10"/>
  <c r="AU26" i="10"/>
  <c r="AU43" i="10"/>
  <c r="J27" i="1"/>
  <c r="J29" i="1"/>
  <c r="M27" i="1"/>
  <c r="K27" i="1"/>
  <c r="L27" i="1"/>
  <c r="J30" i="1"/>
  <c r="O162" i="5" l="1"/>
  <c r="Q162" i="5" s="1" a="1"/>
  <c r="Q162" i="5" s="1"/>
  <c r="U172" i="5"/>
  <c r="R202" i="5"/>
  <c r="P202" i="5"/>
  <c r="N173" i="5"/>
  <c r="R173" i="5" s="1"/>
  <c r="P172" i="5"/>
  <c r="R172" i="5"/>
  <c r="N193" i="5"/>
  <c r="U193" i="5" s="1"/>
  <c r="P192" i="5"/>
  <c r="N153" i="5"/>
  <c r="U153" i="5" s="1"/>
  <c r="P152" i="5"/>
  <c r="N143" i="5"/>
  <c r="P142" i="5"/>
  <c r="U152" i="5"/>
  <c r="N163" i="5"/>
  <c r="O163" i="5" s="1"/>
  <c r="Q163" i="5" s="1" a="1"/>
  <c r="Q163" i="5" s="1"/>
  <c r="P162" i="5"/>
  <c r="U162" i="5"/>
  <c r="N133" i="5"/>
  <c r="P132" i="5"/>
  <c r="N183" i="5"/>
  <c r="U183" i="5" s="1"/>
  <c r="P182" i="5"/>
  <c r="K89" i="10"/>
  <c r="G129" i="10"/>
  <c r="H129" i="10" s="1"/>
  <c r="K109" i="10"/>
  <c r="J89" i="10"/>
  <c r="N89" i="10"/>
  <c r="O89" i="10" s="1"/>
  <c r="M89" i="10"/>
  <c r="I89" i="10"/>
  <c r="AU9" i="8"/>
  <c r="AU310" i="8"/>
  <c r="AU292" i="8"/>
  <c r="AU232" i="8"/>
  <c r="AU171" i="8"/>
  <c r="AU293" i="8"/>
  <c r="AU235" i="8"/>
  <c r="AU311" i="8"/>
  <c r="AU210" i="8"/>
  <c r="AU191" i="8"/>
  <c r="AU255" i="8"/>
  <c r="AU234" i="8"/>
  <c r="AU190" i="8"/>
  <c r="AU270" i="8"/>
  <c r="AU211" i="8"/>
  <c r="AU252" i="8"/>
  <c r="AU151" i="8"/>
  <c r="AU230" i="8"/>
  <c r="AU253" i="8"/>
  <c r="AU193" i="8"/>
  <c r="AU271" i="8"/>
  <c r="AU150" i="8"/>
  <c r="AU313" i="8"/>
  <c r="AU250" i="8"/>
  <c r="AU195" i="8"/>
  <c r="AU290" i="8"/>
  <c r="U131" i="5"/>
  <c r="AV42" i="10"/>
  <c r="AW42" i="10" s="1"/>
  <c r="AY42" i="10" s="1"/>
  <c r="BH9" i="8"/>
  <c r="AM9" i="8"/>
  <c r="AX9" i="8"/>
  <c r="AI9" i="8"/>
  <c r="AO9" i="8"/>
  <c r="AO11" i="8" s="1"/>
  <c r="AO13" i="8" s="1"/>
  <c r="AO15" i="8" s="1"/>
  <c r="AJ9" i="8"/>
  <c r="G29" i="5"/>
  <c r="I29" i="5" s="1"/>
  <c r="K29" i="5"/>
  <c r="K29" i="9" s="1"/>
  <c r="AG49" i="8"/>
  <c r="AG69" i="8" s="1"/>
  <c r="AG89" i="8" s="1"/>
  <c r="AL29" i="8"/>
  <c r="AH29" i="8"/>
  <c r="AI29" i="8" s="1"/>
  <c r="N12" i="5"/>
  <c r="L9" i="5"/>
  <c r="F39" i="5"/>
  <c r="J29" i="5"/>
  <c r="AN19" i="5"/>
  <c r="Z20" i="5"/>
  <c r="G19" i="9"/>
  <c r="AT19" i="5"/>
  <c r="AQ19" i="5"/>
  <c r="AW19" i="5"/>
  <c r="H19" i="5"/>
  <c r="X24" i="5" s="1"/>
  <c r="L19" i="5"/>
  <c r="I9" i="9"/>
  <c r="H9" i="9"/>
  <c r="L9" i="9"/>
  <c r="J19" i="9" s="1"/>
  <c r="N9" i="9"/>
  <c r="N10" i="9" s="1"/>
  <c r="N11" i="9" s="1"/>
  <c r="N12" i="9" s="1"/>
  <c r="AQ315" i="8"/>
  <c r="AS315" i="8" s="1"/>
  <c r="AT315" i="8" s="1" a="1"/>
  <c r="AT315" i="8" s="1"/>
  <c r="AQ316" i="8"/>
  <c r="AQ213" i="8"/>
  <c r="AS213" i="8" s="1"/>
  <c r="AT213" i="8" s="1" a="1"/>
  <c r="AT213" i="8" s="1"/>
  <c r="AQ214" i="8"/>
  <c r="AQ154" i="8"/>
  <c r="AQ153" i="8"/>
  <c r="AS153" i="8" s="1"/>
  <c r="AT153" i="8" s="1" a="1"/>
  <c r="AT153" i="8" s="1"/>
  <c r="AQ237" i="8"/>
  <c r="AS237" i="8" s="1"/>
  <c r="AT237" i="8" s="1" a="1"/>
  <c r="AT237" i="8" s="1"/>
  <c r="AQ238" i="8"/>
  <c r="AQ295" i="8"/>
  <c r="AS295" i="8" s="1"/>
  <c r="AT295" i="8" s="1" a="1"/>
  <c r="AT295" i="8" s="1"/>
  <c r="AQ296" i="8"/>
  <c r="AQ273" i="8"/>
  <c r="AS273" i="8" s="1"/>
  <c r="AT273" i="8" s="1" a="1"/>
  <c r="AT273" i="8" s="1"/>
  <c r="AQ274" i="8"/>
  <c r="AQ317" i="8"/>
  <c r="AS317" i="8" s="1"/>
  <c r="AT317" i="8" s="1" a="1"/>
  <c r="AT317" i="8" s="1"/>
  <c r="AQ318" i="8"/>
  <c r="AQ173" i="8"/>
  <c r="AS173" i="8" s="1"/>
  <c r="AT173" i="8" s="1" a="1"/>
  <c r="AT173" i="8" s="1"/>
  <c r="AQ174" i="8"/>
  <c r="AQ197" i="8"/>
  <c r="AS197" i="8" s="1"/>
  <c r="AT197" i="8" s="1" a="1"/>
  <c r="AT197" i="8" s="1"/>
  <c r="AQ198" i="8"/>
  <c r="BD153" i="8"/>
  <c r="BE153" i="8"/>
  <c r="BC153" i="8" s="1"/>
  <c r="BE237" i="8"/>
  <c r="BC237" i="8" s="1"/>
  <c r="BD237" i="8"/>
  <c r="BE295" i="8"/>
  <c r="BC295" i="8" s="1"/>
  <c r="BD295" i="8"/>
  <c r="BD213" i="8"/>
  <c r="BE213" i="8"/>
  <c r="BC213" i="8" s="1"/>
  <c r="BD273" i="8"/>
  <c r="BE273" i="8"/>
  <c r="BC273" i="8" s="1"/>
  <c r="BD197" i="8"/>
  <c r="BE197" i="8"/>
  <c r="BC197" i="8" s="1"/>
  <c r="BD173" i="8"/>
  <c r="BE173" i="8"/>
  <c r="BC173" i="8" s="1"/>
  <c r="BE317" i="8"/>
  <c r="BC317" i="8" s="1"/>
  <c r="BD317" i="8"/>
  <c r="BD315" i="8"/>
  <c r="BE315" i="8"/>
  <c r="BC315" i="8" s="1"/>
  <c r="BA213" i="8"/>
  <c r="BB213" i="8"/>
  <c r="BA153" i="8"/>
  <c r="BB153" i="8"/>
  <c r="BB237" i="8"/>
  <c r="BA237" i="8"/>
  <c r="BB273" i="8"/>
  <c r="BA273" i="8"/>
  <c r="BB197" i="8"/>
  <c r="BA197" i="8"/>
  <c r="BB173" i="8"/>
  <c r="BA173" i="8"/>
  <c r="BA295" i="8"/>
  <c r="BB295" i="8"/>
  <c r="BA317" i="8"/>
  <c r="BB317" i="8"/>
  <c r="BA315" i="8"/>
  <c r="BB315" i="8"/>
  <c r="AZ213" i="8"/>
  <c r="AZ197" i="8"/>
  <c r="AZ173" i="8"/>
  <c r="AZ317" i="8"/>
  <c r="AZ315" i="8"/>
  <c r="AZ153" i="8"/>
  <c r="AZ237" i="8"/>
  <c r="AZ295" i="8"/>
  <c r="AZ273" i="8"/>
  <c r="AS314" i="8"/>
  <c r="AT314" i="8" s="1" a="1"/>
  <c r="AT314" i="8" s="1"/>
  <c r="AS256" i="8"/>
  <c r="AT256" i="8" s="1" a="1"/>
  <c r="AT256" i="8" s="1"/>
  <c r="AS272" i="8"/>
  <c r="AT272" i="8" s="1" a="1"/>
  <c r="AT272" i="8" s="1"/>
  <c r="AS212" i="8"/>
  <c r="AT212" i="8" s="1" a="1"/>
  <c r="AT212" i="8" s="1"/>
  <c r="AS236" i="8"/>
  <c r="AT236" i="8" s="1" a="1"/>
  <c r="AT236" i="8" s="1"/>
  <c r="AS194" i="8"/>
  <c r="AT194" i="8" s="1" a="1"/>
  <c r="AT194" i="8" s="1"/>
  <c r="AS152" i="8"/>
  <c r="AT152" i="8" s="1" a="1"/>
  <c r="AT152" i="8" s="1"/>
  <c r="AS254" i="8"/>
  <c r="AT254" i="8" s="1" a="1"/>
  <c r="AT254" i="8" s="1"/>
  <c r="AS172" i="8"/>
  <c r="AT172" i="8" s="1" a="1"/>
  <c r="AT172" i="8" s="1"/>
  <c r="AS196" i="8"/>
  <c r="AT196" i="8" s="1" a="1"/>
  <c r="AT196" i="8" s="1"/>
  <c r="AS312" i="8"/>
  <c r="AT312" i="8" s="1" a="1"/>
  <c r="AT312" i="8" s="1"/>
  <c r="AS294" i="8"/>
  <c r="AT294" i="8" s="1" a="1"/>
  <c r="AT294" i="8" s="1"/>
  <c r="AS192" i="8"/>
  <c r="AT192" i="8" s="1" a="1"/>
  <c r="AT192" i="8" s="1"/>
  <c r="AV316" i="8"/>
  <c r="AR316" i="8"/>
  <c r="AV315" i="8"/>
  <c r="AR315" i="8"/>
  <c r="AP257" i="8"/>
  <c r="AY257" i="8" s="1"/>
  <c r="AR213" i="8"/>
  <c r="AV213" i="8"/>
  <c r="AR214" i="8"/>
  <c r="AV214" i="8"/>
  <c r="AW215" i="8"/>
  <c r="AP215" i="8"/>
  <c r="AY215" i="8" s="1"/>
  <c r="AR154" i="8"/>
  <c r="AV154" i="8"/>
  <c r="AR153" i="8"/>
  <c r="AV153" i="8"/>
  <c r="AP199" i="8"/>
  <c r="AY199" i="8" s="1"/>
  <c r="AW199" i="8"/>
  <c r="AP275" i="8"/>
  <c r="AY275" i="8" s="1"/>
  <c r="AW275" i="8"/>
  <c r="AV273" i="8"/>
  <c r="AR273" i="8"/>
  <c r="AR274" i="8"/>
  <c r="AV274" i="8"/>
  <c r="AV318" i="8"/>
  <c r="AR317" i="8"/>
  <c r="AV317" i="8"/>
  <c r="AR318" i="8"/>
  <c r="AP319" i="8"/>
  <c r="AY319" i="8" s="1"/>
  <c r="AW319" i="8"/>
  <c r="AP155" i="8"/>
  <c r="AY155" i="8" s="1"/>
  <c r="AW155" i="8"/>
  <c r="AV197" i="8"/>
  <c r="AV198" i="8"/>
  <c r="AR198" i="8"/>
  <c r="AR197" i="8"/>
  <c r="AV174" i="8"/>
  <c r="AR173" i="8"/>
  <c r="AV173" i="8"/>
  <c r="AR174" i="8"/>
  <c r="AP239" i="8"/>
  <c r="AY239" i="8" s="1"/>
  <c r="AW239" i="8"/>
  <c r="AV237" i="8"/>
  <c r="AR238" i="8"/>
  <c r="AV238" i="8"/>
  <c r="AR237" i="8"/>
  <c r="AV295" i="8"/>
  <c r="AR296" i="8"/>
  <c r="AV296" i="8"/>
  <c r="AR295" i="8"/>
  <c r="AW175" i="8"/>
  <c r="AP175" i="8"/>
  <c r="AY175" i="8" s="1"/>
  <c r="AP297" i="8"/>
  <c r="AY297" i="8" s="1"/>
  <c r="AW297" i="8"/>
  <c r="N143" i="9"/>
  <c r="P143" i="9" s="1"/>
  <c r="O142" i="9"/>
  <c r="Q142" i="9" s="1"/>
  <c r="Q184" i="9"/>
  <c r="P183" i="9"/>
  <c r="Q194" i="9"/>
  <c r="P194" i="9"/>
  <c r="Q203" i="9"/>
  <c r="P203" i="9"/>
  <c r="Q154" i="9"/>
  <c r="P154" i="9"/>
  <c r="Q163" i="9"/>
  <c r="P163" i="9"/>
  <c r="Q173" i="9"/>
  <c r="P173" i="9"/>
  <c r="R131" i="5"/>
  <c r="U202" i="5"/>
  <c r="N203" i="5"/>
  <c r="P203" i="5" s="1"/>
  <c r="O202" i="5"/>
  <c r="Q202" i="5" s="1" a="1"/>
  <c r="Q202" i="5" s="1"/>
  <c r="O152" i="5"/>
  <c r="Q152" i="5" s="1" a="1"/>
  <c r="Q152" i="5" s="1"/>
  <c r="R152" i="5"/>
  <c r="O192" i="5"/>
  <c r="Q192" i="5" s="1" a="1"/>
  <c r="Q192" i="5" s="1"/>
  <c r="R192" i="5"/>
  <c r="O182" i="5"/>
  <c r="Q182" i="5" s="1" a="1"/>
  <c r="Q182" i="5" s="1"/>
  <c r="R182" i="5"/>
  <c r="O142" i="5"/>
  <c r="Q142" i="5" s="1" a="1"/>
  <c r="Q142" i="5" s="1"/>
  <c r="R142" i="5"/>
  <c r="U143" i="5"/>
  <c r="O132" i="5"/>
  <c r="Q132" i="5" s="1" a="1"/>
  <c r="Q132" i="5" s="1"/>
  <c r="L28" i="1"/>
  <c r="L30" i="1"/>
  <c r="J28" i="1"/>
  <c r="I33" i="1" s="1"/>
  <c r="O173" i="5" l="1"/>
  <c r="Q173" i="5" s="1" a="1"/>
  <c r="Q173" i="5" s="1"/>
  <c r="R163" i="5"/>
  <c r="N134" i="5"/>
  <c r="U134" i="5" s="1"/>
  <c r="P133" i="5"/>
  <c r="N164" i="5"/>
  <c r="O164" i="5" s="1"/>
  <c r="Q164" i="5" s="1" a="1"/>
  <c r="Q164" i="5" s="1"/>
  <c r="P163" i="5"/>
  <c r="U163" i="5"/>
  <c r="N144" i="5"/>
  <c r="P143" i="5"/>
  <c r="N154" i="5"/>
  <c r="P153" i="5"/>
  <c r="N194" i="5"/>
  <c r="P193" i="5"/>
  <c r="N184" i="5"/>
  <c r="P183" i="5"/>
  <c r="N174" i="5"/>
  <c r="P173" i="5"/>
  <c r="U173" i="5"/>
  <c r="M109" i="10"/>
  <c r="J109" i="10"/>
  <c r="N109" i="10"/>
  <c r="O109" i="10" s="1"/>
  <c r="I109" i="10"/>
  <c r="G149" i="10"/>
  <c r="H149" i="10" s="1"/>
  <c r="K129" i="10"/>
  <c r="AX9" i="5"/>
  <c r="AU315" i="8"/>
  <c r="AU317" i="8"/>
  <c r="AU273" i="8"/>
  <c r="AU197" i="8"/>
  <c r="AU312" i="8"/>
  <c r="AU196" i="8"/>
  <c r="AU295" i="8"/>
  <c r="AU172" i="8"/>
  <c r="AU192" i="8"/>
  <c r="AU237" i="8"/>
  <c r="AU256" i="8"/>
  <c r="AU254" i="8"/>
  <c r="AU152" i="8"/>
  <c r="AU153" i="8"/>
  <c r="AU314" i="8"/>
  <c r="AU173" i="8"/>
  <c r="AU194" i="8"/>
  <c r="AU236" i="8"/>
  <c r="AU294" i="8"/>
  <c r="AU212" i="8"/>
  <c r="AU213" i="8"/>
  <c r="AU272" i="8"/>
  <c r="U132" i="5"/>
  <c r="AH49" i="8"/>
  <c r="BH49" i="8" s="1"/>
  <c r="G39" i="5"/>
  <c r="I39" i="5" s="1"/>
  <c r="K39" i="5"/>
  <c r="K39" i="9" s="1"/>
  <c r="AL49" i="8"/>
  <c r="AL69" i="8"/>
  <c r="AH69" i="8"/>
  <c r="BH69" i="8" s="1"/>
  <c r="AX29" i="8"/>
  <c r="AJ29" i="8"/>
  <c r="BH29" i="8"/>
  <c r="N13" i="5"/>
  <c r="AX19" i="5"/>
  <c r="AO19" i="5"/>
  <c r="L29" i="5"/>
  <c r="AO9" i="5"/>
  <c r="L19" i="9"/>
  <c r="J29" i="9" s="1"/>
  <c r="AR9" i="5"/>
  <c r="AU9" i="5"/>
  <c r="AR19" i="5"/>
  <c r="AU19" i="5"/>
  <c r="I19" i="9"/>
  <c r="H19" i="9"/>
  <c r="Z21" i="5"/>
  <c r="Z23" i="5"/>
  <c r="AN29" i="5"/>
  <c r="Z30" i="5"/>
  <c r="G29" i="9"/>
  <c r="AT29" i="5"/>
  <c r="AW29" i="5"/>
  <c r="AQ29" i="5"/>
  <c r="H29" i="5"/>
  <c r="X34" i="5" s="1"/>
  <c r="J39" i="5"/>
  <c r="F49" i="5"/>
  <c r="AQ175" i="8"/>
  <c r="AS175" i="8" s="1"/>
  <c r="AT175" i="8" s="1" a="1"/>
  <c r="AT175" i="8" s="1"/>
  <c r="AQ176" i="8"/>
  <c r="AQ215" i="8"/>
  <c r="AS215" i="8" s="1"/>
  <c r="AT215" i="8" s="1" a="1"/>
  <c r="AT215" i="8" s="1"/>
  <c r="AQ216" i="8"/>
  <c r="AQ298" i="8"/>
  <c r="AQ297" i="8"/>
  <c r="AS297" i="8" s="1"/>
  <c r="AT297" i="8" s="1" a="1"/>
  <c r="AT297" i="8" s="1"/>
  <c r="AQ239" i="8"/>
  <c r="AS239" i="8" s="1"/>
  <c r="AT239" i="8" s="1" a="1"/>
  <c r="AT239" i="8" s="1"/>
  <c r="AQ240" i="8"/>
  <c r="AQ257" i="8"/>
  <c r="AS257" i="8" s="1"/>
  <c r="AT257" i="8" s="1" a="1"/>
  <c r="AT257" i="8" s="1"/>
  <c r="AQ258" i="8"/>
  <c r="AQ155" i="8"/>
  <c r="AS155" i="8" s="1"/>
  <c r="AT155" i="8" s="1" a="1"/>
  <c r="AT155" i="8" s="1"/>
  <c r="AQ156" i="8"/>
  <c r="AQ275" i="8"/>
  <c r="AS275" i="8" s="1"/>
  <c r="AT275" i="8" s="1" a="1"/>
  <c r="AT275" i="8" s="1"/>
  <c r="AQ276" i="8"/>
  <c r="AQ199" i="8"/>
  <c r="AS199" i="8" s="1"/>
  <c r="AT199" i="8" s="1" a="1"/>
  <c r="AT199" i="8" s="1"/>
  <c r="AQ200" i="8"/>
  <c r="AQ319" i="8"/>
  <c r="AS319" i="8" s="1"/>
  <c r="AT319" i="8" s="1" a="1"/>
  <c r="AT319" i="8" s="1"/>
  <c r="AQ320" i="8"/>
  <c r="BD275" i="8"/>
  <c r="BE275" i="8"/>
  <c r="BC275" i="8" s="1"/>
  <c r="BD257" i="8"/>
  <c r="BE257" i="8"/>
  <c r="BC257" i="8" s="1"/>
  <c r="BE155" i="8"/>
  <c r="BC155" i="8" s="1"/>
  <c r="BD155" i="8"/>
  <c r="BE319" i="8"/>
  <c r="BC319" i="8" s="1"/>
  <c r="BD319" i="8"/>
  <c r="BD199" i="8"/>
  <c r="BE199" i="8"/>
  <c r="BC199" i="8" s="1"/>
  <c r="BE239" i="8"/>
  <c r="BC239" i="8" s="1"/>
  <c r="BD239" i="8"/>
  <c r="BD175" i="8"/>
  <c r="BE175" i="8"/>
  <c r="BC175" i="8" s="1"/>
  <c r="BE297" i="8"/>
  <c r="BC297" i="8" s="1"/>
  <c r="BD297" i="8"/>
  <c r="BD215" i="8"/>
  <c r="BE215" i="8"/>
  <c r="BC215" i="8" s="1"/>
  <c r="BA215" i="8"/>
  <c r="BB215" i="8"/>
  <c r="BA257" i="8"/>
  <c r="BB257" i="8"/>
  <c r="BA155" i="8"/>
  <c r="BB155" i="8"/>
  <c r="BB275" i="8"/>
  <c r="BA275" i="8"/>
  <c r="BA297" i="8"/>
  <c r="BB297" i="8"/>
  <c r="BB239" i="8"/>
  <c r="BA239" i="8"/>
  <c r="BA319" i="8"/>
  <c r="BB319" i="8"/>
  <c r="BB199" i="8"/>
  <c r="BA199" i="8"/>
  <c r="BB175" i="8"/>
  <c r="BA175" i="8"/>
  <c r="AZ215" i="8"/>
  <c r="AZ155" i="8"/>
  <c r="AZ275" i="8"/>
  <c r="AZ257" i="8"/>
  <c r="AZ297" i="8"/>
  <c r="AZ239" i="8"/>
  <c r="AZ319" i="8"/>
  <c r="AZ199" i="8"/>
  <c r="AZ175" i="8"/>
  <c r="AS274" i="8"/>
  <c r="AT274" i="8" s="1" a="1"/>
  <c r="AT274" i="8" s="1"/>
  <c r="AS198" i="8"/>
  <c r="AT198" i="8" s="1" a="1"/>
  <c r="AT198" i="8" s="1"/>
  <c r="AS214" i="8"/>
  <c r="AT214" i="8" s="1" a="1"/>
  <c r="AT214" i="8" s="1"/>
  <c r="AS238" i="8"/>
  <c r="AT238" i="8" s="1" a="1"/>
  <c r="AT238" i="8" s="1"/>
  <c r="AS318" i="8"/>
  <c r="AT318" i="8" s="1" a="1"/>
  <c r="AT318" i="8" s="1"/>
  <c r="AS154" i="8"/>
  <c r="AT154" i="8" s="1" a="1"/>
  <c r="AT154" i="8" s="1"/>
  <c r="AS174" i="8"/>
  <c r="AT174" i="8" s="1" a="1"/>
  <c r="AT174" i="8" s="1"/>
  <c r="AS316" i="8"/>
  <c r="AT316" i="8" s="1" a="1"/>
  <c r="AT316" i="8" s="1"/>
  <c r="AS296" i="8"/>
  <c r="AT296" i="8" s="1" a="1"/>
  <c r="AT296" i="8" s="1"/>
  <c r="AR257" i="8"/>
  <c r="AR258" i="8"/>
  <c r="AV258" i="8"/>
  <c r="AV257" i="8"/>
  <c r="AG109" i="8"/>
  <c r="AH89" i="8"/>
  <c r="AL89" i="8"/>
  <c r="AW259" i="8"/>
  <c r="AP259" i="8"/>
  <c r="AY259" i="8" s="1"/>
  <c r="AR215" i="8"/>
  <c r="AR216" i="8"/>
  <c r="AV215" i="8"/>
  <c r="AV216" i="8"/>
  <c r="AP217" i="8"/>
  <c r="AY217" i="8" s="1"/>
  <c r="AW217" i="8"/>
  <c r="AP157" i="8"/>
  <c r="AY157" i="8" s="1"/>
  <c r="AW157" i="8"/>
  <c r="AR155" i="8"/>
  <c r="AV155" i="8"/>
  <c r="AR156" i="8"/>
  <c r="AV156" i="8"/>
  <c r="AW261" i="8"/>
  <c r="AP261" i="8"/>
  <c r="AY261" i="8" s="1"/>
  <c r="AW277" i="8"/>
  <c r="AP277" i="8"/>
  <c r="AY277" i="8" s="1"/>
  <c r="AP321" i="8"/>
  <c r="AY321" i="8" s="1"/>
  <c r="AW321" i="8"/>
  <c r="AR276" i="8"/>
  <c r="AR275" i="8"/>
  <c r="AV275" i="8"/>
  <c r="AV276" i="8"/>
  <c r="AV319" i="8"/>
  <c r="AR319" i="8"/>
  <c r="AR320" i="8"/>
  <c r="AV320" i="8"/>
  <c r="AR200" i="8"/>
  <c r="AV200" i="8"/>
  <c r="AR199" i="8"/>
  <c r="AV199" i="8"/>
  <c r="AP299" i="8"/>
  <c r="AY299" i="8" s="1"/>
  <c r="AW299" i="8"/>
  <c r="AP201" i="8"/>
  <c r="AY201" i="8" s="1"/>
  <c r="AW201" i="8"/>
  <c r="AP241" i="8"/>
  <c r="AY241" i="8" s="1"/>
  <c r="AW241" i="8"/>
  <c r="AV298" i="8"/>
  <c r="AR297" i="8"/>
  <c r="AV297" i="8"/>
  <c r="AR298" i="8"/>
  <c r="AV176" i="8"/>
  <c r="AR175" i="8"/>
  <c r="AV175" i="8"/>
  <c r="AR176" i="8"/>
  <c r="AW177" i="8"/>
  <c r="AP177" i="8"/>
  <c r="AY177" i="8" s="1"/>
  <c r="AV239" i="8"/>
  <c r="AR240" i="8"/>
  <c r="AR239" i="8"/>
  <c r="AV240" i="8"/>
  <c r="N144" i="9"/>
  <c r="P144" i="9" s="1"/>
  <c r="O143" i="9"/>
  <c r="Q143" i="9" s="1"/>
  <c r="Q185" i="9"/>
  <c r="P184" i="9"/>
  <c r="Q174" i="9"/>
  <c r="P174" i="9"/>
  <c r="Q204" i="9"/>
  <c r="P204" i="9"/>
  <c r="Q195" i="9"/>
  <c r="P195" i="9"/>
  <c r="Q164" i="9"/>
  <c r="P164" i="9"/>
  <c r="Q155" i="9"/>
  <c r="P155" i="9"/>
  <c r="R132" i="5"/>
  <c r="R203" i="5"/>
  <c r="O203" i="5"/>
  <c r="Q203" i="5" s="1" a="1"/>
  <c r="Q203" i="5" s="1"/>
  <c r="U203" i="5"/>
  <c r="N204" i="5"/>
  <c r="R153" i="5"/>
  <c r="O153" i="5"/>
  <c r="Q153" i="5" s="1" a="1"/>
  <c r="Q153" i="5" s="1"/>
  <c r="U154" i="5"/>
  <c r="R143" i="5"/>
  <c r="U144" i="5"/>
  <c r="O143" i="5"/>
  <c r="Q143" i="5" s="1" a="1"/>
  <c r="Q143" i="5" s="1"/>
  <c r="O183" i="5"/>
  <c r="Q183" i="5" s="1" a="1"/>
  <c r="Q183" i="5" s="1"/>
  <c r="U184" i="5"/>
  <c r="R183" i="5"/>
  <c r="R193" i="5"/>
  <c r="O193" i="5"/>
  <c r="Q193" i="5" s="1" a="1"/>
  <c r="Q193" i="5" s="1"/>
  <c r="O133" i="5"/>
  <c r="Q133" i="5" s="1" a="1"/>
  <c r="Q133" i="5" s="1"/>
  <c r="N13" i="9"/>
  <c r="AO17" i="8"/>
  <c r="R164" i="5" l="1"/>
  <c r="N175" i="5"/>
  <c r="R175" i="5" s="1"/>
  <c r="P174" i="5"/>
  <c r="U174" i="5"/>
  <c r="N185" i="5"/>
  <c r="U185" i="5" s="1"/>
  <c r="P184" i="5"/>
  <c r="N195" i="5"/>
  <c r="P194" i="5"/>
  <c r="N155" i="5"/>
  <c r="P154" i="5"/>
  <c r="U194" i="5"/>
  <c r="N145" i="5"/>
  <c r="P144" i="5"/>
  <c r="R204" i="5"/>
  <c r="P204" i="5"/>
  <c r="N165" i="5"/>
  <c r="R165" i="5" s="1"/>
  <c r="P164" i="5"/>
  <c r="U164" i="5"/>
  <c r="R174" i="5"/>
  <c r="O174" i="5"/>
  <c r="Q174" i="5" s="1" a="1"/>
  <c r="Q174" i="5" s="1"/>
  <c r="N135" i="5"/>
  <c r="P134" i="5"/>
  <c r="I129" i="10"/>
  <c r="M129" i="10"/>
  <c r="Q129" i="10"/>
  <c r="N129" i="10"/>
  <c r="O129" i="10" s="1"/>
  <c r="J129" i="10"/>
  <c r="G169" i="10"/>
  <c r="H169" i="10" s="1"/>
  <c r="K149" i="10"/>
  <c r="AU238" i="8"/>
  <c r="AU215" i="8"/>
  <c r="AU319" i="8"/>
  <c r="AU274" i="8"/>
  <c r="AU175" i="8"/>
  <c r="AU275" i="8"/>
  <c r="AU155" i="8"/>
  <c r="AU198" i="8"/>
  <c r="AU199" i="8"/>
  <c r="AU257" i="8"/>
  <c r="AU296" i="8"/>
  <c r="AU214" i="8"/>
  <c r="AU174" i="8"/>
  <c r="AU297" i="8"/>
  <c r="AU239" i="8"/>
  <c r="AU154" i="8"/>
  <c r="AU316" i="8"/>
  <c r="AU318" i="8"/>
  <c r="U133" i="5"/>
  <c r="Z40" i="5"/>
  <c r="AO29" i="5"/>
  <c r="AX49" i="8"/>
  <c r="AX29" i="5"/>
  <c r="AJ49" i="8"/>
  <c r="AI49" i="8"/>
  <c r="G49" i="5"/>
  <c r="I49" i="5" s="1"/>
  <c r="K49" i="5"/>
  <c r="K49" i="9" s="1"/>
  <c r="AX69" i="8"/>
  <c r="AI69" i="8"/>
  <c r="AJ69" i="8"/>
  <c r="Z22" i="5"/>
  <c r="N14" i="5"/>
  <c r="AU29" i="5"/>
  <c r="AR29" i="5"/>
  <c r="AN39" i="5"/>
  <c r="AT39" i="5"/>
  <c r="AQ39" i="5"/>
  <c r="H39" i="5"/>
  <c r="X44" i="5" s="1"/>
  <c r="AW39" i="5"/>
  <c r="G39" i="9"/>
  <c r="I29" i="9"/>
  <c r="H29" i="9"/>
  <c r="Z31" i="5"/>
  <c r="Z33" i="5"/>
  <c r="L39" i="5"/>
  <c r="J49" i="5"/>
  <c r="F59" i="5"/>
  <c r="L29" i="9"/>
  <c r="J39" i="9" s="1"/>
  <c r="AQ157" i="8"/>
  <c r="AS157" i="8" s="1"/>
  <c r="AT157" i="8" s="1" a="1"/>
  <c r="AT157" i="8" s="1"/>
  <c r="AQ158" i="8"/>
  <c r="AQ241" i="8"/>
  <c r="AS241" i="8" s="1"/>
  <c r="AT241" i="8" s="1" a="1"/>
  <c r="AT241" i="8" s="1"/>
  <c r="AQ242" i="8"/>
  <c r="AQ202" i="8"/>
  <c r="AQ201" i="8"/>
  <c r="AS201" i="8" s="1"/>
  <c r="AT201" i="8" s="1" a="1"/>
  <c r="AT201" i="8" s="1"/>
  <c r="AQ218" i="8"/>
  <c r="AQ217" i="8"/>
  <c r="AS217" i="8" s="1"/>
  <c r="AT217" i="8" s="1" a="1"/>
  <c r="AT217" i="8" s="1"/>
  <c r="AQ259" i="8"/>
  <c r="AS259" i="8" s="1"/>
  <c r="AT259" i="8" s="1" a="1"/>
  <c r="AT259" i="8" s="1"/>
  <c r="AQ260" i="8"/>
  <c r="AQ177" i="8"/>
  <c r="AS177" i="8" s="1"/>
  <c r="AT177" i="8" s="1" a="1"/>
  <c r="AT177" i="8" s="1"/>
  <c r="AQ178" i="8"/>
  <c r="AQ299" i="8"/>
  <c r="AS299" i="8" s="1"/>
  <c r="AT299" i="8" s="1" a="1"/>
  <c r="AT299" i="8" s="1"/>
  <c r="AQ300" i="8"/>
  <c r="AQ277" i="8"/>
  <c r="AS277" i="8" s="1"/>
  <c r="AT277" i="8" s="1" a="1"/>
  <c r="AT277" i="8" s="1"/>
  <c r="AQ278" i="8"/>
  <c r="AQ261" i="8"/>
  <c r="AS261" i="8" s="1"/>
  <c r="AT261" i="8" s="1" a="1"/>
  <c r="AT261" i="8" s="1"/>
  <c r="AQ262" i="8"/>
  <c r="AQ321" i="8"/>
  <c r="AS321" i="8" s="1"/>
  <c r="AT321" i="8" s="1" a="1"/>
  <c r="AT321" i="8" s="1"/>
  <c r="AQ322" i="8"/>
  <c r="BD277" i="8"/>
  <c r="BE277" i="8"/>
  <c r="BC277" i="8" s="1"/>
  <c r="BD261" i="8"/>
  <c r="BE261" i="8"/>
  <c r="BC261" i="8" s="1"/>
  <c r="BD259" i="8"/>
  <c r="BE259" i="8"/>
  <c r="BC259" i="8" s="1"/>
  <c r="BE241" i="8"/>
  <c r="BC241" i="8" s="1"/>
  <c r="BD241" i="8"/>
  <c r="BE321" i="8"/>
  <c r="BC321" i="8" s="1"/>
  <c r="BD321" i="8"/>
  <c r="BD177" i="8"/>
  <c r="BE177" i="8"/>
  <c r="BC177" i="8" s="1"/>
  <c r="BD201" i="8"/>
  <c r="BE201" i="8"/>
  <c r="BC201" i="8" s="1"/>
  <c r="BD217" i="8"/>
  <c r="BE217" i="8"/>
  <c r="BC217" i="8" s="1"/>
  <c r="BD299" i="8"/>
  <c r="BE299" i="8"/>
  <c r="BC299" i="8" s="1"/>
  <c r="BE157" i="8"/>
  <c r="BC157" i="8" s="1"/>
  <c r="BD157" i="8"/>
  <c r="BA299" i="8"/>
  <c r="BB299" i="8"/>
  <c r="BA157" i="8"/>
  <c r="BB157" i="8"/>
  <c r="BA217" i="8"/>
  <c r="BB217" i="8"/>
  <c r="BA321" i="8"/>
  <c r="BB321" i="8"/>
  <c r="BB277" i="8"/>
  <c r="BA277" i="8"/>
  <c r="BB261" i="8"/>
  <c r="BA261" i="8"/>
  <c r="BB259" i="8"/>
  <c r="BA259" i="8"/>
  <c r="BA241" i="8"/>
  <c r="BB241" i="8"/>
  <c r="BB177" i="8"/>
  <c r="BA177" i="8"/>
  <c r="BB201" i="8"/>
  <c r="BA201" i="8"/>
  <c r="AZ321" i="8"/>
  <c r="AZ259" i="8"/>
  <c r="AZ201" i="8"/>
  <c r="AZ299" i="8"/>
  <c r="AZ157" i="8"/>
  <c r="AZ277" i="8"/>
  <c r="AZ217" i="8"/>
  <c r="AZ261" i="8"/>
  <c r="AZ241" i="8"/>
  <c r="AZ177" i="8"/>
  <c r="AS156" i="8"/>
  <c r="AT156" i="8" s="1" a="1"/>
  <c r="AT156" i="8" s="1"/>
  <c r="AS240" i="8"/>
  <c r="AT240" i="8" s="1" a="1"/>
  <c r="AT240" i="8" s="1"/>
  <c r="AS216" i="8"/>
  <c r="AT216" i="8" s="1" a="1"/>
  <c r="AT216" i="8" s="1"/>
  <c r="AS320" i="8"/>
  <c r="AT320" i="8" s="1" a="1"/>
  <c r="AT320" i="8" s="1"/>
  <c r="AS200" i="8"/>
  <c r="AT200" i="8" s="1" a="1"/>
  <c r="AT200" i="8" s="1"/>
  <c r="AS276" i="8"/>
  <c r="AT276" i="8" s="1" a="1"/>
  <c r="AT276" i="8" s="1"/>
  <c r="AS298" i="8"/>
  <c r="AT298" i="8" s="1" a="1"/>
  <c r="AT298" i="8" s="1"/>
  <c r="AS176" i="8"/>
  <c r="AT176" i="8" s="1" a="1"/>
  <c r="AT176" i="8" s="1"/>
  <c r="AS258" i="8"/>
  <c r="AT258" i="8" s="1" a="1"/>
  <c r="AT258" i="8" s="1"/>
  <c r="AI89" i="8"/>
  <c r="AJ89" i="8"/>
  <c r="AX89" i="8"/>
  <c r="BH89" i="8"/>
  <c r="AG129" i="8"/>
  <c r="AH109" i="8"/>
  <c r="AL109" i="8"/>
  <c r="AV260" i="8"/>
  <c r="AR260" i="8"/>
  <c r="AV259" i="8"/>
  <c r="AR259" i="8"/>
  <c r="AR217" i="8"/>
  <c r="AV217" i="8"/>
  <c r="AR218" i="8"/>
  <c r="AV218" i="8"/>
  <c r="AW219" i="8"/>
  <c r="AP219" i="8"/>
  <c r="AY219" i="8" s="1"/>
  <c r="AP323" i="8"/>
  <c r="AY323" i="8" s="1"/>
  <c r="AW323" i="8"/>
  <c r="AR321" i="8"/>
  <c r="AV321" i="8"/>
  <c r="AR322" i="8"/>
  <c r="AV322" i="8"/>
  <c r="AR242" i="8"/>
  <c r="AV242" i="8"/>
  <c r="AR241" i="8"/>
  <c r="AV241" i="8"/>
  <c r="AP243" i="8"/>
  <c r="AY243" i="8" s="1"/>
  <c r="AW243" i="8"/>
  <c r="AP203" i="8"/>
  <c r="AY203" i="8" s="1"/>
  <c r="AW203" i="8"/>
  <c r="AR201" i="8"/>
  <c r="AV201" i="8"/>
  <c r="AR202" i="8"/>
  <c r="AV202" i="8"/>
  <c r="AR277" i="8"/>
  <c r="AV277" i="8"/>
  <c r="AR278" i="8"/>
  <c r="AV278" i="8"/>
  <c r="AW159" i="8"/>
  <c r="AP159" i="8"/>
  <c r="AY159" i="8" s="1"/>
  <c r="AW279" i="8"/>
  <c r="AP279" i="8"/>
  <c r="AY279" i="8" s="1"/>
  <c r="AR299" i="8"/>
  <c r="AR300" i="8"/>
  <c r="AV299" i="8"/>
  <c r="AV300" i="8"/>
  <c r="AP179" i="8"/>
  <c r="AY179" i="8" s="1"/>
  <c r="AW179" i="8"/>
  <c r="AP301" i="8"/>
  <c r="AY301" i="8" s="1"/>
  <c r="AW301" i="8"/>
  <c r="AW263" i="8"/>
  <c r="AP263" i="8"/>
  <c r="AY263" i="8" s="1"/>
  <c r="AR178" i="8"/>
  <c r="AV178" i="8"/>
  <c r="AR177" i="8"/>
  <c r="AV177" i="8"/>
  <c r="AR262" i="8"/>
  <c r="AV262" i="8"/>
  <c r="AV261" i="8"/>
  <c r="AR261" i="8"/>
  <c r="AV157" i="8"/>
  <c r="AR157" i="8"/>
  <c r="AR158" i="8"/>
  <c r="AV158" i="8"/>
  <c r="N145" i="9"/>
  <c r="O144" i="9"/>
  <c r="Q144" i="9" s="1"/>
  <c r="P185" i="9"/>
  <c r="P196" i="9"/>
  <c r="Q196" i="9"/>
  <c r="Q205" i="9"/>
  <c r="P205" i="9"/>
  <c r="Q165" i="9"/>
  <c r="P165" i="9"/>
  <c r="Q186" i="9"/>
  <c r="P186" i="9"/>
  <c r="Q175" i="9"/>
  <c r="P175" i="9"/>
  <c r="Q156" i="9"/>
  <c r="P156" i="9"/>
  <c r="R133" i="5"/>
  <c r="U204" i="5"/>
  <c r="N205" i="5"/>
  <c r="O204" i="5"/>
  <c r="Q204" i="5" s="1" a="1"/>
  <c r="Q204" i="5" s="1"/>
  <c r="O154" i="5"/>
  <c r="Q154" i="5" s="1" a="1"/>
  <c r="Q154" i="5" s="1"/>
  <c r="U155" i="5"/>
  <c r="R154" i="5"/>
  <c r="O144" i="5"/>
  <c r="Q144" i="5" s="1" a="1"/>
  <c r="Q144" i="5" s="1"/>
  <c r="R144" i="5"/>
  <c r="O184" i="5"/>
  <c r="Q184" i="5" s="1" a="1"/>
  <c r="Q184" i="5" s="1"/>
  <c r="R184" i="5"/>
  <c r="R155" i="5"/>
  <c r="O194" i="5"/>
  <c r="Q194" i="5" s="1" a="1"/>
  <c r="Q194" i="5" s="1"/>
  <c r="R194" i="5"/>
  <c r="U195" i="5"/>
  <c r="U135" i="5"/>
  <c r="R134" i="5"/>
  <c r="O134" i="5"/>
  <c r="Q134" i="5" s="1" a="1"/>
  <c r="Q134" i="5" s="1"/>
  <c r="N14" i="9"/>
  <c r="AO19" i="8"/>
  <c r="O175" i="5" l="1"/>
  <c r="Q175" i="5" s="1" a="1"/>
  <c r="Q175" i="5" s="1"/>
  <c r="N206" i="5"/>
  <c r="P205" i="5"/>
  <c r="N156" i="5"/>
  <c r="P155" i="5"/>
  <c r="N146" i="5"/>
  <c r="U146" i="5" s="1"/>
  <c r="P145" i="5"/>
  <c r="U145" i="5"/>
  <c r="N196" i="5"/>
  <c r="U196" i="5" s="1"/>
  <c r="P195" i="5"/>
  <c r="N136" i="5"/>
  <c r="P135" i="5"/>
  <c r="N186" i="5"/>
  <c r="U186" i="5" s="1"/>
  <c r="P185" i="5"/>
  <c r="N166" i="5"/>
  <c r="P165" i="5"/>
  <c r="U165" i="5"/>
  <c r="O165" i="5"/>
  <c r="Q165" i="5" s="1" a="1"/>
  <c r="Q165" i="5" s="1"/>
  <c r="N176" i="5"/>
  <c r="P175" i="5"/>
  <c r="U175" i="5"/>
  <c r="J149" i="10"/>
  <c r="I149" i="10"/>
  <c r="N149" i="10"/>
  <c r="O149" i="10" s="1"/>
  <c r="M149" i="10"/>
  <c r="Q149" i="10"/>
  <c r="G189" i="10"/>
  <c r="H189" i="10" s="1"/>
  <c r="K169" i="10"/>
  <c r="AU298" i="8"/>
  <c r="AU216" i="8"/>
  <c r="AU259" i="8"/>
  <c r="AU176" i="8"/>
  <c r="AU240" i="8"/>
  <c r="AU217" i="8"/>
  <c r="AU299" i="8"/>
  <c r="AU156" i="8"/>
  <c r="AU177" i="8"/>
  <c r="AU320" i="8"/>
  <c r="AU201" i="8"/>
  <c r="AU276" i="8"/>
  <c r="AU200" i="8"/>
  <c r="AU321" i="8"/>
  <c r="AU241" i="8"/>
  <c r="AU157" i="8"/>
  <c r="AU261" i="8"/>
  <c r="AU258" i="8"/>
  <c r="AU277" i="8"/>
  <c r="G59" i="5"/>
  <c r="I59" i="5" s="1"/>
  <c r="K59" i="5"/>
  <c r="K59" i="9" s="1"/>
  <c r="N15" i="5"/>
  <c r="AX39" i="5"/>
  <c r="L39" i="9"/>
  <c r="J49" i="9" s="1"/>
  <c r="Z32" i="5"/>
  <c r="AR39" i="5"/>
  <c r="AU39" i="5"/>
  <c r="AO39" i="5"/>
  <c r="AN49" i="5"/>
  <c r="AW49" i="5"/>
  <c r="AT49" i="5"/>
  <c r="AQ49" i="5"/>
  <c r="G49" i="9"/>
  <c r="H49" i="5"/>
  <c r="X54" i="5" s="1"/>
  <c r="Z50" i="5"/>
  <c r="I39" i="9"/>
  <c r="H39" i="9"/>
  <c r="Z41" i="5"/>
  <c r="Z43" i="5"/>
  <c r="J59" i="5"/>
  <c r="F69" i="5"/>
  <c r="AQ323" i="8"/>
  <c r="AS323" i="8" s="1"/>
  <c r="AT323" i="8" s="1" a="1"/>
  <c r="AT323" i="8" s="1"/>
  <c r="AQ324" i="8"/>
  <c r="AQ219" i="8"/>
  <c r="AS219" i="8" s="1"/>
  <c r="AT219" i="8" s="1" a="1"/>
  <c r="AT219" i="8" s="1"/>
  <c r="AQ220" i="8"/>
  <c r="AQ203" i="8"/>
  <c r="AS203" i="8" s="1"/>
  <c r="AT203" i="8" s="1" a="1"/>
  <c r="AT203" i="8" s="1"/>
  <c r="AQ204" i="8"/>
  <c r="AQ279" i="8"/>
  <c r="AS279" i="8" s="1"/>
  <c r="AT279" i="8" s="1" a="1"/>
  <c r="AT279" i="8" s="1"/>
  <c r="AQ280" i="8"/>
  <c r="AQ179" i="8"/>
  <c r="AS179" i="8" s="1"/>
  <c r="AT179" i="8" s="1" a="1"/>
  <c r="AT179" i="8" s="1"/>
  <c r="AQ180" i="8"/>
  <c r="AQ243" i="8"/>
  <c r="AS243" i="8" s="1"/>
  <c r="AT243" i="8" s="1" a="1"/>
  <c r="AT243" i="8" s="1"/>
  <c r="AQ244" i="8"/>
  <c r="AQ159" i="8"/>
  <c r="AS159" i="8" s="1"/>
  <c r="AT159" i="8" s="1" a="1"/>
  <c r="AT159" i="8" s="1"/>
  <c r="AQ160" i="8"/>
  <c r="AQ263" i="8"/>
  <c r="AS263" i="8" s="1"/>
  <c r="AT263" i="8" s="1" a="1"/>
  <c r="AT263" i="8" s="1"/>
  <c r="AQ264" i="8"/>
  <c r="AQ301" i="8"/>
  <c r="AS301" i="8" s="1"/>
  <c r="AT301" i="8" s="1" a="1"/>
  <c r="AT301" i="8" s="1"/>
  <c r="AQ302" i="8"/>
  <c r="BE301" i="8"/>
  <c r="BC301" i="8" s="1"/>
  <c r="BD301" i="8"/>
  <c r="BD179" i="8"/>
  <c r="BE179" i="8"/>
  <c r="BC179" i="8" s="1"/>
  <c r="BD279" i="8"/>
  <c r="BE279" i="8"/>
  <c r="BC279" i="8" s="1"/>
  <c r="BD203" i="8"/>
  <c r="BE203" i="8"/>
  <c r="BC203" i="8" s="1"/>
  <c r="BE323" i="8"/>
  <c r="BC323" i="8" s="1"/>
  <c r="BD323" i="8"/>
  <c r="BE159" i="8"/>
  <c r="BC159" i="8" s="1"/>
  <c r="BD159" i="8"/>
  <c r="BD219" i="8"/>
  <c r="BE219" i="8"/>
  <c r="BC219" i="8" s="1"/>
  <c r="BD243" i="8"/>
  <c r="BE243" i="8"/>
  <c r="BC243" i="8" s="1"/>
  <c r="BD263" i="8"/>
  <c r="BE263" i="8"/>
  <c r="BC263" i="8" s="1"/>
  <c r="BA159" i="8"/>
  <c r="BB159" i="8"/>
  <c r="BA219" i="8"/>
  <c r="BB219" i="8"/>
  <c r="BA243" i="8"/>
  <c r="BB243" i="8"/>
  <c r="BB263" i="8"/>
  <c r="BA263" i="8"/>
  <c r="BB323" i="8"/>
  <c r="BA323" i="8"/>
  <c r="BA301" i="8"/>
  <c r="BB301" i="8"/>
  <c r="BB179" i="8"/>
  <c r="BA179" i="8"/>
  <c r="BB203" i="8"/>
  <c r="BA203" i="8"/>
  <c r="BB279" i="8"/>
  <c r="BA279" i="8"/>
  <c r="AZ279" i="8"/>
  <c r="AZ203" i="8"/>
  <c r="AZ323" i="8"/>
  <c r="AZ159" i="8"/>
  <c r="AZ219" i="8"/>
  <c r="AZ263" i="8"/>
  <c r="AZ301" i="8"/>
  <c r="AZ243" i="8"/>
  <c r="AZ179" i="8"/>
  <c r="AS178" i="8"/>
  <c r="AT178" i="8" s="1" a="1"/>
  <c r="AT178" i="8" s="1"/>
  <c r="AS278" i="8"/>
  <c r="AT278" i="8" s="1" a="1"/>
  <c r="AT278" i="8" s="1"/>
  <c r="AS262" i="8"/>
  <c r="AT262" i="8" s="1" a="1"/>
  <c r="AT262" i="8" s="1"/>
  <c r="AS218" i="8"/>
  <c r="AT218" i="8" s="1" a="1"/>
  <c r="AT218" i="8" s="1"/>
  <c r="AS322" i="8"/>
  <c r="AT322" i="8" s="1" a="1"/>
  <c r="AT322" i="8" s="1"/>
  <c r="AS202" i="8"/>
  <c r="AT202" i="8" s="1" a="1"/>
  <c r="AT202" i="8" s="1"/>
  <c r="AS260" i="8"/>
  <c r="AT260" i="8" s="1" a="1"/>
  <c r="AT260" i="8" s="1"/>
  <c r="AS300" i="8"/>
  <c r="AT300" i="8" s="1" a="1"/>
  <c r="AT300" i="8" s="1"/>
  <c r="AS158" i="8"/>
  <c r="AT158" i="8" s="1" a="1"/>
  <c r="AT158" i="8" s="1"/>
  <c r="AS242" i="8"/>
  <c r="AT242" i="8" s="1" a="1"/>
  <c r="AT242" i="8" s="1"/>
  <c r="AI109" i="8"/>
  <c r="AJ109" i="8"/>
  <c r="AX109" i="8"/>
  <c r="BH109" i="8"/>
  <c r="AH129" i="8"/>
  <c r="AG149" i="8"/>
  <c r="AL129" i="8"/>
  <c r="AW221" i="8"/>
  <c r="AP221" i="8"/>
  <c r="AY221" i="8" s="1"/>
  <c r="AV220" i="8"/>
  <c r="AV219" i="8"/>
  <c r="AR220" i="8"/>
  <c r="AR219" i="8"/>
  <c r="AP265" i="8"/>
  <c r="AY265" i="8" s="1"/>
  <c r="AW265" i="8"/>
  <c r="AP303" i="8"/>
  <c r="AY303" i="8" s="1"/>
  <c r="AW303" i="8"/>
  <c r="AR160" i="8"/>
  <c r="AV160" i="8"/>
  <c r="AR159" i="8"/>
  <c r="AV159" i="8"/>
  <c r="AR180" i="8"/>
  <c r="AR179" i="8"/>
  <c r="AV179" i="8"/>
  <c r="AV180" i="8"/>
  <c r="AV203" i="8"/>
  <c r="AR204" i="8"/>
  <c r="AR203" i="8"/>
  <c r="AV204" i="8"/>
  <c r="AW205" i="8"/>
  <c r="AP205" i="8"/>
  <c r="AY205" i="8" s="1"/>
  <c r="AR302" i="8"/>
  <c r="AV301" i="8"/>
  <c r="AR301" i="8"/>
  <c r="AV302" i="8"/>
  <c r="AW181" i="8"/>
  <c r="AP181" i="8"/>
  <c r="AY181" i="8" s="1"/>
  <c r="AV243" i="8"/>
  <c r="AV244" i="8"/>
  <c r="AR243" i="8"/>
  <c r="AR244" i="8"/>
  <c r="AP161" i="8"/>
  <c r="AY161" i="8" s="1"/>
  <c r="AW161" i="8"/>
  <c r="AR279" i="8"/>
  <c r="AV280" i="8"/>
  <c r="AR280" i="8"/>
  <c r="AV279" i="8"/>
  <c r="AP245" i="8"/>
  <c r="AY245" i="8" s="1"/>
  <c r="AW245" i="8"/>
  <c r="AW281" i="8"/>
  <c r="AP281" i="8"/>
  <c r="AY281" i="8" s="1"/>
  <c r="AW325" i="8"/>
  <c r="AP325" i="8"/>
  <c r="AY325" i="8" s="1"/>
  <c r="AR263" i="8"/>
  <c r="AV263" i="8"/>
  <c r="AR264" i="8"/>
  <c r="AV264" i="8"/>
  <c r="AR323" i="8"/>
  <c r="AR324" i="8"/>
  <c r="AV324" i="8"/>
  <c r="AV323" i="8"/>
  <c r="N146" i="9"/>
  <c r="P146" i="9" s="1"/>
  <c r="O145" i="9"/>
  <c r="Q145" i="9" s="1"/>
  <c r="P145" i="9"/>
  <c r="Q157" i="9"/>
  <c r="P157" i="9"/>
  <c r="Q206" i="9"/>
  <c r="P206" i="9"/>
  <c r="P197" i="9"/>
  <c r="Q197" i="9"/>
  <c r="Q176" i="9"/>
  <c r="P176" i="9"/>
  <c r="Q187" i="9"/>
  <c r="P187" i="9"/>
  <c r="Q166" i="9"/>
  <c r="P166" i="9"/>
  <c r="R205" i="5"/>
  <c r="U206" i="5"/>
  <c r="U205" i="5"/>
  <c r="O205" i="5"/>
  <c r="Q205" i="5" s="1" a="1"/>
  <c r="Q205" i="5" s="1"/>
  <c r="R206" i="5"/>
  <c r="O206" i="5"/>
  <c r="Q206" i="5" s="1" a="1"/>
  <c r="Q206" i="5" s="1"/>
  <c r="U156" i="5"/>
  <c r="O155" i="5"/>
  <c r="Q155" i="5" s="1" a="1"/>
  <c r="Q155" i="5" s="1"/>
  <c r="R195" i="5"/>
  <c r="O195" i="5"/>
  <c r="Q195" i="5" s="1" a="1"/>
  <c r="Q195" i="5" s="1"/>
  <c r="R145" i="5"/>
  <c r="O145" i="5"/>
  <c r="Q145" i="5" s="1" a="1"/>
  <c r="Q145" i="5" s="1"/>
  <c r="O176" i="5"/>
  <c r="Q176" i="5" s="1" a="1"/>
  <c r="Q176" i="5" s="1"/>
  <c r="R176" i="5"/>
  <c r="O185" i="5"/>
  <c r="Q185" i="5" s="1" a="1"/>
  <c r="Q185" i="5" s="1"/>
  <c r="R185" i="5"/>
  <c r="R135" i="5"/>
  <c r="O135" i="5"/>
  <c r="Q135" i="5" s="1" a="1"/>
  <c r="Q135" i="5" s="1"/>
  <c r="U136" i="5"/>
  <c r="L49" i="5"/>
  <c r="N15" i="9"/>
  <c r="P14" i="9"/>
  <c r="O14" i="9"/>
  <c r="Q14" i="9" s="1"/>
  <c r="AO21" i="8"/>
  <c r="N167" i="5" l="1"/>
  <c r="P166" i="5"/>
  <c r="U166" i="5"/>
  <c r="N187" i="5"/>
  <c r="P186" i="5"/>
  <c r="N137" i="5"/>
  <c r="P136" i="5"/>
  <c r="N197" i="5"/>
  <c r="P196" i="5"/>
  <c r="R166" i="5"/>
  <c r="N147" i="5"/>
  <c r="U147" i="5" s="1"/>
  <c r="P146" i="5"/>
  <c r="N157" i="5"/>
  <c r="P156" i="5"/>
  <c r="N177" i="5"/>
  <c r="O177" i="5" s="1"/>
  <c r="Q177" i="5" s="1" a="1"/>
  <c r="Q177" i="5" s="1"/>
  <c r="P176" i="5"/>
  <c r="U176" i="5"/>
  <c r="O166" i="5"/>
  <c r="Q166" i="5" s="1" a="1"/>
  <c r="Q166" i="5" s="1"/>
  <c r="N207" i="5"/>
  <c r="O207" i="5" s="1"/>
  <c r="Q207" i="5" s="1" a="1"/>
  <c r="Q207" i="5" s="1"/>
  <c r="P206" i="5"/>
  <c r="I169" i="10"/>
  <c r="J169" i="10"/>
  <c r="M169" i="10"/>
  <c r="N169" i="10"/>
  <c r="O169" i="10" s="1"/>
  <c r="Q169" i="10"/>
  <c r="K189" i="10"/>
  <c r="G209" i="10"/>
  <c r="AU218" i="8"/>
  <c r="AU219" i="8"/>
  <c r="AU262" i="8"/>
  <c r="AU278" i="8"/>
  <c r="AU301" i="8"/>
  <c r="AU323" i="8"/>
  <c r="AU159" i="8"/>
  <c r="AU178" i="8"/>
  <c r="AU263" i="8"/>
  <c r="AU322" i="8"/>
  <c r="AU243" i="8"/>
  <c r="AU242" i="8"/>
  <c r="AU179" i="8"/>
  <c r="AU279" i="8"/>
  <c r="AU260" i="8"/>
  <c r="AU158" i="8"/>
  <c r="AU300" i="8"/>
  <c r="AU202" i="8"/>
  <c r="AU203" i="8"/>
  <c r="G69" i="5"/>
  <c r="I69" i="5" s="1"/>
  <c r="K69" i="5"/>
  <c r="K69" i="9" s="1"/>
  <c r="N16" i="5"/>
  <c r="AN59" i="5"/>
  <c r="G59" i="9"/>
  <c r="AT59" i="5"/>
  <c r="Z60" i="5"/>
  <c r="AW59" i="5"/>
  <c r="AQ59" i="5"/>
  <c r="H59" i="5"/>
  <c r="X64" i="5" s="1"/>
  <c r="Z42" i="5"/>
  <c r="Z51" i="5"/>
  <c r="Z53" i="5"/>
  <c r="I49" i="9"/>
  <c r="H49" i="9"/>
  <c r="J69" i="5"/>
  <c r="F79" i="5"/>
  <c r="L49" i="9"/>
  <c r="J59" i="9" s="1"/>
  <c r="AQ325" i="8"/>
  <c r="AS325" i="8" s="1"/>
  <c r="AT325" i="8" s="1" a="1"/>
  <c r="AT325" i="8" s="1"/>
  <c r="AQ326" i="8"/>
  <c r="AQ282" i="8"/>
  <c r="AQ281" i="8"/>
  <c r="AS281" i="8" s="1"/>
  <c r="AT281" i="8" s="1" a="1"/>
  <c r="AT281" i="8" s="1"/>
  <c r="AQ181" i="8"/>
  <c r="AS181" i="8" s="1"/>
  <c r="AT181" i="8" s="1" a="1"/>
  <c r="AT181" i="8" s="1"/>
  <c r="AQ182" i="8"/>
  <c r="AQ221" i="8"/>
  <c r="AS221" i="8" s="1"/>
  <c r="AT221" i="8" s="1" a="1"/>
  <c r="AT221" i="8" s="1"/>
  <c r="AQ222" i="8"/>
  <c r="AQ245" i="8"/>
  <c r="AS245" i="8" s="1"/>
  <c r="AT245" i="8" s="1" a="1"/>
  <c r="AT245" i="8" s="1"/>
  <c r="AQ246" i="8"/>
  <c r="AQ205" i="8"/>
  <c r="AS205" i="8" s="1"/>
  <c r="AT205" i="8" s="1" a="1"/>
  <c r="AT205" i="8" s="1"/>
  <c r="AQ206" i="8"/>
  <c r="AQ303" i="8"/>
  <c r="AS303" i="8" s="1"/>
  <c r="AT303" i="8" s="1" a="1"/>
  <c r="AT303" i="8" s="1"/>
  <c r="AQ304" i="8"/>
  <c r="AQ161" i="8"/>
  <c r="AS161" i="8" s="1"/>
  <c r="AT161" i="8" s="1" a="1"/>
  <c r="AT161" i="8" s="1"/>
  <c r="AQ162" i="8"/>
  <c r="AQ266" i="8"/>
  <c r="AQ265" i="8"/>
  <c r="AS265" i="8" s="1"/>
  <c r="AT265" i="8" s="1" a="1"/>
  <c r="AT265" i="8" s="1"/>
  <c r="BE161" i="8"/>
  <c r="BC161" i="8" s="1"/>
  <c r="BD161" i="8"/>
  <c r="BE325" i="8"/>
  <c r="BC325" i="8" s="1"/>
  <c r="BD325" i="8"/>
  <c r="BD303" i="8"/>
  <c r="BE303" i="8"/>
  <c r="BC303" i="8" s="1"/>
  <c r="BE281" i="8"/>
  <c r="BC281" i="8" s="1"/>
  <c r="BD281" i="8"/>
  <c r="BD265" i="8"/>
  <c r="BE265" i="8"/>
  <c r="BC265" i="8" s="1"/>
  <c r="BD181" i="8"/>
  <c r="BE181" i="8"/>
  <c r="BC181" i="8" s="1"/>
  <c r="BE245" i="8"/>
  <c r="BC245" i="8" s="1"/>
  <c r="BD245" i="8"/>
  <c r="BD205" i="8"/>
  <c r="BE205" i="8"/>
  <c r="BC205" i="8" s="1"/>
  <c r="BE221" i="8"/>
  <c r="BC221" i="8" s="1"/>
  <c r="BD221" i="8"/>
  <c r="BA161" i="8"/>
  <c r="BB161" i="8"/>
  <c r="BB325" i="8"/>
  <c r="BA325" i="8"/>
  <c r="BA303" i="8"/>
  <c r="BB303" i="8"/>
  <c r="BB265" i="8"/>
  <c r="BA265" i="8"/>
  <c r="BB205" i="8"/>
  <c r="BA205" i="8"/>
  <c r="BB181" i="8"/>
  <c r="BA181" i="8"/>
  <c r="BB281" i="8"/>
  <c r="BA281" i="8"/>
  <c r="BA245" i="8"/>
  <c r="BB245" i="8"/>
  <c r="BA221" i="8"/>
  <c r="BB221" i="8"/>
  <c r="AZ161" i="8"/>
  <c r="AZ325" i="8"/>
  <c r="AZ265" i="8"/>
  <c r="AZ303" i="8"/>
  <c r="AZ281" i="8"/>
  <c r="AZ181" i="8"/>
  <c r="AZ221" i="8"/>
  <c r="AZ245" i="8"/>
  <c r="AZ205" i="8"/>
  <c r="AS324" i="8"/>
  <c r="AT324" i="8" s="1" a="1"/>
  <c r="AT324" i="8" s="1"/>
  <c r="AS220" i="8"/>
  <c r="AT220" i="8" s="1" a="1"/>
  <c r="AT220" i="8" s="1"/>
  <c r="AS302" i="8"/>
  <c r="AT302" i="8" s="1" a="1"/>
  <c r="AT302" i="8" s="1"/>
  <c r="AS160" i="8"/>
  <c r="AT160" i="8" s="1" a="1"/>
  <c r="AT160" i="8" s="1"/>
  <c r="AS244" i="8"/>
  <c r="AT244" i="8" s="1" a="1"/>
  <c r="AT244" i="8" s="1"/>
  <c r="AS280" i="8"/>
  <c r="AT280" i="8" s="1" a="1"/>
  <c r="AT280" i="8" s="1"/>
  <c r="AS264" i="8"/>
  <c r="AT264" i="8" s="1" a="1"/>
  <c r="AT264" i="8" s="1"/>
  <c r="AS204" i="8"/>
  <c r="AT204" i="8" s="1" a="1"/>
  <c r="AT204" i="8" s="1"/>
  <c r="AS180" i="8"/>
  <c r="AT180" i="8" s="1" a="1"/>
  <c r="AT180" i="8" s="1"/>
  <c r="AH149" i="8"/>
  <c r="AL149" i="8"/>
  <c r="AG169" i="8"/>
  <c r="AI129" i="8"/>
  <c r="AX129" i="8"/>
  <c r="BH129" i="8"/>
  <c r="AJ129" i="8"/>
  <c r="AP223" i="8"/>
  <c r="AY223" i="8" s="1"/>
  <c r="AW223" i="8"/>
  <c r="AR221" i="8"/>
  <c r="AV221" i="8"/>
  <c r="AR222" i="8"/>
  <c r="AV222" i="8"/>
  <c r="AR282" i="8"/>
  <c r="AV282" i="8"/>
  <c r="AR281" i="8"/>
  <c r="AV281" i="8"/>
  <c r="AR245" i="8"/>
  <c r="AR246" i="8"/>
  <c r="AV246" i="8"/>
  <c r="AV245" i="8"/>
  <c r="AP247" i="8"/>
  <c r="AY247" i="8" s="1"/>
  <c r="AW247" i="8"/>
  <c r="AR181" i="8"/>
  <c r="AV181" i="8"/>
  <c r="AV182" i="8"/>
  <c r="AR182" i="8"/>
  <c r="AP183" i="8"/>
  <c r="AY183" i="8" s="1"/>
  <c r="AW183" i="8"/>
  <c r="AP163" i="8"/>
  <c r="AY163" i="8" s="1"/>
  <c r="AW163" i="8"/>
  <c r="AR206" i="8"/>
  <c r="AV206" i="8"/>
  <c r="AR205" i="8"/>
  <c r="AV205" i="8"/>
  <c r="AP207" i="8"/>
  <c r="AY207" i="8" s="1"/>
  <c r="AW207" i="8"/>
  <c r="AP305" i="8"/>
  <c r="AY305" i="8" s="1"/>
  <c r="AW305" i="8"/>
  <c r="AR326" i="8"/>
  <c r="AV325" i="8"/>
  <c r="AR325" i="8"/>
  <c r="AV326" i="8"/>
  <c r="AR265" i="8"/>
  <c r="AV265" i="8"/>
  <c r="AR266" i="8"/>
  <c r="AV266" i="8"/>
  <c r="AP283" i="8"/>
  <c r="AY283" i="8" s="1"/>
  <c r="AW283" i="8"/>
  <c r="AR303" i="8"/>
  <c r="AV303" i="8"/>
  <c r="AV304" i="8"/>
  <c r="AR304" i="8"/>
  <c r="AW327" i="8"/>
  <c r="AP327" i="8"/>
  <c r="AY327" i="8" s="1"/>
  <c r="AV161" i="8"/>
  <c r="AR162" i="8"/>
  <c r="AR161" i="8"/>
  <c r="AV162" i="8"/>
  <c r="AW267" i="8"/>
  <c r="AP267" i="8"/>
  <c r="AY267" i="8" s="1"/>
  <c r="N147" i="9"/>
  <c r="P147" i="9" s="1"/>
  <c r="O146" i="9"/>
  <c r="Q146" i="9" s="1"/>
  <c r="Q198" i="9"/>
  <c r="P198" i="9"/>
  <c r="P177" i="9"/>
  <c r="Q177" i="9"/>
  <c r="Q207" i="9"/>
  <c r="P207" i="9"/>
  <c r="Q188" i="9"/>
  <c r="P188" i="9"/>
  <c r="Q158" i="9"/>
  <c r="P158" i="9"/>
  <c r="Q167" i="9"/>
  <c r="P167" i="9"/>
  <c r="R207" i="5"/>
  <c r="R156" i="5"/>
  <c r="O156" i="5"/>
  <c r="Q156" i="5" s="1" a="1"/>
  <c r="Q156" i="5" s="1"/>
  <c r="O146" i="5"/>
  <c r="Q146" i="5" s="1" a="1"/>
  <c r="Q146" i="5" s="1"/>
  <c r="R146" i="5"/>
  <c r="O196" i="5"/>
  <c r="Q196" i="5" s="1" a="1"/>
  <c r="Q196" i="5" s="1"/>
  <c r="R196" i="5"/>
  <c r="U197" i="5"/>
  <c r="O167" i="5"/>
  <c r="Q167" i="5" s="1" a="1"/>
  <c r="Q167" i="5" s="1"/>
  <c r="R167" i="5"/>
  <c r="U187" i="5"/>
  <c r="R186" i="5"/>
  <c r="O186" i="5"/>
  <c r="Q186" i="5" s="1" a="1"/>
  <c r="Q186" i="5" s="1"/>
  <c r="U137" i="5"/>
  <c r="R136" i="5"/>
  <c r="O136" i="5"/>
  <c r="Q136" i="5" s="1" a="1"/>
  <c r="Q136" i="5" s="1"/>
  <c r="AR49" i="5"/>
  <c r="AO49" i="5"/>
  <c r="AX49" i="5"/>
  <c r="AU49" i="5"/>
  <c r="N16" i="9"/>
  <c r="P15" i="9"/>
  <c r="O15" i="9"/>
  <c r="Q15" i="9" s="1"/>
  <c r="AO23" i="8"/>
  <c r="N178" i="5" l="1"/>
  <c r="P177" i="5"/>
  <c r="U177" i="5"/>
  <c r="N158" i="5"/>
  <c r="P158" i="5" s="1"/>
  <c r="P157" i="5"/>
  <c r="N148" i="5"/>
  <c r="P148" i="5" s="1"/>
  <c r="P147" i="5"/>
  <c r="N198" i="5"/>
  <c r="P198" i="5" s="1"/>
  <c r="P197" i="5"/>
  <c r="U157" i="5"/>
  <c r="N138" i="5"/>
  <c r="P138" i="5" s="1"/>
  <c r="P137" i="5"/>
  <c r="N188" i="5"/>
  <c r="P188" i="5" s="1"/>
  <c r="P187" i="5"/>
  <c r="N208" i="5"/>
  <c r="P207" i="5"/>
  <c r="U207" i="5"/>
  <c r="R177" i="5"/>
  <c r="N168" i="5"/>
  <c r="P167" i="5"/>
  <c r="U167" i="5"/>
  <c r="H209" i="10"/>
  <c r="N209" i="10" s="1"/>
  <c r="G229" i="10"/>
  <c r="K209" i="10"/>
  <c r="I189" i="10"/>
  <c r="J189" i="10"/>
  <c r="M189" i="10"/>
  <c r="Q189" i="10"/>
  <c r="N189" i="10"/>
  <c r="O189" i="10" s="1"/>
  <c r="AU264" i="8"/>
  <c r="AU280" i="8"/>
  <c r="AU181" i="8"/>
  <c r="AU244" i="8"/>
  <c r="AU281" i="8"/>
  <c r="AU160" i="8"/>
  <c r="AU265" i="8"/>
  <c r="AU221" i="8"/>
  <c r="AU220" i="8"/>
  <c r="AU325" i="8"/>
  <c r="AU302" i="8"/>
  <c r="AU324" i="8"/>
  <c r="AU161" i="8"/>
  <c r="AU303" i="8"/>
  <c r="AU180" i="8"/>
  <c r="AU204" i="8"/>
  <c r="AU205" i="8"/>
  <c r="AU245" i="8"/>
  <c r="K79" i="5"/>
  <c r="K79" i="9" s="1"/>
  <c r="G79" i="5"/>
  <c r="I79" i="5" s="1"/>
  <c r="N17" i="5"/>
  <c r="L59" i="9"/>
  <c r="J69" i="9" s="1"/>
  <c r="AN69" i="5"/>
  <c r="AT69" i="5"/>
  <c r="Z70" i="5"/>
  <c r="G69" i="9"/>
  <c r="AQ69" i="5"/>
  <c r="AW69" i="5"/>
  <c r="H69" i="5"/>
  <c r="X74" i="5" s="1"/>
  <c r="Z52" i="5"/>
  <c r="Z61" i="5"/>
  <c r="Z63" i="5"/>
  <c r="H59" i="9"/>
  <c r="I59" i="9"/>
  <c r="J79" i="5"/>
  <c r="F89" i="5"/>
  <c r="AQ327" i="8"/>
  <c r="AS327" i="8" s="1"/>
  <c r="AT327" i="8" s="1" a="1"/>
  <c r="AT327" i="8" s="1"/>
  <c r="AQ328" i="8"/>
  <c r="AQ247" i="8"/>
  <c r="AS247" i="8" s="1"/>
  <c r="AT247" i="8" s="1" a="1"/>
  <c r="AT247" i="8" s="1"/>
  <c r="AQ248" i="8"/>
  <c r="AQ223" i="8"/>
  <c r="AS223" i="8" s="1"/>
  <c r="AT223" i="8" s="1" a="1"/>
  <c r="AT223" i="8" s="1"/>
  <c r="AQ224" i="8"/>
  <c r="AQ305" i="8"/>
  <c r="AS305" i="8" s="1"/>
  <c r="AT305" i="8" s="1" a="1"/>
  <c r="AT305" i="8" s="1"/>
  <c r="AQ306" i="8"/>
  <c r="AQ207" i="8"/>
  <c r="AS207" i="8" s="1"/>
  <c r="AT207" i="8" s="1" a="1"/>
  <c r="AT207" i="8" s="1"/>
  <c r="AQ208" i="8"/>
  <c r="AQ283" i="8"/>
  <c r="AS283" i="8" s="1"/>
  <c r="AT283" i="8" s="1" a="1"/>
  <c r="AT283" i="8" s="1"/>
  <c r="AQ284" i="8"/>
  <c r="AQ267" i="8"/>
  <c r="AS267" i="8" s="1"/>
  <c r="AT267" i="8" s="1" a="1"/>
  <c r="AT267" i="8" s="1"/>
  <c r="AQ268" i="8"/>
  <c r="AQ163" i="8"/>
  <c r="AS163" i="8" s="1"/>
  <c r="AT163" i="8" s="1" a="1"/>
  <c r="AT163" i="8" s="1"/>
  <c r="AQ164" i="8"/>
  <c r="AQ183" i="8"/>
  <c r="AS183" i="8" s="1"/>
  <c r="AT183" i="8" s="1" a="1"/>
  <c r="AT183" i="8" s="1"/>
  <c r="AQ184" i="8"/>
  <c r="BE223" i="8"/>
  <c r="BC223" i="8" s="1"/>
  <c r="BD223" i="8"/>
  <c r="BE327" i="8"/>
  <c r="BC327" i="8" s="1"/>
  <c r="BD327" i="8"/>
  <c r="BE163" i="8"/>
  <c r="BC163" i="8" s="1"/>
  <c r="BD163" i="8"/>
  <c r="BD305" i="8"/>
  <c r="BE305" i="8"/>
  <c r="BC305" i="8" s="1"/>
  <c r="BD267" i="8"/>
  <c r="BE267" i="8"/>
  <c r="BC267" i="8" s="1"/>
  <c r="BD207" i="8"/>
  <c r="BE207" i="8"/>
  <c r="BC207" i="8" s="1"/>
  <c r="BE283" i="8"/>
  <c r="BC283" i="8" s="1"/>
  <c r="BD283" i="8"/>
  <c r="BD183" i="8"/>
  <c r="BE183" i="8"/>
  <c r="BC183" i="8" s="1"/>
  <c r="BD247" i="8"/>
  <c r="BE247" i="8"/>
  <c r="BC247" i="8" s="1"/>
  <c r="BB163" i="8"/>
  <c r="BA163" i="8"/>
  <c r="BA305" i="8"/>
  <c r="BB305" i="8"/>
  <c r="BB267" i="8"/>
  <c r="BA267" i="8"/>
  <c r="BB283" i="8"/>
  <c r="BA283" i="8"/>
  <c r="BB207" i="8"/>
  <c r="BA207" i="8"/>
  <c r="BB183" i="8"/>
  <c r="BA183" i="8"/>
  <c r="BA247" i="8"/>
  <c r="BB247" i="8"/>
  <c r="BA223" i="8"/>
  <c r="BB223" i="8"/>
  <c r="BB327" i="8"/>
  <c r="BA327" i="8"/>
  <c r="AZ223" i="8"/>
  <c r="AZ267" i="8"/>
  <c r="AZ163" i="8"/>
  <c r="AZ327" i="8"/>
  <c r="AZ183" i="8"/>
  <c r="AZ305" i="8"/>
  <c r="AZ207" i="8"/>
  <c r="AZ283" i="8"/>
  <c r="AZ247" i="8"/>
  <c r="AS206" i="8"/>
  <c r="AT206" i="8" s="1" a="1"/>
  <c r="AT206" i="8" s="1"/>
  <c r="AS222" i="8"/>
  <c r="AT222" i="8" s="1" a="1"/>
  <c r="AT222" i="8" s="1"/>
  <c r="AS266" i="8"/>
  <c r="AT266" i="8" s="1" a="1"/>
  <c r="AT266" i="8" s="1"/>
  <c r="AS162" i="8"/>
  <c r="AT162" i="8" s="1" a="1"/>
  <c r="AT162" i="8" s="1"/>
  <c r="AS182" i="8"/>
  <c r="AT182" i="8" s="1" a="1"/>
  <c r="AT182" i="8" s="1"/>
  <c r="AS246" i="8"/>
  <c r="AT246" i="8" s="1" a="1"/>
  <c r="AT246" i="8" s="1"/>
  <c r="AS282" i="8"/>
  <c r="AT282" i="8" s="1" a="1"/>
  <c r="AT282" i="8" s="1"/>
  <c r="AS326" i="8"/>
  <c r="AT326" i="8" s="1" a="1"/>
  <c r="AT326" i="8" s="1"/>
  <c r="AS304" i="8"/>
  <c r="AT304" i="8" s="1" a="1"/>
  <c r="AT304" i="8" s="1"/>
  <c r="AH169" i="8"/>
  <c r="AL169" i="8"/>
  <c r="AG189" i="8"/>
  <c r="AI149" i="8"/>
  <c r="BH149" i="8"/>
  <c r="BI149" i="8" s="1"/>
  <c r="AJ149" i="8"/>
  <c r="AX149" i="8"/>
  <c r="AM149" i="8"/>
  <c r="BK149" i="8" s="1"/>
  <c r="AR223" i="8"/>
  <c r="AV223" i="8"/>
  <c r="AR224" i="8"/>
  <c r="AV224" i="8"/>
  <c r="AP225" i="8"/>
  <c r="AY225" i="8" s="1"/>
  <c r="AW225" i="8"/>
  <c r="AW307" i="8"/>
  <c r="AP307" i="8"/>
  <c r="AY307" i="8" s="1"/>
  <c r="AV207" i="8"/>
  <c r="AR208" i="8"/>
  <c r="AV208" i="8"/>
  <c r="AR207" i="8"/>
  <c r="AV306" i="8"/>
  <c r="AR305" i="8"/>
  <c r="AV305" i="8"/>
  <c r="AR306" i="8"/>
  <c r="AW185" i="8"/>
  <c r="AP185" i="8"/>
  <c r="AY185" i="8" s="1"/>
  <c r="AP285" i="8"/>
  <c r="AY285" i="8" s="1"/>
  <c r="AW285" i="8"/>
  <c r="AV268" i="8"/>
  <c r="AR267" i="8"/>
  <c r="AV267" i="8"/>
  <c r="AR268" i="8"/>
  <c r="AV283" i="8"/>
  <c r="AR283" i="8"/>
  <c r="AR284" i="8"/>
  <c r="AV284" i="8"/>
  <c r="AV184" i="8"/>
  <c r="AR183" i="8"/>
  <c r="AV183" i="8"/>
  <c r="AR184" i="8"/>
  <c r="AV327" i="8"/>
  <c r="AV328" i="8"/>
  <c r="AR328" i="8"/>
  <c r="AR327" i="8"/>
  <c r="AR163" i="8"/>
  <c r="AV163" i="8"/>
  <c r="AR164" i="8"/>
  <c r="AV164" i="8"/>
  <c r="AW165" i="8"/>
  <c r="AP165" i="8"/>
  <c r="AY165" i="8" s="1"/>
  <c r="AR247" i="8"/>
  <c r="AV247" i="8"/>
  <c r="AR248" i="8"/>
  <c r="AV248" i="8"/>
  <c r="N148" i="9"/>
  <c r="O148" i="9" s="1"/>
  <c r="Q148" i="9" s="1"/>
  <c r="O147" i="9"/>
  <c r="Q147" i="9" s="1"/>
  <c r="Q168" i="9"/>
  <c r="P168" i="9"/>
  <c r="Q208" i="9"/>
  <c r="P208" i="9"/>
  <c r="Q178" i="9"/>
  <c r="P178" i="9"/>
  <c r="R157" i="5"/>
  <c r="O157" i="5"/>
  <c r="Q157" i="5" s="1" a="1"/>
  <c r="Q157" i="5" s="1"/>
  <c r="R168" i="5"/>
  <c r="O168" i="5"/>
  <c r="Q168" i="5" s="1" a="1"/>
  <c r="Q168" i="5" s="1"/>
  <c r="O187" i="5"/>
  <c r="Q187" i="5" s="1" a="1"/>
  <c r="Q187" i="5" s="1"/>
  <c r="R187" i="5"/>
  <c r="R158" i="5"/>
  <c r="R197" i="5"/>
  <c r="O197" i="5"/>
  <c r="Q197" i="5" s="1" a="1"/>
  <c r="Q197" i="5" s="1"/>
  <c r="R147" i="5"/>
  <c r="U148" i="5"/>
  <c r="O147" i="5"/>
  <c r="Q147" i="5" s="1" a="1"/>
  <c r="Q147" i="5" s="1"/>
  <c r="O178" i="5"/>
  <c r="Q178" i="5" s="1" a="1"/>
  <c r="Q178" i="5" s="1"/>
  <c r="R178" i="5"/>
  <c r="R137" i="5"/>
  <c r="O137" i="5"/>
  <c r="Q137" i="5" s="1" a="1"/>
  <c r="Q137" i="5" s="1"/>
  <c r="L59" i="5"/>
  <c r="N17" i="9"/>
  <c r="P16" i="9"/>
  <c r="O16" i="9"/>
  <c r="Q16" i="9" s="1"/>
  <c r="AO25" i="8"/>
  <c r="U138" i="5" l="1"/>
  <c r="U188" i="5"/>
  <c r="U158" i="5"/>
  <c r="O158" i="5"/>
  <c r="Q158" i="5" s="1" a="1"/>
  <c r="Q158" i="5" s="1"/>
  <c r="P208" i="5"/>
  <c r="U208" i="5"/>
  <c r="O208" i="5"/>
  <c r="Q208" i="5" s="1" a="1"/>
  <c r="Q208" i="5" s="1"/>
  <c r="U198" i="5"/>
  <c r="R208" i="5"/>
  <c r="P168" i="5"/>
  <c r="U168" i="5"/>
  <c r="P178" i="5"/>
  <c r="U178" i="5"/>
  <c r="H229" i="10"/>
  <c r="N229" i="10" s="1"/>
  <c r="O229" i="10" s="1"/>
  <c r="J209" i="10"/>
  <c r="I209" i="10"/>
  <c r="M209" i="10"/>
  <c r="O209" i="10"/>
  <c r="Q209" i="10"/>
  <c r="G249" i="10"/>
  <c r="K229" i="10"/>
  <c r="AU326" i="8"/>
  <c r="AU305" i="8"/>
  <c r="AU282" i="8"/>
  <c r="AU223" i="8"/>
  <c r="AU182" i="8"/>
  <c r="AU162" i="8"/>
  <c r="AU247" i="8"/>
  <c r="AU246" i="8"/>
  <c r="AU222" i="8"/>
  <c r="AU183" i="8"/>
  <c r="AU327" i="8"/>
  <c r="AU207" i="8"/>
  <c r="AU206" i="8"/>
  <c r="AU163" i="8"/>
  <c r="AU267" i="8"/>
  <c r="AU304" i="8"/>
  <c r="AU266" i="8"/>
  <c r="AU283" i="8"/>
  <c r="K89" i="5"/>
  <c r="K89" i="9" s="1"/>
  <c r="G89" i="5"/>
  <c r="I89" i="5" s="1"/>
  <c r="N18" i="5"/>
  <c r="O17" i="5"/>
  <c r="Z62" i="5"/>
  <c r="AN79" i="5"/>
  <c r="G79" i="9"/>
  <c r="AT79" i="5"/>
  <c r="H79" i="5"/>
  <c r="X84" i="5" s="1"/>
  <c r="AW79" i="5"/>
  <c r="AQ79" i="5"/>
  <c r="Z80" i="5"/>
  <c r="H69" i="9"/>
  <c r="I69" i="9"/>
  <c r="Z73" i="5"/>
  <c r="Z71" i="5"/>
  <c r="J89" i="5"/>
  <c r="F99" i="5"/>
  <c r="L69" i="9"/>
  <c r="J79" i="9" s="1"/>
  <c r="AQ285" i="8"/>
  <c r="AS285" i="8" s="1"/>
  <c r="AT285" i="8" s="1" a="1"/>
  <c r="AT285" i="8" s="1"/>
  <c r="AQ286" i="8"/>
  <c r="AQ225" i="8"/>
  <c r="AS225" i="8" s="1"/>
  <c r="AT225" i="8" s="1" a="1"/>
  <c r="AT225" i="8" s="1"/>
  <c r="AQ226" i="8"/>
  <c r="AQ165" i="8"/>
  <c r="AS165" i="8" s="1"/>
  <c r="AT165" i="8" s="1" a="1"/>
  <c r="AT165" i="8" s="1"/>
  <c r="AQ166" i="8"/>
  <c r="AQ307" i="8"/>
  <c r="AS307" i="8" s="1"/>
  <c r="AT307" i="8" s="1" a="1"/>
  <c r="AT307" i="8" s="1"/>
  <c r="AQ308" i="8"/>
  <c r="AQ186" i="8"/>
  <c r="AQ185" i="8"/>
  <c r="AS185" i="8" s="1"/>
  <c r="AT185" i="8" s="1" a="1"/>
  <c r="AT185" i="8" s="1"/>
  <c r="BE165" i="8"/>
  <c r="BC165" i="8" s="1"/>
  <c r="BD165" i="8"/>
  <c r="BD307" i="8"/>
  <c r="BE307" i="8"/>
  <c r="BC307" i="8" s="1"/>
  <c r="BE285" i="8"/>
  <c r="BC285" i="8" s="1"/>
  <c r="BD285" i="8"/>
  <c r="BE225" i="8"/>
  <c r="BC225" i="8" s="1"/>
  <c r="BD225" i="8"/>
  <c r="BE185" i="8"/>
  <c r="BC185" i="8" s="1"/>
  <c r="BD185" i="8"/>
  <c r="BB165" i="8"/>
  <c r="BA165" i="8"/>
  <c r="BB307" i="8"/>
  <c r="BA307" i="8"/>
  <c r="BB225" i="8"/>
  <c r="BA225" i="8"/>
  <c r="BB285" i="8"/>
  <c r="BA285" i="8"/>
  <c r="BA185" i="8"/>
  <c r="BB185" i="8"/>
  <c r="AZ165" i="8"/>
  <c r="AZ307" i="8"/>
  <c r="AZ285" i="8"/>
  <c r="AZ185" i="8"/>
  <c r="AZ225" i="8"/>
  <c r="AS224" i="8"/>
  <c r="AT224" i="8" s="1" a="1"/>
  <c r="AT224" i="8" s="1"/>
  <c r="AS328" i="8"/>
  <c r="AT328" i="8" s="1" a="1"/>
  <c r="AT328" i="8" s="1"/>
  <c r="AS164" i="8"/>
  <c r="AT164" i="8" s="1" a="1"/>
  <c r="AT164" i="8" s="1"/>
  <c r="AS284" i="8"/>
  <c r="AT284" i="8" s="1" a="1"/>
  <c r="AT284" i="8" s="1"/>
  <c r="AS306" i="8"/>
  <c r="AT306" i="8" s="1" a="1"/>
  <c r="AT306" i="8" s="1"/>
  <c r="AS268" i="8"/>
  <c r="AT268" i="8" s="1" a="1"/>
  <c r="AT268" i="8" s="1"/>
  <c r="AS248" i="8"/>
  <c r="AT248" i="8" s="1" a="1"/>
  <c r="AT248" i="8" s="1"/>
  <c r="AS208" i="8"/>
  <c r="AT208" i="8" s="1" a="1"/>
  <c r="AT208" i="8" s="1"/>
  <c r="AS184" i="8"/>
  <c r="AT184" i="8" s="1" a="1"/>
  <c r="AT184" i="8" s="1"/>
  <c r="AI169" i="8"/>
  <c r="BH169" i="8"/>
  <c r="BI169" i="8" s="1"/>
  <c r="AX169" i="8"/>
  <c r="AM169" i="8"/>
  <c r="BK169" i="8" s="1"/>
  <c r="AJ169" i="8"/>
  <c r="AH189" i="8"/>
  <c r="AL189" i="8"/>
  <c r="AG209" i="8"/>
  <c r="AR226" i="8"/>
  <c r="AV225" i="8"/>
  <c r="AV226" i="8"/>
  <c r="AR225" i="8"/>
  <c r="AP227" i="8"/>
  <c r="AY227" i="8" s="1"/>
  <c r="AW227" i="8"/>
  <c r="AP167" i="8"/>
  <c r="AY167" i="8" s="1"/>
  <c r="AW167" i="8"/>
  <c r="AV285" i="8"/>
  <c r="AR285" i="8"/>
  <c r="AR286" i="8"/>
  <c r="AV286" i="8"/>
  <c r="AW287" i="8"/>
  <c r="AP287" i="8"/>
  <c r="AY287" i="8" s="1"/>
  <c r="AW187" i="8"/>
  <c r="AP187" i="8"/>
  <c r="AY187" i="8" s="1"/>
  <c r="AR186" i="8"/>
  <c r="AV186" i="8"/>
  <c r="AR185" i="8"/>
  <c r="AV185" i="8"/>
  <c r="AR308" i="8"/>
  <c r="AV308" i="8"/>
  <c r="AV307" i="8"/>
  <c r="AR307" i="8"/>
  <c r="AR166" i="8"/>
  <c r="AV166" i="8"/>
  <c r="AR165" i="8"/>
  <c r="AV165" i="8"/>
  <c r="P148" i="9"/>
  <c r="O148" i="5"/>
  <c r="Q148" i="5" s="1" a="1"/>
  <c r="Q148" i="5" s="1"/>
  <c r="R148" i="5"/>
  <c r="O188" i="5"/>
  <c r="Q188" i="5" s="1" a="1"/>
  <c r="Q188" i="5" s="1"/>
  <c r="R188" i="5"/>
  <c r="O198" i="5"/>
  <c r="Q198" i="5" s="1" a="1"/>
  <c r="Q198" i="5" s="1"/>
  <c r="R198" i="5"/>
  <c r="O138" i="5"/>
  <c r="Q138" i="5" s="1" a="1"/>
  <c r="Q138" i="5" s="1"/>
  <c r="R138" i="5"/>
  <c r="AU59" i="5"/>
  <c r="AR59" i="5"/>
  <c r="AO59" i="5"/>
  <c r="AX59" i="5"/>
  <c r="N18" i="9"/>
  <c r="P17" i="9"/>
  <c r="O17" i="9"/>
  <c r="Q17" i="9" s="1"/>
  <c r="AO27" i="8"/>
  <c r="O14" i="5"/>
  <c r="O13" i="5"/>
  <c r="O11" i="5"/>
  <c r="O12" i="5"/>
  <c r="H249" i="10" l="1"/>
  <c r="N249" i="10" s="1"/>
  <c r="O249" i="10" s="1"/>
  <c r="J229" i="10"/>
  <c r="I229" i="10"/>
  <c r="M229" i="10"/>
  <c r="Q229" i="10"/>
  <c r="G269" i="10"/>
  <c r="K249" i="10"/>
  <c r="AU306" i="8"/>
  <c r="AU307" i="8"/>
  <c r="AU328" i="8"/>
  <c r="AU165" i="8"/>
  <c r="AU224" i="8"/>
  <c r="AU225" i="8"/>
  <c r="AU268" i="8"/>
  <c r="AU285" i="8"/>
  <c r="AU284" i="8"/>
  <c r="AU184" i="8"/>
  <c r="AU208" i="8"/>
  <c r="AU164" i="8"/>
  <c r="AU248" i="8"/>
  <c r="AU185" i="8"/>
  <c r="U12" i="5"/>
  <c r="U11" i="5"/>
  <c r="U17" i="5"/>
  <c r="R13" i="5"/>
  <c r="U13" i="5"/>
  <c r="O16" i="5"/>
  <c r="R17" i="5"/>
  <c r="R14" i="5"/>
  <c r="U14" i="5"/>
  <c r="O15" i="5"/>
  <c r="O9" i="9"/>
  <c r="P9" i="9" s="1"/>
  <c r="Q9" i="9" s="1"/>
  <c r="O13" i="9"/>
  <c r="K99" i="5"/>
  <c r="K99" i="9" s="1"/>
  <c r="G99" i="5"/>
  <c r="I99" i="5" s="1"/>
  <c r="N19" i="5"/>
  <c r="N20" i="5" s="1"/>
  <c r="N21" i="5" s="1"/>
  <c r="O10" i="5"/>
  <c r="O9" i="5"/>
  <c r="P9" i="5" s="1"/>
  <c r="O18" i="5"/>
  <c r="R18" i="5" s="1"/>
  <c r="L79" i="9"/>
  <c r="J89" i="9" s="1"/>
  <c r="J99" i="5"/>
  <c r="F109" i="5"/>
  <c r="AN89" i="5"/>
  <c r="AT89" i="5"/>
  <c r="Z90" i="5"/>
  <c r="AQ89" i="5"/>
  <c r="H89" i="5"/>
  <c r="X94" i="5" s="1"/>
  <c r="G89" i="9"/>
  <c r="AW89" i="5"/>
  <c r="L89" i="5"/>
  <c r="Z72" i="5"/>
  <c r="Z81" i="5"/>
  <c r="Z83" i="5"/>
  <c r="H79" i="9"/>
  <c r="I79" i="9"/>
  <c r="AQ227" i="8"/>
  <c r="AS227" i="8" s="1"/>
  <c r="AT227" i="8" s="1" a="1"/>
  <c r="AT227" i="8" s="1"/>
  <c r="AQ228" i="8"/>
  <c r="AQ187" i="8"/>
  <c r="AS187" i="8" s="1"/>
  <c r="AT187" i="8" s="1" a="1"/>
  <c r="AT187" i="8" s="1"/>
  <c r="AQ188" i="8"/>
  <c r="AQ167" i="8"/>
  <c r="AS167" i="8" s="1"/>
  <c r="AT167" i="8" s="1" a="1"/>
  <c r="AT167" i="8" s="1"/>
  <c r="AQ168" i="8"/>
  <c r="AQ287" i="8"/>
  <c r="AS287" i="8" s="1"/>
  <c r="AT287" i="8" s="1" a="1"/>
  <c r="AT287" i="8" s="1"/>
  <c r="AQ288" i="8"/>
  <c r="BE167" i="8"/>
  <c r="BC167" i="8" s="1"/>
  <c r="BD167" i="8"/>
  <c r="BE187" i="8"/>
  <c r="BC187" i="8" s="1"/>
  <c r="BD187" i="8"/>
  <c r="BE227" i="8"/>
  <c r="BC227" i="8" s="1"/>
  <c r="BD227" i="8"/>
  <c r="BE287" i="8"/>
  <c r="BC287" i="8" s="1"/>
  <c r="BD287" i="8"/>
  <c r="BB167" i="8"/>
  <c r="BA167" i="8"/>
  <c r="BB227" i="8"/>
  <c r="BA227" i="8"/>
  <c r="BA187" i="8"/>
  <c r="BB187" i="8"/>
  <c r="BB287" i="8"/>
  <c r="BA287" i="8"/>
  <c r="AZ167" i="8"/>
  <c r="AZ227" i="8"/>
  <c r="AZ187" i="8"/>
  <c r="AZ287" i="8"/>
  <c r="AS308" i="8"/>
  <c r="AT308" i="8" s="1" a="1"/>
  <c r="AT308" i="8" s="1"/>
  <c r="AS226" i="8"/>
  <c r="AT226" i="8" s="1" a="1"/>
  <c r="AT226" i="8" s="1"/>
  <c r="AS286" i="8"/>
  <c r="AT286" i="8" s="1" a="1"/>
  <c r="AT286" i="8" s="1"/>
  <c r="AS166" i="8"/>
  <c r="AT166" i="8" s="1" a="1"/>
  <c r="AT166" i="8" s="1"/>
  <c r="AS186" i="8"/>
  <c r="AT186" i="8" s="1" a="1"/>
  <c r="AT186" i="8" s="1"/>
  <c r="AL209" i="8"/>
  <c r="AH209" i="8"/>
  <c r="AG229" i="8"/>
  <c r="AI189" i="8"/>
  <c r="BH189" i="8"/>
  <c r="BI189" i="8" s="1"/>
  <c r="AX189" i="8"/>
  <c r="AM189" i="8"/>
  <c r="BK189" i="8" s="1"/>
  <c r="AJ189" i="8"/>
  <c r="AR227" i="8"/>
  <c r="AV227" i="8"/>
  <c r="AV228" i="8"/>
  <c r="AR228" i="8"/>
  <c r="AR187" i="8"/>
  <c r="AV188" i="8"/>
  <c r="AV187" i="8"/>
  <c r="AR188" i="8"/>
  <c r="AR288" i="8"/>
  <c r="AV288" i="8"/>
  <c r="AR287" i="8"/>
  <c r="AV287" i="8"/>
  <c r="AV167" i="8"/>
  <c r="AR167" i="8"/>
  <c r="AR168" i="8"/>
  <c r="AV168" i="8"/>
  <c r="L69" i="5"/>
  <c r="O12" i="9"/>
  <c r="AV39" i="10"/>
  <c r="AW39" i="10" s="1"/>
  <c r="AY39" i="10" s="1"/>
  <c r="AV40" i="10"/>
  <c r="AW40" i="10" s="1"/>
  <c r="AY40" i="10" s="1"/>
  <c r="AV37" i="10"/>
  <c r="AW37" i="10" s="1"/>
  <c r="AY37" i="10" s="1"/>
  <c r="AV38" i="10"/>
  <c r="AW38" i="10" s="1"/>
  <c r="AY38" i="10" s="1"/>
  <c r="AV36" i="10"/>
  <c r="AW36" i="10" s="1"/>
  <c r="AY36" i="10" s="1"/>
  <c r="AV41" i="10"/>
  <c r="AW41" i="10" s="1"/>
  <c r="AY41" i="10" s="1"/>
  <c r="R12" i="5"/>
  <c r="R11" i="5"/>
  <c r="O18" i="9"/>
  <c r="Q18" i="9" s="1"/>
  <c r="P18" i="9"/>
  <c r="N19" i="9"/>
  <c r="O11" i="9"/>
  <c r="O10" i="9"/>
  <c r="AO29" i="8"/>
  <c r="P10" i="5" l="1"/>
  <c r="H269" i="10"/>
  <c r="N269" i="10" s="1"/>
  <c r="O269" i="10" s="1"/>
  <c r="J249" i="10"/>
  <c r="I249" i="10"/>
  <c r="Q249" i="10"/>
  <c r="M249" i="10"/>
  <c r="K269" i="10"/>
  <c r="G289" i="10"/>
  <c r="AU186" i="8"/>
  <c r="AU227" i="8"/>
  <c r="AU166" i="8"/>
  <c r="AU226" i="8"/>
  <c r="AU308" i="8"/>
  <c r="AU286" i="8"/>
  <c r="AU287" i="8"/>
  <c r="AU167" i="8"/>
  <c r="AU187" i="8"/>
  <c r="U18" i="5"/>
  <c r="U10" i="5"/>
  <c r="U9" i="5"/>
  <c r="U15" i="5"/>
  <c r="R15" i="5"/>
  <c r="U16" i="5"/>
  <c r="R16" i="5"/>
  <c r="P13" i="9"/>
  <c r="Q13" i="9" s="1"/>
  <c r="G109" i="5"/>
  <c r="I109" i="5" s="1"/>
  <c r="K109" i="5"/>
  <c r="K109" i="9" s="1"/>
  <c r="AX89" i="5"/>
  <c r="Z82" i="5"/>
  <c r="AR89" i="5"/>
  <c r="AO89" i="5"/>
  <c r="H89" i="9"/>
  <c r="I89" i="9"/>
  <c r="Z93" i="5"/>
  <c r="Z91" i="5"/>
  <c r="AU89" i="5"/>
  <c r="L89" i="9"/>
  <c r="J99" i="9" s="1"/>
  <c r="J109" i="5"/>
  <c r="F119" i="5"/>
  <c r="AN99" i="5"/>
  <c r="AT99" i="5"/>
  <c r="AW99" i="5"/>
  <c r="G99" i="9"/>
  <c r="AQ99" i="5"/>
  <c r="Z100" i="5"/>
  <c r="H99" i="5"/>
  <c r="X104" i="5" s="1"/>
  <c r="L99" i="5"/>
  <c r="AS188" i="8"/>
  <c r="AT188" i="8" s="1" a="1"/>
  <c r="AT188" i="8" s="1"/>
  <c r="AS228" i="8"/>
  <c r="AT228" i="8" s="1" a="1"/>
  <c r="AT228" i="8" s="1"/>
  <c r="AS288" i="8"/>
  <c r="AT288" i="8" s="1" a="1"/>
  <c r="AT288" i="8" s="1"/>
  <c r="AS168" i="8"/>
  <c r="AT168" i="8" s="1" a="1"/>
  <c r="AT168" i="8" s="1"/>
  <c r="AL229" i="8"/>
  <c r="AH229" i="8"/>
  <c r="AG249" i="8"/>
  <c r="AI209" i="8"/>
  <c r="BH209" i="8"/>
  <c r="BI209" i="8" s="1"/>
  <c r="AX209" i="8"/>
  <c r="AJ209" i="8"/>
  <c r="AM209" i="8"/>
  <c r="BK209" i="8" s="1"/>
  <c r="AU69" i="5"/>
  <c r="AX69" i="5"/>
  <c r="AO69" i="5"/>
  <c r="AR69" i="5"/>
  <c r="L79" i="5"/>
  <c r="B20" i="5" s="1"/>
  <c r="P10" i="9"/>
  <c r="Q10" i="9" s="1"/>
  <c r="P11" i="9"/>
  <c r="Q11" i="9" s="1"/>
  <c r="P12" i="9"/>
  <c r="Q12" i="9" s="1"/>
  <c r="N20" i="9"/>
  <c r="N22" i="5"/>
  <c r="AO31" i="8"/>
  <c r="H289" i="10" l="1"/>
  <c r="N289" i="10" s="1"/>
  <c r="O289" i="10" s="1"/>
  <c r="AU99" i="5"/>
  <c r="AO99" i="5"/>
  <c r="G309" i="10"/>
  <c r="K289" i="10"/>
  <c r="I269" i="10"/>
  <c r="J269" i="10"/>
  <c r="M269" i="10"/>
  <c r="Q269" i="10"/>
  <c r="AU168" i="8"/>
  <c r="AU228" i="8"/>
  <c r="AU288" i="8"/>
  <c r="AU188" i="8"/>
  <c r="R9" i="5"/>
  <c r="R10" i="5"/>
  <c r="K119" i="5"/>
  <c r="K119" i="9" s="1"/>
  <c r="G119" i="5"/>
  <c r="I119" i="5" s="1"/>
  <c r="AX99" i="5"/>
  <c r="AR99" i="5"/>
  <c r="Z92" i="5"/>
  <c r="J119" i="5"/>
  <c r="F129" i="5"/>
  <c r="I99" i="9"/>
  <c r="H99" i="9"/>
  <c r="L99" i="9"/>
  <c r="J109" i="9" s="1"/>
  <c r="AN109" i="5"/>
  <c r="AT109" i="5"/>
  <c r="AQ109" i="5"/>
  <c r="H109" i="5"/>
  <c r="X114" i="5" s="1"/>
  <c r="Z110" i="5"/>
  <c r="G109" i="9"/>
  <c r="AW109" i="5"/>
  <c r="Z103" i="5"/>
  <c r="Z101" i="5"/>
  <c r="AL249" i="8"/>
  <c r="AH249" i="8"/>
  <c r="AG269" i="8"/>
  <c r="BH229" i="8"/>
  <c r="BI229" i="8" s="1"/>
  <c r="AI229" i="8"/>
  <c r="AX229" i="8"/>
  <c r="AJ229" i="8"/>
  <c r="AM229" i="8"/>
  <c r="BK229" i="8" s="1"/>
  <c r="AU79" i="5"/>
  <c r="AR79" i="5"/>
  <c r="AO79" i="5"/>
  <c r="AR9" i="8" s="1"/>
  <c r="AX79" i="5"/>
  <c r="B21" i="5"/>
  <c r="N21" i="9"/>
  <c r="N23" i="5"/>
  <c r="AO33" i="8"/>
  <c r="H309" i="10" l="1"/>
  <c r="N309" i="10" s="1"/>
  <c r="O309" i="10" s="1"/>
  <c r="G329" i="10"/>
  <c r="K309" i="10"/>
  <c r="J289" i="10"/>
  <c r="I289" i="10"/>
  <c r="M289" i="10"/>
  <c r="Q289" i="10"/>
  <c r="K129" i="5"/>
  <c r="K129" i="9" s="1"/>
  <c r="G129" i="5"/>
  <c r="I129" i="5" s="1"/>
  <c r="Z113" i="5"/>
  <c r="Z111" i="5"/>
  <c r="I109" i="9"/>
  <c r="H109" i="9"/>
  <c r="L109" i="9"/>
  <c r="J119" i="9" s="1"/>
  <c r="J129" i="5"/>
  <c r="F139" i="5"/>
  <c r="Z102" i="5"/>
  <c r="AN119" i="5"/>
  <c r="Z120" i="5"/>
  <c r="AQ119" i="5"/>
  <c r="AW119" i="5"/>
  <c r="AT119" i="5"/>
  <c r="G119" i="9"/>
  <c r="H119" i="5"/>
  <c r="X124" i="5" s="1"/>
  <c r="L119" i="5"/>
  <c r="AL269" i="8"/>
  <c r="AH269" i="8"/>
  <c r="AG289" i="8"/>
  <c r="AI249" i="8"/>
  <c r="BH249" i="8"/>
  <c r="BI249" i="8" s="1"/>
  <c r="AJ249" i="8"/>
  <c r="AM249" i="8"/>
  <c r="BK249" i="8" s="1"/>
  <c r="AX249" i="8"/>
  <c r="L109" i="5"/>
  <c r="B43" i="5"/>
  <c r="B35" i="8"/>
  <c r="B11" i="10"/>
  <c r="B50" i="5"/>
  <c r="D50" i="5" s="1"/>
  <c r="N24" i="5"/>
  <c r="N22" i="9"/>
  <c r="AO35" i="8"/>
  <c r="AU119" i="5" l="1"/>
  <c r="AX119" i="5"/>
  <c r="AO119" i="5"/>
  <c r="AR119" i="5"/>
  <c r="H329" i="10"/>
  <c r="N329" i="10" s="1"/>
  <c r="O329" i="10" s="1"/>
  <c r="K329" i="10"/>
  <c r="J309" i="10"/>
  <c r="I309" i="10"/>
  <c r="M309" i="10"/>
  <c r="Q309" i="10"/>
  <c r="K139" i="5"/>
  <c r="K139" i="9" s="1"/>
  <c r="G139" i="5"/>
  <c r="I139" i="5" s="1"/>
  <c r="J139" i="5"/>
  <c r="F149" i="5"/>
  <c r="AN129" i="5"/>
  <c r="AQ129" i="5"/>
  <c r="AT129" i="5"/>
  <c r="L129" i="5"/>
  <c r="G129" i="9"/>
  <c r="H129" i="5"/>
  <c r="X134" i="5" s="1"/>
  <c r="AW129" i="5"/>
  <c r="AX129" i="5" s="1"/>
  <c r="Z130" i="5"/>
  <c r="H119" i="9"/>
  <c r="I119" i="9"/>
  <c r="L119" i="9"/>
  <c r="J129" i="9" s="1"/>
  <c r="Z123" i="5"/>
  <c r="Z121" i="5"/>
  <c r="Z112" i="5"/>
  <c r="AL289" i="8"/>
  <c r="AH289" i="8"/>
  <c r="AG309" i="8"/>
  <c r="AI269" i="8"/>
  <c r="BH269" i="8"/>
  <c r="BI269" i="8" s="1"/>
  <c r="AM269" i="8"/>
  <c r="BK269" i="8" s="1"/>
  <c r="AX269" i="8"/>
  <c r="AJ269" i="8"/>
  <c r="AR109" i="5"/>
  <c r="AX109" i="5"/>
  <c r="AU109" i="5"/>
  <c r="AO109" i="5"/>
  <c r="B20" i="10"/>
  <c r="B21" i="10" s="1"/>
  <c r="L9" i="10" s="1"/>
  <c r="E26" i="10"/>
  <c r="N25" i="5"/>
  <c r="N23" i="9"/>
  <c r="AO37" i="8"/>
  <c r="J329" i="10" l="1"/>
  <c r="I329" i="10"/>
  <c r="M329" i="10"/>
  <c r="Q329" i="10"/>
  <c r="L329" i="10"/>
  <c r="M9" i="10"/>
  <c r="L29" i="10"/>
  <c r="L49" i="10"/>
  <c r="L69" i="10"/>
  <c r="L89" i="10"/>
  <c r="L109" i="10"/>
  <c r="L129" i="10"/>
  <c r="L149" i="10"/>
  <c r="L169" i="10"/>
  <c r="L189" i="10"/>
  <c r="L209" i="10"/>
  <c r="L229" i="10"/>
  <c r="L249" i="10"/>
  <c r="L269" i="10"/>
  <c r="L289" i="10"/>
  <c r="L309" i="10"/>
  <c r="K149" i="5"/>
  <c r="K149" i="9" s="1"/>
  <c r="G149" i="5"/>
  <c r="I149" i="5" s="1"/>
  <c r="AU129" i="5"/>
  <c r="AO129" i="5"/>
  <c r="AR129" i="5"/>
  <c r="L129" i="9"/>
  <c r="J139" i="9" s="1"/>
  <c r="I129" i="9"/>
  <c r="H129" i="9"/>
  <c r="J149" i="5"/>
  <c r="F159" i="5"/>
  <c r="Z131" i="5"/>
  <c r="Z133" i="5"/>
  <c r="Z122" i="5"/>
  <c r="AN139" i="5"/>
  <c r="AX139" i="5"/>
  <c r="G139" i="9"/>
  <c r="L139" i="5"/>
  <c r="AW139" i="5"/>
  <c r="H139" i="5"/>
  <c r="X144" i="5" s="1"/>
  <c r="AU139" i="5"/>
  <c r="Z140" i="5"/>
  <c r="AT139" i="5"/>
  <c r="AQ139" i="5"/>
  <c r="AR139" i="5" s="1"/>
  <c r="AL309" i="8"/>
  <c r="AH309" i="8"/>
  <c r="AI289" i="8"/>
  <c r="BH289" i="8"/>
  <c r="BI289" i="8" s="1"/>
  <c r="AJ289" i="8"/>
  <c r="AX289" i="8"/>
  <c r="AM289" i="8"/>
  <c r="BK289" i="8" s="1"/>
  <c r="N26" i="5"/>
  <c r="N24" i="9"/>
  <c r="AO39" i="8"/>
  <c r="M29" i="10" l="1"/>
  <c r="O9" i="10"/>
  <c r="K159" i="5"/>
  <c r="K159" i="9" s="1"/>
  <c r="G159" i="5"/>
  <c r="I159" i="5" s="1"/>
  <c r="Z132" i="5"/>
  <c r="AO139" i="5"/>
  <c r="H139" i="9"/>
  <c r="L139" i="9"/>
  <c r="J149" i="9" s="1"/>
  <c r="I139" i="9"/>
  <c r="J159" i="5"/>
  <c r="F169" i="5"/>
  <c r="AN149" i="5"/>
  <c r="AU149" i="5"/>
  <c r="H149" i="5"/>
  <c r="X154" i="5" s="1"/>
  <c r="AT149" i="5"/>
  <c r="G149" i="9"/>
  <c r="AX149" i="5"/>
  <c r="L149" i="5"/>
  <c r="Z150" i="5"/>
  <c r="AW149" i="5"/>
  <c r="AQ149" i="5"/>
  <c r="AR149" i="5" s="1"/>
  <c r="Z143" i="5"/>
  <c r="Z141" i="5"/>
  <c r="AI309" i="8"/>
  <c r="BH309" i="8"/>
  <c r="BI309" i="8" s="1"/>
  <c r="AM309" i="8"/>
  <c r="BK309" i="8" s="1"/>
  <c r="AX309" i="8"/>
  <c r="AJ309" i="8"/>
  <c r="N27" i="5"/>
  <c r="N28" i="5" s="1"/>
  <c r="N29" i="5" s="1"/>
  <c r="N25" i="9"/>
  <c r="AO41" i="8"/>
  <c r="O29" i="10" l="1"/>
  <c r="K169" i="5"/>
  <c r="K169" i="9" s="1"/>
  <c r="G169" i="5"/>
  <c r="I169" i="5" s="1"/>
  <c r="AO149" i="5"/>
  <c r="L149" i="9"/>
  <c r="J159" i="9" s="1"/>
  <c r="H149" i="9"/>
  <c r="I149" i="9"/>
  <c r="Z151" i="5"/>
  <c r="Z153" i="5"/>
  <c r="J169" i="5"/>
  <c r="F179" i="5"/>
  <c r="AN159" i="5"/>
  <c r="AO159" i="5" s="1"/>
  <c r="H159" i="5"/>
  <c r="X164" i="5" s="1"/>
  <c r="L159" i="5"/>
  <c r="AT159" i="5"/>
  <c r="AU159" i="5"/>
  <c r="Z160" i="5"/>
  <c r="AX159" i="5"/>
  <c r="AW159" i="5"/>
  <c r="AQ159" i="5"/>
  <c r="AR159" i="5" s="1"/>
  <c r="G159" i="9"/>
  <c r="Z142" i="5"/>
  <c r="N26" i="9"/>
  <c r="O21" i="5"/>
  <c r="O23" i="5"/>
  <c r="Q23" i="5" s="1" a="1"/>
  <c r="Q23" i="5" s="1"/>
  <c r="O25" i="5"/>
  <c r="Q25" i="5" s="1" a="1"/>
  <c r="Q25" i="5" s="1"/>
  <c r="O19" i="5"/>
  <c r="P19" i="5" s="1"/>
  <c r="O20" i="5"/>
  <c r="O27" i="5"/>
  <c r="Q27" i="5" s="1" a="1"/>
  <c r="Q27" i="5" s="1"/>
  <c r="O24" i="5"/>
  <c r="Q24" i="5" s="1" a="1"/>
  <c r="Q24" i="5" s="1"/>
  <c r="O26" i="5"/>
  <c r="Q26" i="5" s="1" a="1"/>
  <c r="Q26" i="5" s="1"/>
  <c r="O22" i="5"/>
  <c r="N30" i="5"/>
  <c r="N31" i="5" s="1"/>
  <c r="N32" i="5" s="1"/>
  <c r="N33" i="5" s="1"/>
  <c r="AO43" i="8"/>
  <c r="O28" i="5"/>
  <c r="Q28" i="5" s="1" a="1"/>
  <c r="Q28" i="5" s="1"/>
  <c r="P20" i="5" l="1"/>
  <c r="P21" i="5" s="1"/>
  <c r="M49" i="10"/>
  <c r="U26" i="5"/>
  <c r="U25" i="5"/>
  <c r="U22" i="5"/>
  <c r="U24" i="5"/>
  <c r="U21" i="5"/>
  <c r="U20" i="5"/>
  <c r="U23" i="5"/>
  <c r="K179" i="5"/>
  <c r="K179" i="9" s="1"/>
  <c r="G179" i="5"/>
  <c r="I179" i="5" s="1"/>
  <c r="Z152" i="5"/>
  <c r="J179" i="5"/>
  <c r="F189" i="5"/>
  <c r="AN169" i="5"/>
  <c r="Z170" i="5"/>
  <c r="AU169" i="5"/>
  <c r="G169" i="9"/>
  <c r="L169" i="5"/>
  <c r="AQ169" i="5"/>
  <c r="AR169" i="5" s="1"/>
  <c r="H169" i="5"/>
  <c r="X174" i="5" s="1"/>
  <c r="AX169" i="5"/>
  <c r="AW169" i="5"/>
  <c r="AT169" i="5"/>
  <c r="Z161" i="5"/>
  <c r="Z163" i="5"/>
  <c r="H159" i="9"/>
  <c r="I159" i="9"/>
  <c r="L159" i="9"/>
  <c r="J169" i="9" s="1"/>
  <c r="AP25" i="8"/>
  <c r="AP19" i="8"/>
  <c r="AP27" i="8"/>
  <c r="AP21" i="8"/>
  <c r="AP23" i="8"/>
  <c r="AP9" i="8"/>
  <c r="AY9" i="8" s="1"/>
  <c r="AP11" i="8"/>
  <c r="AP13" i="8"/>
  <c r="AP15" i="8"/>
  <c r="AP17" i="8"/>
  <c r="AM29" i="8"/>
  <c r="BI29" i="8" s="1"/>
  <c r="BK9" i="8"/>
  <c r="BI9" i="8"/>
  <c r="U19" i="5"/>
  <c r="U27" i="5"/>
  <c r="U28" i="5"/>
  <c r="N27" i="9"/>
  <c r="N34" i="5"/>
  <c r="AO45" i="8"/>
  <c r="Q19" i="5" a="1"/>
  <c r="Q20" i="5" a="1"/>
  <c r="P22" i="5" l="1"/>
  <c r="O49" i="10"/>
  <c r="Q19" i="5"/>
  <c r="R19" i="5" s="1"/>
  <c r="Q20" i="5"/>
  <c r="R24" i="5"/>
  <c r="R23" i="5"/>
  <c r="R28" i="5"/>
  <c r="R27" i="5"/>
  <c r="R26" i="5"/>
  <c r="R25" i="5"/>
  <c r="R20" i="5"/>
  <c r="G189" i="5"/>
  <c r="I189" i="5" s="1"/>
  <c r="K189" i="5"/>
  <c r="K189" i="9" s="1"/>
  <c r="Z162" i="5"/>
  <c r="AO169" i="5"/>
  <c r="L169" i="9"/>
  <c r="J179" i="9" s="1"/>
  <c r="H169" i="9"/>
  <c r="I169" i="9"/>
  <c r="Z171" i="5"/>
  <c r="Z173" i="5"/>
  <c r="J189" i="5"/>
  <c r="F199" i="5"/>
  <c r="AN179" i="5"/>
  <c r="G179" i="9"/>
  <c r="Z180" i="5"/>
  <c r="AT179" i="5"/>
  <c r="AX179" i="5"/>
  <c r="L179" i="5"/>
  <c r="AW179" i="5"/>
  <c r="AQ179" i="5"/>
  <c r="AR179" i="5" s="1"/>
  <c r="H179" i="5"/>
  <c r="X184" i="5" s="1"/>
  <c r="AU179" i="5"/>
  <c r="AQ15" i="8"/>
  <c r="AY15" i="8" s="1"/>
  <c r="AQ23" i="8"/>
  <c r="AY23" i="8" s="1"/>
  <c r="AQ17" i="8"/>
  <c r="AY17" i="8" s="1"/>
  <c r="AQ21" i="8"/>
  <c r="AY21" i="8" s="1"/>
  <c r="AQ13" i="8"/>
  <c r="AY13" i="8" s="1"/>
  <c r="AQ27" i="8"/>
  <c r="AY27" i="8" s="1"/>
  <c r="AQ19" i="8"/>
  <c r="AY19" i="8" s="1"/>
  <c r="AQ25" i="8"/>
  <c r="AY25" i="8" s="1"/>
  <c r="AQ10" i="8"/>
  <c r="AQ11" i="8"/>
  <c r="AY11" i="8" s="1"/>
  <c r="BA13" i="8"/>
  <c r="BA23" i="8"/>
  <c r="BA21" i="8"/>
  <c r="BA27" i="8"/>
  <c r="BA17" i="8"/>
  <c r="BA9" i="8"/>
  <c r="BA19" i="8"/>
  <c r="BA15" i="8"/>
  <c r="BA11" i="8"/>
  <c r="BA25" i="8"/>
  <c r="BK29" i="8"/>
  <c r="AK49" i="8"/>
  <c r="AM49" i="8" s="1"/>
  <c r="BI49" i="8" s="1"/>
  <c r="AV9" i="8"/>
  <c r="AR10" i="8"/>
  <c r="N28" i="9"/>
  <c r="O25" i="9" s="1"/>
  <c r="Q25" i="9" s="1"/>
  <c r="N35" i="5"/>
  <c r="AO47" i="8"/>
  <c r="AP45" i="8" s="1"/>
  <c r="Q21" i="5" a="1"/>
  <c r="Q21" i="5" l="1"/>
  <c r="R21" i="5" s="1"/>
  <c r="M69" i="10"/>
  <c r="G199" i="5"/>
  <c r="I199" i="5" s="1"/>
  <c r="K199" i="5"/>
  <c r="K199" i="9" s="1"/>
  <c r="AP43" i="8"/>
  <c r="AP37" i="8"/>
  <c r="BA37" i="8" s="1"/>
  <c r="J199" i="5"/>
  <c r="AN189" i="5"/>
  <c r="G189" i="9"/>
  <c r="H189" i="5"/>
  <c r="X194" i="5" s="1"/>
  <c r="L189" i="5"/>
  <c r="AW189" i="5"/>
  <c r="AU189" i="5"/>
  <c r="AQ189" i="5"/>
  <c r="AR189" i="5" s="1"/>
  <c r="Z190" i="5"/>
  <c r="AT189" i="5"/>
  <c r="AX189" i="5"/>
  <c r="Z172" i="5"/>
  <c r="Z183" i="5"/>
  <c r="Z181" i="5"/>
  <c r="I179" i="9"/>
  <c r="L179" i="9"/>
  <c r="J189" i="9" s="1"/>
  <c r="H179" i="9"/>
  <c r="AQ12" i="8"/>
  <c r="AQ14" i="8" s="1"/>
  <c r="AO179" i="5"/>
  <c r="BA45" i="8"/>
  <c r="AP35" i="8"/>
  <c r="AR11" i="8"/>
  <c r="AV11" i="8" s="1"/>
  <c r="AS10" i="8"/>
  <c r="AV10" i="8"/>
  <c r="AP31" i="8"/>
  <c r="BK49" i="8"/>
  <c r="AK69" i="8"/>
  <c r="AM69" i="8" s="1"/>
  <c r="BI69" i="8" s="1"/>
  <c r="O28" i="9"/>
  <c r="Q28" i="9" s="1"/>
  <c r="N29" i="9"/>
  <c r="O20" i="9"/>
  <c r="O21" i="9"/>
  <c r="O19" i="9"/>
  <c r="O24" i="9"/>
  <c r="O23" i="9"/>
  <c r="O27" i="9"/>
  <c r="Q27" i="9" s="1"/>
  <c r="O22" i="9"/>
  <c r="O26" i="9"/>
  <c r="Q26" i="9" s="1"/>
  <c r="N36" i="5"/>
  <c r="AP41" i="8"/>
  <c r="AP39" i="8"/>
  <c r="AO49" i="8"/>
  <c r="AP29" i="8"/>
  <c r="AP47" i="8"/>
  <c r="AP33" i="8"/>
  <c r="Q22" i="5" a="1"/>
  <c r="AT10" i="8" a="1"/>
  <c r="AT10" i="8" l="1"/>
  <c r="Q22" i="5"/>
  <c r="R22" i="5" s="1"/>
  <c r="O69" i="10"/>
  <c r="P9" i="10" s="1"/>
  <c r="B23" i="10" s="1"/>
  <c r="S9" i="10"/>
  <c r="B22" i="10" s="1"/>
  <c r="E28" i="10"/>
  <c r="AQ45" i="8"/>
  <c r="AY45" i="8" s="1"/>
  <c r="BA43" i="8"/>
  <c r="AQ43" i="8"/>
  <c r="AY43" i="8" s="1"/>
  <c r="AO189" i="5"/>
  <c r="Z193" i="5"/>
  <c r="Z191" i="5"/>
  <c r="H189" i="9"/>
  <c r="I189" i="9"/>
  <c r="L189" i="9"/>
  <c r="J199" i="9" s="1"/>
  <c r="AN199" i="5"/>
  <c r="AO199" i="5" s="1"/>
  <c r="AQ199" i="5"/>
  <c r="AR199" i="5" s="1"/>
  <c r="Z200" i="5"/>
  <c r="AU199" i="5"/>
  <c r="AX199" i="5"/>
  <c r="AT199" i="5"/>
  <c r="AW199" i="5"/>
  <c r="G199" i="9"/>
  <c r="H199" i="5"/>
  <c r="X204" i="5" s="1"/>
  <c r="L199" i="5"/>
  <c r="B10" i="5" s="1"/>
  <c r="Z182" i="5"/>
  <c r="AQ29" i="8"/>
  <c r="AQ39" i="8"/>
  <c r="AY39" i="8" s="1"/>
  <c r="AQ33" i="8"/>
  <c r="AY33" i="8" s="1"/>
  <c r="AQ37" i="8"/>
  <c r="AY37" i="8" s="1"/>
  <c r="AQ31" i="8"/>
  <c r="AY31" i="8" s="1"/>
  <c r="AQ47" i="8"/>
  <c r="AS47" i="8" s="1"/>
  <c r="AQ16" i="8"/>
  <c r="AQ41" i="8"/>
  <c r="AY41" i="8" s="1"/>
  <c r="AQ35" i="8"/>
  <c r="AY35" i="8" s="1"/>
  <c r="BA29" i="8"/>
  <c r="BA31" i="8"/>
  <c r="BA35" i="8"/>
  <c r="BA33" i="8"/>
  <c r="BA39" i="8"/>
  <c r="BA47" i="8"/>
  <c r="BA41" i="8"/>
  <c r="AS11" i="8"/>
  <c r="AR12" i="8"/>
  <c r="AK89" i="8"/>
  <c r="AM89" i="8" s="1"/>
  <c r="BK69" i="8"/>
  <c r="N37" i="5"/>
  <c r="N38" i="5" s="1"/>
  <c r="P28" i="9"/>
  <c r="N30" i="9"/>
  <c r="P19" i="9"/>
  <c r="Q19" i="9" s="1"/>
  <c r="P20" i="9"/>
  <c r="Q20" i="9" s="1"/>
  <c r="P21" i="9"/>
  <c r="Q21" i="9" s="1"/>
  <c r="P22" i="9"/>
  <c r="Q22" i="9" s="1"/>
  <c r="P23" i="9"/>
  <c r="Q23" i="9" s="1"/>
  <c r="P24" i="9"/>
  <c r="Q24" i="9" s="1"/>
  <c r="P25" i="9"/>
  <c r="P26" i="9"/>
  <c r="P27" i="9"/>
  <c r="AO51" i="8"/>
  <c r="AT11" i="8" a="1"/>
  <c r="AT47" i="8" a="1"/>
  <c r="AT11" i="8" l="1"/>
  <c r="AT47" i="8"/>
  <c r="AU47" i="8" s="1"/>
  <c r="AS45" i="8"/>
  <c r="AS43" i="8"/>
  <c r="AY29" i="8"/>
  <c r="AY47" i="8"/>
  <c r="AY9" i="5"/>
  <c r="B9" i="10" s="1"/>
  <c r="B31" i="10" s="1"/>
  <c r="B32" i="10" s="1"/>
  <c r="AV9" i="5"/>
  <c r="B24" i="8" s="1"/>
  <c r="AS9" i="5"/>
  <c r="B23" i="8" s="1"/>
  <c r="AP9" i="5"/>
  <c r="B14" i="8" s="1"/>
  <c r="Z192" i="5"/>
  <c r="Z201" i="5"/>
  <c r="Z203" i="5"/>
  <c r="I199" i="9"/>
  <c r="L199" i="9"/>
  <c r="H199" i="9"/>
  <c r="B22" i="5"/>
  <c r="C22" i="5"/>
  <c r="AQ18" i="8"/>
  <c r="BI89" i="8"/>
  <c r="AV12" i="8"/>
  <c r="AR13" i="8"/>
  <c r="AS12" i="8"/>
  <c r="BK89" i="8"/>
  <c r="AK109" i="8"/>
  <c r="AM109" i="8" s="1"/>
  <c r="AK129" i="8" s="1"/>
  <c r="AM129" i="8" s="1"/>
  <c r="O37" i="5"/>
  <c r="Q37" i="5" s="1" a="1"/>
  <c r="Q37" i="5" s="1"/>
  <c r="O35" i="5"/>
  <c r="Q35" i="5" s="1" a="1"/>
  <c r="Q35" i="5" s="1"/>
  <c r="O36" i="5"/>
  <c r="Q36" i="5" s="1" a="1"/>
  <c r="Q36" i="5" s="1"/>
  <c r="U37" i="5"/>
  <c r="O33" i="5"/>
  <c r="Q33" i="5" s="1" a="1"/>
  <c r="Q33" i="5" s="1"/>
  <c r="O34" i="5"/>
  <c r="Q34" i="5" s="1" a="1"/>
  <c r="Q34" i="5" s="1"/>
  <c r="N39" i="5"/>
  <c r="N40" i="5" s="1"/>
  <c r="N41" i="5" s="1"/>
  <c r="N31" i="9"/>
  <c r="AO53" i="8"/>
  <c r="O31" i="5"/>
  <c r="Q31" i="5" s="1" a="1"/>
  <c r="Q31" i="5" s="1"/>
  <c r="O32" i="5"/>
  <c r="Q32" i="5" s="1" a="1"/>
  <c r="Q32" i="5" s="1"/>
  <c r="O38" i="5"/>
  <c r="Q38" i="5" s="1" a="1"/>
  <c r="Q38" i="5" s="1"/>
  <c r="O29" i="5"/>
  <c r="P29" i="5" s="1"/>
  <c r="O30" i="5"/>
  <c r="AT45" i="8" a="1"/>
  <c r="AT43" i="8" a="1"/>
  <c r="AT12" i="8" a="1"/>
  <c r="AT12" i="8" l="1"/>
  <c r="P30" i="5"/>
  <c r="AT43" i="8"/>
  <c r="AT45" i="8"/>
  <c r="AU12" i="8"/>
  <c r="AU43" i="8"/>
  <c r="AU45" i="8"/>
  <c r="U38" i="5"/>
  <c r="C10" i="11"/>
  <c r="B26" i="5"/>
  <c r="C24" i="5" s="1"/>
  <c r="U30" i="5"/>
  <c r="U31" i="5"/>
  <c r="U35" i="5"/>
  <c r="U32" i="5"/>
  <c r="Z202" i="5"/>
  <c r="B10" i="10"/>
  <c r="B26" i="10" s="1"/>
  <c r="B27" i="10" s="1"/>
  <c r="E27" i="10"/>
  <c r="A23" i="5"/>
  <c r="B27" i="5"/>
  <c r="D41" i="5" s="1"/>
  <c r="AQ20" i="8"/>
  <c r="AS13" i="8"/>
  <c r="AK149" i="8"/>
  <c r="AK169" i="8" s="1"/>
  <c r="AK189" i="8" s="1"/>
  <c r="AK209" i="8" s="1"/>
  <c r="AK229" i="8" s="1"/>
  <c r="AK249" i="8" s="1"/>
  <c r="AK269" i="8" s="1"/>
  <c r="AK289" i="8" s="1"/>
  <c r="AK309" i="8" s="1"/>
  <c r="BK129" i="8"/>
  <c r="BI129" i="8"/>
  <c r="AR14" i="8"/>
  <c r="AV13" i="8"/>
  <c r="BK109" i="8"/>
  <c r="BI109" i="8"/>
  <c r="U36" i="5"/>
  <c r="U34" i="5"/>
  <c r="U33" i="5"/>
  <c r="U29" i="5"/>
  <c r="N32" i="9"/>
  <c r="AO55" i="8"/>
  <c r="N42" i="5"/>
  <c r="Q29" i="5" a="1"/>
  <c r="Q30" i="5" a="1"/>
  <c r="AT13" i="8" a="1"/>
  <c r="AT13" i="8" l="1"/>
  <c r="Q29" i="5"/>
  <c r="R29" i="5" s="1"/>
  <c r="Q30" i="5"/>
  <c r="R30" i="5" s="1"/>
  <c r="AU13" i="8"/>
  <c r="R34" i="5"/>
  <c r="R33" i="5"/>
  <c r="R35" i="5"/>
  <c r="R36" i="5"/>
  <c r="R32" i="5"/>
  <c r="R38" i="5"/>
  <c r="R31" i="5"/>
  <c r="R37" i="5"/>
  <c r="C25" i="5"/>
  <c r="AV35" i="10"/>
  <c r="AW35" i="10" s="1"/>
  <c r="AY35" i="10" s="1"/>
  <c r="AV34" i="10"/>
  <c r="AW34" i="10" s="1"/>
  <c r="AY34" i="10" s="1"/>
  <c r="AV31" i="10"/>
  <c r="AW31" i="10" s="1"/>
  <c r="AY31" i="10" s="1"/>
  <c r="AV30" i="10"/>
  <c r="AW30" i="10" s="1"/>
  <c r="AY30" i="10" s="1"/>
  <c r="AV33" i="10"/>
  <c r="AW33" i="10" s="1"/>
  <c r="AY33" i="10" s="1"/>
  <c r="AV32" i="10"/>
  <c r="AW32" i="10" s="1"/>
  <c r="AY32" i="10" s="1"/>
  <c r="AV15" i="10"/>
  <c r="AW15" i="10" s="1"/>
  <c r="AY15" i="10" s="1"/>
  <c r="AV28" i="10"/>
  <c r="AW28" i="10" s="1"/>
  <c r="AY28" i="10" s="1"/>
  <c r="AV14" i="10"/>
  <c r="AW14" i="10" s="1"/>
  <c r="AY14" i="10" s="1"/>
  <c r="AV21" i="10"/>
  <c r="AW21" i="10" s="1"/>
  <c r="AY21" i="10" s="1"/>
  <c r="AV13" i="10"/>
  <c r="AW13" i="10" s="1"/>
  <c r="AY13" i="10" s="1"/>
  <c r="AV26" i="10"/>
  <c r="AW26" i="10" s="1"/>
  <c r="AY26" i="10" s="1"/>
  <c r="AV17" i="10"/>
  <c r="AW17" i="10" s="1"/>
  <c r="AY17" i="10" s="1"/>
  <c r="AV19" i="10"/>
  <c r="AW19" i="10" s="1"/>
  <c r="AY19" i="10" s="1"/>
  <c r="AV22" i="10"/>
  <c r="AW22" i="10" s="1"/>
  <c r="AY22" i="10" s="1"/>
  <c r="AV27" i="10"/>
  <c r="AW27" i="10" s="1"/>
  <c r="AY27" i="10" s="1"/>
  <c r="AV29" i="10"/>
  <c r="AW29" i="10" s="1"/>
  <c r="AY29" i="10" s="1"/>
  <c r="AV20" i="10"/>
  <c r="AW20" i="10" s="1"/>
  <c r="AY20" i="10" s="1"/>
  <c r="AV12" i="10"/>
  <c r="AW12" i="10" s="1"/>
  <c r="AY12" i="10" s="1"/>
  <c r="BJ9" i="8"/>
  <c r="B26" i="8" s="1"/>
  <c r="B28" i="10"/>
  <c r="B30" i="10" s="1"/>
  <c r="AV10" i="10"/>
  <c r="AW10" i="10" s="1"/>
  <c r="AY10" i="10" s="1"/>
  <c r="AV23" i="10"/>
  <c r="AW23" i="10" s="1"/>
  <c r="AY23" i="10" s="1"/>
  <c r="AV9" i="10"/>
  <c r="AW9" i="10" s="1"/>
  <c r="AY9" i="10" s="1"/>
  <c r="AV25" i="10"/>
  <c r="AW25" i="10" s="1"/>
  <c r="AY25" i="10" s="1"/>
  <c r="AV43" i="10"/>
  <c r="AW43" i="10" s="1"/>
  <c r="AY43" i="10" s="1"/>
  <c r="AV11" i="10"/>
  <c r="AW11" i="10" s="1"/>
  <c r="AY11" i="10" s="1"/>
  <c r="B29" i="10"/>
  <c r="AV18" i="10"/>
  <c r="AW18" i="10" s="1"/>
  <c r="AY18" i="10" s="1"/>
  <c r="AV16" i="10"/>
  <c r="AW16" i="10" s="1"/>
  <c r="AY16" i="10" s="1"/>
  <c r="AV24" i="10"/>
  <c r="AW24" i="10" s="1"/>
  <c r="AY24" i="10" s="1"/>
  <c r="D42" i="5"/>
  <c r="D44" i="5"/>
  <c r="D47" i="5"/>
  <c r="D40" i="5"/>
  <c r="AQ22" i="8"/>
  <c r="AQ24" i="8" s="1"/>
  <c r="BL9" i="8"/>
  <c r="B27" i="8" s="1"/>
  <c r="AV14" i="8"/>
  <c r="AR15" i="8"/>
  <c r="AS14" i="8"/>
  <c r="AS15" i="8"/>
  <c r="N33" i="9"/>
  <c r="AO57" i="8"/>
  <c r="N43" i="5"/>
  <c r="AT15" i="8" a="1"/>
  <c r="AT14" i="8" a="1"/>
  <c r="B28" i="5" a="1"/>
  <c r="B28" i="5" l="1"/>
  <c r="AT14" i="8"/>
  <c r="AT15" i="8"/>
  <c r="AU14" i="8"/>
  <c r="AW13" i="8" s="1"/>
  <c r="AU15" i="8"/>
  <c r="AZ9" i="10"/>
  <c r="B40" i="10" s="1"/>
  <c r="B33" i="10"/>
  <c r="B37" i="10" s="1"/>
  <c r="D43" i="5"/>
  <c r="B29" i="8"/>
  <c r="AQ26" i="8"/>
  <c r="AQ28" i="8" s="1"/>
  <c r="BD13" i="8"/>
  <c r="B30" i="8"/>
  <c r="AV15" i="8"/>
  <c r="AR16" i="8"/>
  <c r="N34" i="9"/>
  <c r="P33" i="9"/>
  <c r="O33" i="9"/>
  <c r="Q33" i="9" s="1"/>
  <c r="AO59" i="8"/>
  <c r="N44" i="5"/>
  <c r="BB13" i="8" l="1"/>
  <c r="AZ13" i="8"/>
  <c r="BE13" i="8" s="1"/>
  <c r="BC13" i="8" s="1"/>
  <c r="B41" i="10"/>
  <c r="AQ30" i="8"/>
  <c r="B31" i="8"/>
  <c r="AR17" i="8"/>
  <c r="AS16" i="8"/>
  <c r="AV16" i="8"/>
  <c r="N35" i="9"/>
  <c r="P34" i="9"/>
  <c r="O34" i="9"/>
  <c r="Q34" i="9" s="1"/>
  <c r="AO61" i="8"/>
  <c r="N45" i="5"/>
  <c r="AT16" i="8" a="1"/>
  <c r="AT16" i="8" l="1"/>
  <c r="AU16" i="8"/>
  <c r="AW15" i="8" s="1"/>
  <c r="B43" i="10"/>
  <c r="AQ32" i="8"/>
  <c r="AQ34" i="8" s="1"/>
  <c r="AQ36" i="8" s="1"/>
  <c r="AQ38" i="8" s="1"/>
  <c r="AQ40" i="8" s="1"/>
  <c r="AS17" i="8"/>
  <c r="AV17" i="8"/>
  <c r="AR18" i="8"/>
  <c r="N36" i="9"/>
  <c r="P35" i="9"/>
  <c r="O35" i="9"/>
  <c r="Q35" i="9" s="1"/>
  <c r="AO63" i="8"/>
  <c r="N46" i="5"/>
  <c r="AT17" i="8" a="1"/>
  <c r="AT17" i="8" l="1"/>
  <c r="AU17" i="8"/>
  <c r="BD15" i="8"/>
  <c r="AZ15" i="8"/>
  <c r="BE15" i="8" s="1"/>
  <c r="BC15" i="8" s="1"/>
  <c r="BB15" i="8"/>
  <c r="AQ42" i="8"/>
  <c r="AQ44" i="8" s="1"/>
  <c r="AS44" i="8" s="1"/>
  <c r="AS18" i="8"/>
  <c r="AV18" i="8"/>
  <c r="AR19" i="8"/>
  <c r="AV19" i="8" s="1"/>
  <c r="P36" i="9"/>
  <c r="O36" i="9"/>
  <c r="Q36" i="9" s="1"/>
  <c r="N37" i="9"/>
  <c r="AO65" i="8"/>
  <c r="N47" i="5"/>
  <c r="AT18" i="8" a="1"/>
  <c r="AT44" i="8" a="1"/>
  <c r="AT18" i="8" l="1"/>
  <c r="AT44" i="8"/>
  <c r="AU18" i="8"/>
  <c r="AW17" i="8" s="1"/>
  <c r="BD17" i="8" s="1"/>
  <c r="AU44" i="8"/>
  <c r="AW43" i="8" s="1"/>
  <c r="AQ46" i="8"/>
  <c r="AS19" i="8"/>
  <c r="AR20" i="8"/>
  <c r="P37" i="9"/>
  <c r="O37" i="9"/>
  <c r="Q37" i="9" s="1"/>
  <c r="N38" i="9"/>
  <c r="O29" i="9" s="1"/>
  <c r="AO67" i="8"/>
  <c r="AP65" i="8" s="1"/>
  <c r="AP61" i="8"/>
  <c r="N48" i="5"/>
  <c r="O46" i="5" s="1"/>
  <c r="Q46" i="5" s="1" a="1"/>
  <c r="Q46" i="5" s="1"/>
  <c r="AT19" i="8" a="1"/>
  <c r="AT19" i="8" l="1"/>
  <c r="AZ17" i="8"/>
  <c r="BE17" i="8" s="1"/>
  <c r="BC17" i="8" s="1"/>
  <c r="BB17" i="8"/>
  <c r="AU19" i="8"/>
  <c r="U46" i="5"/>
  <c r="O44" i="5"/>
  <c r="Q44" i="5" s="1" a="1"/>
  <c r="Q44" i="5" s="1"/>
  <c r="O45" i="5"/>
  <c r="Q45" i="5" s="1" a="1"/>
  <c r="Q45" i="5" s="1"/>
  <c r="O47" i="5"/>
  <c r="Q47" i="5" s="1" a="1"/>
  <c r="Q47" i="5" s="1"/>
  <c r="O43" i="5"/>
  <c r="AS46" i="8"/>
  <c r="AQ48" i="8"/>
  <c r="AS48" i="8" s="1"/>
  <c r="BA65" i="8"/>
  <c r="BA61" i="8"/>
  <c r="AS21" i="8"/>
  <c r="AR21" i="8"/>
  <c r="AV21" i="8" s="1"/>
  <c r="AV20" i="8"/>
  <c r="AS20" i="8"/>
  <c r="O32" i="9"/>
  <c r="P29" i="9"/>
  <c r="Q29" i="9" s="1"/>
  <c r="P38" i="9"/>
  <c r="O38" i="9"/>
  <c r="Q38" i="9" s="1"/>
  <c r="N39" i="9"/>
  <c r="O31" i="9"/>
  <c r="O30" i="9"/>
  <c r="AO69" i="8"/>
  <c r="AP49" i="8"/>
  <c r="AP67" i="8"/>
  <c r="AP63" i="8"/>
  <c r="AP53" i="8"/>
  <c r="AP51" i="8"/>
  <c r="AP55" i="8"/>
  <c r="AP59" i="8"/>
  <c r="AP57" i="8"/>
  <c r="O48" i="5"/>
  <c r="Q48" i="5" s="1" a="1"/>
  <c r="Q48" i="5" s="1"/>
  <c r="N49" i="5"/>
  <c r="O40" i="5"/>
  <c r="O39" i="5"/>
  <c r="P39" i="5" s="1"/>
  <c r="P40" i="5" s="1"/>
  <c r="P41" i="5" s="1"/>
  <c r="P42" i="5" s="1"/>
  <c r="P43" i="5" s="1"/>
  <c r="O41" i="5"/>
  <c r="O42" i="5"/>
  <c r="AT20" i="8" a="1"/>
  <c r="AT21" i="8" a="1"/>
  <c r="AT46" i="8" a="1"/>
  <c r="AT48" i="8" a="1"/>
  <c r="AT21" i="8" l="1"/>
  <c r="AT20" i="8"/>
  <c r="AQ61" i="8"/>
  <c r="AY61" i="8" s="1"/>
  <c r="AT48" i="8"/>
  <c r="AT46" i="8"/>
  <c r="U43" i="5"/>
  <c r="AU20" i="8"/>
  <c r="AW19" i="8" s="1"/>
  <c r="BD19" i="8" s="1"/>
  <c r="AU21" i="8"/>
  <c r="AU48" i="8"/>
  <c r="AW47" i="8" s="1"/>
  <c r="AU46" i="8"/>
  <c r="AW45" i="8" s="1"/>
  <c r="U44" i="5"/>
  <c r="U48" i="5"/>
  <c r="U45" i="5"/>
  <c r="U47" i="5"/>
  <c r="U39" i="5"/>
  <c r="AQ65" i="8"/>
  <c r="AQ55" i="8"/>
  <c r="AY55" i="8" s="1"/>
  <c r="AQ53" i="8"/>
  <c r="AY53" i="8" s="1"/>
  <c r="AQ67" i="8"/>
  <c r="AS67" i="8" s="1"/>
  <c r="AQ51" i="8"/>
  <c r="AY51" i="8" s="1"/>
  <c r="AQ63" i="8"/>
  <c r="AY63" i="8" s="1"/>
  <c r="AQ49" i="8"/>
  <c r="AQ50" i="8"/>
  <c r="AQ57" i="8"/>
  <c r="AY57" i="8" s="1"/>
  <c r="AQ59" i="8"/>
  <c r="AY59" i="8" s="1"/>
  <c r="BA53" i="8"/>
  <c r="BA51" i="8"/>
  <c r="BA55" i="8"/>
  <c r="BA49" i="8"/>
  <c r="BA59" i="8"/>
  <c r="BA57" i="8"/>
  <c r="BA63" i="8"/>
  <c r="BA67" i="8"/>
  <c r="AR22" i="8"/>
  <c r="AV22" i="8" s="1"/>
  <c r="AS22" i="8"/>
  <c r="U42" i="5"/>
  <c r="U40" i="5"/>
  <c r="U41" i="5"/>
  <c r="P32" i="9"/>
  <c r="Q32" i="9" s="1"/>
  <c r="P31" i="9"/>
  <c r="Q31" i="9" s="1"/>
  <c r="P30" i="9"/>
  <c r="Q30" i="9" s="1"/>
  <c r="N40" i="9"/>
  <c r="AO71" i="8"/>
  <c r="N50" i="5"/>
  <c r="Q42" i="5" a="1"/>
  <c r="Q43" i="5" a="1"/>
  <c r="Q39" i="5" a="1"/>
  <c r="AT22" i="8" a="1"/>
  <c r="Q40" i="5" a="1"/>
  <c r="AT67" i="8" a="1"/>
  <c r="Q41" i="5" a="1"/>
  <c r="AT22" i="8" l="1"/>
  <c r="AT67" i="8"/>
  <c r="Q39" i="5"/>
  <c r="Q43" i="5"/>
  <c r="Q42" i="5"/>
  <c r="R42" i="5" s="1"/>
  <c r="Q41" i="5"/>
  <c r="R41" i="5" s="1"/>
  <c r="Q40" i="5"/>
  <c r="R40" i="5" s="1"/>
  <c r="AU22" i="8"/>
  <c r="AW21" i="8" s="1"/>
  <c r="BD21" i="8" s="1"/>
  <c r="AZ19" i="8"/>
  <c r="BE19" i="8" s="1"/>
  <c r="BC19" i="8" s="1"/>
  <c r="BB19" i="8"/>
  <c r="AU67" i="8"/>
  <c r="R44" i="5"/>
  <c r="R47" i="5"/>
  <c r="R45" i="5"/>
  <c r="R46" i="5"/>
  <c r="R48" i="5"/>
  <c r="R39" i="5"/>
  <c r="R43" i="5"/>
  <c r="AY67" i="8"/>
  <c r="AY65" i="8"/>
  <c r="AS65" i="8"/>
  <c r="AQ52" i="8"/>
  <c r="AY49" i="8"/>
  <c r="AR23" i="8"/>
  <c r="AR24" i="8" s="1"/>
  <c r="AV24" i="8" s="1"/>
  <c r="AS24" i="8"/>
  <c r="AS23" i="8"/>
  <c r="N41" i="9"/>
  <c r="AO73" i="8"/>
  <c r="N51" i="5"/>
  <c r="AT65" i="8" a="1"/>
  <c r="AT23" i="8" a="1"/>
  <c r="AT24" i="8" a="1"/>
  <c r="AT24" i="8" l="1"/>
  <c r="AT23" i="8"/>
  <c r="AT65" i="8"/>
  <c r="AZ21" i="8"/>
  <c r="BE21" i="8" s="1"/>
  <c r="BC21" i="8" s="1"/>
  <c r="BB21" i="8"/>
  <c r="AU24" i="8"/>
  <c r="AU23" i="8"/>
  <c r="AU65" i="8"/>
  <c r="AQ54" i="8"/>
  <c r="AQ56" i="8" s="1"/>
  <c r="AV23" i="8"/>
  <c r="AS26" i="8"/>
  <c r="AR25" i="8"/>
  <c r="AV25" i="8" s="1"/>
  <c r="AS25" i="8"/>
  <c r="N42" i="9"/>
  <c r="AO75" i="8"/>
  <c r="N52" i="5"/>
  <c r="AT26" i="8" a="1"/>
  <c r="AT25" i="8" a="1"/>
  <c r="AT25" i="8" l="1"/>
  <c r="AT26" i="8"/>
  <c r="AW23" i="8"/>
  <c r="BD23" i="8" s="1"/>
  <c r="AU25" i="8"/>
  <c r="AU26" i="8"/>
  <c r="AQ58" i="8"/>
  <c r="AR26" i="8"/>
  <c r="AS27" i="8"/>
  <c r="N43" i="9"/>
  <c r="AO77" i="8"/>
  <c r="N53" i="5"/>
  <c r="AT27" i="8" a="1"/>
  <c r="AT27" i="8" l="1"/>
  <c r="AW25" i="8"/>
  <c r="BD25" i="8" s="1"/>
  <c r="AZ23" i="8"/>
  <c r="BE23" i="8" s="1"/>
  <c r="BC23" i="8" s="1"/>
  <c r="BB23" i="8"/>
  <c r="AQ60" i="8"/>
  <c r="AQ62" i="8" s="1"/>
  <c r="BB25" i="8"/>
  <c r="AR27" i="8"/>
  <c r="AR28" i="8" s="1"/>
  <c r="AV28" i="8" s="1"/>
  <c r="AV26" i="8"/>
  <c r="AZ25" i="8" s="1"/>
  <c r="BE25" i="8" s="1"/>
  <c r="AS28" i="8"/>
  <c r="N44" i="9"/>
  <c r="P43" i="9"/>
  <c r="O43" i="9"/>
  <c r="Q43" i="9" s="1"/>
  <c r="AS39" i="8"/>
  <c r="AO79" i="8"/>
  <c r="N54" i="5"/>
  <c r="AT28" i="8" a="1"/>
  <c r="AT39" i="8" a="1"/>
  <c r="AT28" i="8" l="1"/>
  <c r="AT39" i="8"/>
  <c r="AU27" i="8"/>
  <c r="AU39" i="8"/>
  <c r="AQ64" i="8"/>
  <c r="AQ66" i="8" s="1"/>
  <c r="AS66" i="8" s="1"/>
  <c r="BC25" i="8"/>
  <c r="AV27" i="8"/>
  <c r="AR29" i="8"/>
  <c r="AS29" i="8"/>
  <c r="N45" i="9"/>
  <c r="P44" i="9"/>
  <c r="O44" i="9"/>
  <c r="Q44" i="9" s="1"/>
  <c r="AS40" i="8"/>
  <c r="AO81" i="8"/>
  <c r="N55" i="5"/>
  <c r="AT66" i="8" a="1"/>
  <c r="AT29" i="8" a="1"/>
  <c r="AT40" i="8" a="1"/>
  <c r="AT66" i="8" l="1"/>
  <c r="AT40" i="8"/>
  <c r="AT29" i="8"/>
  <c r="AU28" i="8"/>
  <c r="AW27" i="8" s="1"/>
  <c r="AZ27" i="8" s="1"/>
  <c r="AU40" i="8"/>
  <c r="AW39" i="8" s="1"/>
  <c r="AU29" i="8"/>
  <c r="AU66" i="8"/>
  <c r="AW65" i="8" s="1"/>
  <c r="AQ68" i="8"/>
  <c r="AS68" i="8" s="1"/>
  <c r="AV29" i="8"/>
  <c r="AR30" i="8"/>
  <c r="AS30" i="8"/>
  <c r="N46" i="9"/>
  <c r="P45" i="9"/>
  <c r="O45" i="9"/>
  <c r="Q45" i="9" s="1"/>
  <c r="AS41" i="8"/>
  <c r="AO83" i="8"/>
  <c r="N56" i="5"/>
  <c r="AT68" i="8" a="1"/>
  <c r="AT30" i="8" a="1"/>
  <c r="AT41" i="8" a="1"/>
  <c r="AT68" i="8" l="1"/>
  <c r="AT41" i="8"/>
  <c r="AT30" i="8"/>
  <c r="AU30" i="8"/>
  <c r="AW29" i="8" s="1"/>
  <c r="AU68" i="8"/>
  <c r="AW67" i="8" s="1"/>
  <c r="AU41" i="8"/>
  <c r="BD27" i="8"/>
  <c r="BE27" i="8" s="1"/>
  <c r="BC27" i="8" s="1"/>
  <c r="BB27" i="8"/>
  <c r="BB29" i="8"/>
  <c r="BD29" i="8"/>
  <c r="AR31" i="8"/>
  <c r="AV30" i="8"/>
  <c r="AZ29" i="8" s="1"/>
  <c r="AS31" i="8"/>
  <c r="N47" i="9"/>
  <c r="P46" i="9"/>
  <c r="O46" i="9"/>
  <c r="Q46" i="9" s="1"/>
  <c r="AS42" i="8"/>
  <c r="AO85" i="8"/>
  <c r="N57" i="5"/>
  <c r="AT42" i="8" a="1"/>
  <c r="AT31" i="8" a="1"/>
  <c r="AT42" i="8" l="1"/>
  <c r="AT31" i="8"/>
  <c r="AU31" i="8"/>
  <c r="AU42" i="8"/>
  <c r="AW41" i="8" s="1"/>
  <c r="BE29" i="8"/>
  <c r="BC29" i="8" s="1"/>
  <c r="AV31" i="8"/>
  <c r="AR32" i="8"/>
  <c r="AS32" i="8"/>
  <c r="N48" i="9"/>
  <c r="P47" i="9"/>
  <c r="O47" i="9"/>
  <c r="Q47" i="9" s="1"/>
  <c r="AO87" i="8"/>
  <c r="AP75" i="8" s="1"/>
  <c r="N58" i="5"/>
  <c r="O57" i="5"/>
  <c r="Q57" i="5" s="1" a="1"/>
  <c r="Q57" i="5" s="1"/>
  <c r="AT32" i="8" a="1"/>
  <c r="AT32" i="8" l="1"/>
  <c r="AU32" i="8"/>
  <c r="AW31" i="8" s="1"/>
  <c r="BB31" i="8" s="1"/>
  <c r="U57" i="5"/>
  <c r="AP81" i="8"/>
  <c r="BA81" i="8" s="1"/>
  <c r="BD31" i="8"/>
  <c r="BA75" i="8"/>
  <c r="AV32" i="8"/>
  <c r="AZ31" i="8" s="1"/>
  <c r="AR33" i="8"/>
  <c r="AS33" i="8"/>
  <c r="N59" i="5"/>
  <c r="O55" i="5"/>
  <c r="Q55" i="5" s="1" a="1"/>
  <c r="Q55" i="5" s="1"/>
  <c r="O56" i="5"/>
  <c r="Q56" i="5" s="1" a="1"/>
  <c r="Q56" i="5" s="1"/>
  <c r="O42" i="9"/>
  <c r="N49" i="9"/>
  <c r="P48" i="9"/>
  <c r="O48" i="9"/>
  <c r="Q48" i="9" s="1"/>
  <c r="O40" i="9"/>
  <c r="O41" i="9"/>
  <c r="O39" i="9"/>
  <c r="AP85" i="8"/>
  <c r="AP87" i="8"/>
  <c r="AO89" i="8"/>
  <c r="AP71" i="8"/>
  <c r="AP73" i="8"/>
  <c r="AP83" i="8"/>
  <c r="AP77" i="8"/>
  <c r="AP79" i="8"/>
  <c r="AP69" i="8"/>
  <c r="O53" i="5"/>
  <c r="Q53" i="5" s="1" a="1"/>
  <c r="Q53" i="5" s="1"/>
  <c r="O58" i="5"/>
  <c r="Q58" i="5" s="1" a="1"/>
  <c r="Q58" i="5" s="1"/>
  <c r="O50" i="5"/>
  <c r="O52" i="5"/>
  <c r="Q52" i="5" s="1" a="1"/>
  <c r="Q52" i="5" s="1"/>
  <c r="O51" i="5"/>
  <c r="Q51" i="5" s="1" a="1"/>
  <c r="Q51" i="5" s="1"/>
  <c r="O49" i="5"/>
  <c r="P49" i="5" s="1"/>
  <c r="P50" i="5" s="1"/>
  <c r="O54" i="5"/>
  <c r="Q54" i="5" s="1" a="1"/>
  <c r="Q54" i="5" s="1"/>
  <c r="AT33" i="8" a="1"/>
  <c r="AT33" i="8" l="1"/>
  <c r="AU33" i="8"/>
  <c r="U58" i="5"/>
  <c r="P42" i="9"/>
  <c r="Q42" i="9" s="1"/>
  <c r="AQ81" i="8"/>
  <c r="AY81" i="8"/>
  <c r="AQ75" i="8"/>
  <c r="AY75" i="8" s="1"/>
  <c r="AQ85" i="8"/>
  <c r="AY85" i="8" s="1"/>
  <c r="AQ79" i="8"/>
  <c r="AY79" i="8" s="1"/>
  <c r="AQ83" i="8"/>
  <c r="AY83" i="8" s="1"/>
  <c r="AQ73" i="8"/>
  <c r="AY73" i="8" s="1"/>
  <c r="AQ77" i="8"/>
  <c r="AY77" i="8" s="1"/>
  <c r="AQ69" i="8"/>
  <c r="AQ71" i="8"/>
  <c r="AY71" i="8" s="1"/>
  <c r="AQ87" i="8"/>
  <c r="AS87" i="8" s="1"/>
  <c r="AT87" i="8" s="1" a="1"/>
  <c r="AT87" i="8" s="1"/>
  <c r="BE31" i="8"/>
  <c r="BC31" i="8" s="1"/>
  <c r="BA73" i="8"/>
  <c r="BA71" i="8"/>
  <c r="BA69" i="8"/>
  <c r="BA83" i="8"/>
  <c r="BA77" i="8"/>
  <c r="BA87" i="8"/>
  <c r="BA79" i="8"/>
  <c r="BA85" i="8"/>
  <c r="AV33" i="8"/>
  <c r="AR34" i="8"/>
  <c r="AS34" i="8"/>
  <c r="U56" i="5"/>
  <c r="U49" i="5"/>
  <c r="U55" i="5"/>
  <c r="U53" i="5"/>
  <c r="U54" i="5"/>
  <c r="N50" i="9"/>
  <c r="U52" i="5"/>
  <c r="U51" i="5"/>
  <c r="U50" i="5"/>
  <c r="P39" i="9"/>
  <c r="Q39" i="9" s="1"/>
  <c r="P40" i="9"/>
  <c r="Q40" i="9" s="1"/>
  <c r="P41" i="9"/>
  <c r="Q41" i="9" s="1"/>
  <c r="AO91" i="8"/>
  <c r="AS57" i="8"/>
  <c r="N60" i="5"/>
  <c r="AT57" i="8" a="1"/>
  <c r="Q49" i="5" a="1"/>
  <c r="Q50" i="5" a="1"/>
  <c r="AT34" i="8" a="1"/>
  <c r="AT57" i="8" l="1"/>
  <c r="AT34" i="8"/>
  <c r="Q49" i="5"/>
  <c r="Q50" i="5"/>
  <c r="R50" i="5" s="1"/>
  <c r="AU57" i="8"/>
  <c r="AU34" i="8"/>
  <c r="AW33" i="8" s="1"/>
  <c r="BD33" i="8" s="1"/>
  <c r="AU87" i="8"/>
  <c r="R56" i="5"/>
  <c r="R55" i="5"/>
  <c r="R58" i="5"/>
  <c r="R51" i="5"/>
  <c r="R53" i="5"/>
  <c r="R52" i="5"/>
  <c r="R54" i="5"/>
  <c r="R57" i="5"/>
  <c r="R49" i="5"/>
  <c r="AY69" i="8"/>
  <c r="AY87" i="8"/>
  <c r="AQ70" i="8"/>
  <c r="AR35" i="8"/>
  <c r="AV34" i="8"/>
  <c r="AS35" i="8"/>
  <c r="N51" i="9"/>
  <c r="AO93" i="8"/>
  <c r="AS58" i="8"/>
  <c r="N61" i="5"/>
  <c r="P61" i="5" s="1"/>
  <c r="AT35" i="8" a="1"/>
  <c r="AT58" i="8" a="1"/>
  <c r="AZ33" i="8" l="1"/>
  <c r="AT58" i="8"/>
  <c r="AT35" i="8"/>
  <c r="BB33" i="8"/>
  <c r="AU35" i="8"/>
  <c r="AU58" i="8"/>
  <c r="AW57" i="8" s="1"/>
  <c r="AQ72" i="8"/>
  <c r="BE33" i="8"/>
  <c r="BC33" i="8" s="1"/>
  <c r="AS37" i="8"/>
  <c r="AV35" i="8"/>
  <c r="AR36" i="8"/>
  <c r="AR37" i="8" s="1"/>
  <c r="AS36" i="8"/>
  <c r="N52" i="9"/>
  <c r="AO95" i="8"/>
  <c r="AS59" i="8"/>
  <c r="N62" i="5"/>
  <c r="P62" i="5" s="1"/>
  <c r="AT36" i="8" a="1"/>
  <c r="AT37" i="8" a="1"/>
  <c r="AT59" i="8" a="1"/>
  <c r="AT59" i="8" l="1"/>
  <c r="AT37" i="8"/>
  <c r="AT36" i="8"/>
  <c r="AU36" i="8" s="1"/>
  <c r="AW35" i="8" s="1"/>
  <c r="AU37" i="8"/>
  <c r="AU59" i="8"/>
  <c r="AQ74" i="8"/>
  <c r="AS49" i="8"/>
  <c r="AS38" i="8"/>
  <c r="AV37" i="8"/>
  <c r="AR38" i="8"/>
  <c r="AV36" i="8"/>
  <c r="N53" i="9"/>
  <c r="AO97" i="8"/>
  <c r="AS60" i="8"/>
  <c r="N63" i="5"/>
  <c r="P63" i="5" s="1"/>
  <c r="AT49" i="8" a="1"/>
  <c r="AT38" i="8" a="1"/>
  <c r="AT60" i="8" a="1"/>
  <c r="AT60" i="8" l="1"/>
  <c r="AT49" i="8"/>
  <c r="AT38" i="8"/>
  <c r="BB35" i="8"/>
  <c r="BD35" i="8"/>
  <c r="AZ35" i="8"/>
  <c r="AU38" i="8"/>
  <c r="AW37" i="8" s="1"/>
  <c r="BD37" i="8" s="1"/>
  <c r="AU49" i="8"/>
  <c r="AU60" i="8"/>
  <c r="AW59" i="8" s="1"/>
  <c r="AQ76" i="8"/>
  <c r="AQ78" i="8"/>
  <c r="AV38" i="8"/>
  <c r="AR39" i="8"/>
  <c r="BE35" i="8"/>
  <c r="BC35" i="8" s="1"/>
  <c r="BB37" i="8"/>
  <c r="AS50" i="8"/>
  <c r="AS51" i="8"/>
  <c r="O53" i="9"/>
  <c r="Q53" i="9" s="1"/>
  <c r="P53" i="9"/>
  <c r="N54" i="9"/>
  <c r="AO99" i="8"/>
  <c r="AS61" i="8"/>
  <c r="N64" i="5"/>
  <c r="P64" i="5" s="1"/>
  <c r="AT51" i="8" a="1"/>
  <c r="AT61" i="8" a="1"/>
  <c r="AT50" i="8" a="1"/>
  <c r="AT61" i="8" l="1"/>
  <c r="AZ37" i="8"/>
  <c r="AT50" i="8"/>
  <c r="AT51" i="8"/>
  <c r="AU50" i="8"/>
  <c r="AW49" i="8" s="1"/>
  <c r="AU51" i="8"/>
  <c r="AU61" i="8"/>
  <c r="AQ80" i="8"/>
  <c r="AQ82" i="8"/>
  <c r="AV39" i="8"/>
  <c r="BD39" i="8"/>
  <c r="AR40" i="8"/>
  <c r="BE37" i="8"/>
  <c r="BC37" i="8" s="1"/>
  <c r="AS53" i="8"/>
  <c r="N55" i="9"/>
  <c r="P54" i="9"/>
  <c r="O54" i="9"/>
  <c r="Q54" i="9" s="1"/>
  <c r="AO101" i="8"/>
  <c r="AS62" i="8"/>
  <c r="N65" i="5"/>
  <c r="P65" i="5" s="1"/>
  <c r="AT62" i="8" a="1"/>
  <c r="AT53" i="8" a="1"/>
  <c r="AT62" i="8" l="1"/>
  <c r="AT53" i="8"/>
  <c r="AU53" i="8"/>
  <c r="AU62" i="8"/>
  <c r="AW61" i="8" s="1"/>
  <c r="AQ84" i="8"/>
  <c r="AQ86" i="8" s="1"/>
  <c r="AQ88" i="8" s="1"/>
  <c r="AS88" i="8" s="1"/>
  <c r="AT88" i="8" s="1" a="1"/>
  <c r="AT88" i="8" s="1"/>
  <c r="AV40" i="8"/>
  <c r="AR41" i="8"/>
  <c r="BB39" i="8"/>
  <c r="AZ39" i="8"/>
  <c r="BE39" i="8" s="1"/>
  <c r="BC39" i="8" s="1"/>
  <c r="AS52" i="8"/>
  <c r="O55" i="9"/>
  <c r="Q55" i="9" s="1"/>
  <c r="P55" i="9"/>
  <c r="N56" i="9"/>
  <c r="AO103" i="8"/>
  <c r="AS63" i="8"/>
  <c r="N66" i="5"/>
  <c r="P66" i="5" s="1"/>
  <c r="AT63" i="8" a="1"/>
  <c r="AT52" i="8" a="1"/>
  <c r="AT63" i="8" l="1"/>
  <c r="AT52" i="8"/>
  <c r="AU63" i="8"/>
  <c r="AU52" i="8"/>
  <c r="AW51" i="8" s="1"/>
  <c r="AU88" i="8"/>
  <c r="AW87" i="8" s="1"/>
  <c r="AV41" i="8"/>
  <c r="BD41" i="8"/>
  <c r="AR42" i="8"/>
  <c r="AS55" i="8"/>
  <c r="AS54" i="8"/>
  <c r="N57" i="9"/>
  <c r="O56" i="9"/>
  <c r="Q56" i="9" s="1"/>
  <c r="P56" i="9"/>
  <c r="AO105" i="8"/>
  <c r="AS64" i="8"/>
  <c r="N67" i="5"/>
  <c r="P67" i="5" s="1"/>
  <c r="AT54" i="8" a="1"/>
  <c r="AT55" i="8" a="1"/>
  <c r="AT64" i="8" a="1"/>
  <c r="AT64" i="8" l="1"/>
  <c r="AT54" i="8"/>
  <c r="AT55" i="8"/>
  <c r="AU54" i="8"/>
  <c r="AW53" i="8" s="1"/>
  <c r="AU64" i="8"/>
  <c r="AW63" i="8" s="1"/>
  <c r="AU55" i="8"/>
  <c r="AV42" i="8"/>
  <c r="AR43" i="8"/>
  <c r="BB41" i="8"/>
  <c r="AZ41" i="8"/>
  <c r="BE41" i="8" s="1"/>
  <c r="BC41" i="8" s="1"/>
  <c r="AS56" i="8"/>
  <c r="N58" i="9"/>
  <c r="N59" i="9" s="1"/>
  <c r="O57" i="9"/>
  <c r="Q57" i="9" s="1"/>
  <c r="P57" i="9"/>
  <c r="AO107" i="8"/>
  <c r="AP89" i="8" s="1"/>
  <c r="AS69" i="8"/>
  <c r="AT69" i="8" s="1" a="1"/>
  <c r="N68" i="5"/>
  <c r="P68" i="5" s="1"/>
  <c r="AT56" i="8" a="1"/>
  <c r="AT69" i="8" l="1"/>
  <c r="AT56" i="8"/>
  <c r="AU69" i="8"/>
  <c r="AU56" i="8"/>
  <c r="AW55" i="8" s="1"/>
  <c r="AP101" i="8"/>
  <c r="BA101" i="8" s="1"/>
  <c r="AP105" i="8"/>
  <c r="BA105" i="8" s="1"/>
  <c r="AP97" i="8"/>
  <c r="BA97" i="8" s="1"/>
  <c r="AV43" i="8"/>
  <c r="BD43" i="8"/>
  <c r="AR44" i="8"/>
  <c r="AQ89" i="8"/>
  <c r="AY89" i="8" s="1"/>
  <c r="BA89" i="8"/>
  <c r="AP93" i="8"/>
  <c r="N60" i="9"/>
  <c r="O61" i="5"/>
  <c r="Q61" i="5" s="1" a="1"/>
  <c r="Q61" i="5" s="1"/>
  <c r="O66" i="5"/>
  <c r="Q66" i="5" s="1" a="1"/>
  <c r="Q66" i="5" s="1"/>
  <c r="O64" i="5"/>
  <c r="Q64" i="5" s="1" a="1"/>
  <c r="Q64" i="5" s="1"/>
  <c r="O63" i="5"/>
  <c r="Q63" i="5" s="1" a="1"/>
  <c r="Q63" i="5" s="1"/>
  <c r="O67" i="5"/>
  <c r="Q67" i="5" s="1" a="1"/>
  <c r="Q67" i="5" s="1"/>
  <c r="O62" i="5"/>
  <c r="Q62" i="5" s="1" a="1"/>
  <c r="Q62" i="5" s="1"/>
  <c r="O60" i="5"/>
  <c r="O65" i="5"/>
  <c r="Q65" i="5" s="1" a="1"/>
  <c r="Q65" i="5" s="1"/>
  <c r="O52" i="9"/>
  <c r="P58" i="9"/>
  <c r="O58" i="9"/>
  <c r="Q58" i="9" s="1"/>
  <c r="O49" i="9"/>
  <c r="O51" i="9"/>
  <c r="O50" i="9"/>
  <c r="AP107" i="8"/>
  <c r="AO109" i="8"/>
  <c r="AP99" i="8"/>
  <c r="AP103" i="8"/>
  <c r="AP95" i="8"/>
  <c r="AP91" i="8"/>
  <c r="O68" i="5"/>
  <c r="Q68" i="5" s="1" a="1"/>
  <c r="Q68" i="5" s="1"/>
  <c r="N69" i="5"/>
  <c r="O59" i="5"/>
  <c r="P59" i="5" l="1"/>
  <c r="P60" i="5" s="1"/>
  <c r="U68" i="5"/>
  <c r="AQ90" i="8"/>
  <c r="AQ105" i="8"/>
  <c r="AQ101" i="8"/>
  <c r="AQ97" i="8"/>
  <c r="AY97" i="8" s="1"/>
  <c r="AY105" i="8"/>
  <c r="AY101" i="8"/>
  <c r="AV44" i="8"/>
  <c r="AR45" i="8"/>
  <c r="BB43" i="8"/>
  <c r="AZ43" i="8"/>
  <c r="BE43" i="8" s="1"/>
  <c r="BC43" i="8" s="1"/>
  <c r="AQ93" i="8"/>
  <c r="AY93" i="8" s="1"/>
  <c r="AQ91" i="8"/>
  <c r="AY91" i="8" s="1"/>
  <c r="AQ99" i="8"/>
  <c r="AY99" i="8" s="1"/>
  <c r="AQ107" i="8"/>
  <c r="AY107" i="8" s="1"/>
  <c r="AQ95" i="8"/>
  <c r="AY95" i="8" s="1"/>
  <c r="AQ103" i="8"/>
  <c r="AY103" i="8" s="1"/>
  <c r="BA93" i="8"/>
  <c r="BA91" i="8"/>
  <c r="BA99" i="8"/>
  <c r="BA103" i="8"/>
  <c r="BA107" i="8"/>
  <c r="BA95" i="8"/>
  <c r="AS70" i="8"/>
  <c r="AT70" i="8" s="1" a="1"/>
  <c r="N61" i="9"/>
  <c r="U59" i="5"/>
  <c r="U63" i="5"/>
  <c r="R63" i="5"/>
  <c r="U66" i="5"/>
  <c r="R66" i="5"/>
  <c r="U62" i="5"/>
  <c r="R62" i="5"/>
  <c r="U61" i="5"/>
  <c r="R61" i="5"/>
  <c r="U60" i="5"/>
  <c r="R68" i="5"/>
  <c r="U67" i="5"/>
  <c r="R67" i="5"/>
  <c r="U64" i="5"/>
  <c r="R64" i="5"/>
  <c r="U65" i="5"/>
  <c r="R65" i="5"/>
  <c r="P49" i="9"/>
  <c r="Q49" i="9" s="1"/>
  <c r="P50" i="9"/>
  <c r="Q50" i="9" s="1"/>
  <c r="P51" i="9"/>
  <c r="Q51" i="9" s="1"/>
  <c r="P52" i="9"/>
  <c r="Q52" i="9" s="1"/>
  <c r="AO111" i="8"/>
  <c r="AS71" i="8"/>
  <c r="N70" i="5"/>
  <c r="P70" i="5" s="1"/>
  <c r="AT71" i="8" a="1"/>
  <c r="Q60" i="5" a="1"/>
  <c r="Q60" i="5" l="1"/>
  <c r="R60" i="5" s="1"/>
  <c r="AT70" i="8"/>
  <c r="AT71" i="8"/>
  <c r="AU71" i="8"/>
  <c r="AU70" i="8"/>
  <c r="AW69" i="8" s="1"/>
  <c r="AQ92" i="8"/>
  <c r="AQ94" i="8" s="1"/>
  <c r="AQ96" i="8"/>
  <c r="AQ98" i="8"/>
  <c r="AQ100" i="8" s="1"/>
  <c r="AV45" i="8"/>
  <c r="BD45" i="8"/>
  <c r="AR46" i="8"/>
  <c r="BB45" i="8" s="1"/>
  <c r="N62" i="9"/>
  <c r="AO113" i="8"/>
  <c r="N71" i="5"/>
  <c r="P71" i="5" s="1"/>
  <c r="Q59" i="5" a="1"/>
  <c r="Q59" i="5" l="1"/>
  <c r="R59" i="5" s="1"/>
  <c r="AQ102" i="8"/>
  <c r="AQ104" i="8"/>
  <c r="AQ106" i="8" s="1"/>
  <c r="AQ108" i="8" s="1"/>
  <c r="AV46" i="8"/>
  <c r="AR47" i="8"/>
  <c r="AZ45" i="8"/>
  <c r="BE45" i="8" s="1"/>
  <c r="BC45" i="8" s="1"/>
  <c r="AS72" i="8"/>
  <c r="AT72" i="8" s="1" a="1"/>
  <c r="N63" i="9"/>
  <c r="AO115" i="8"/>
  <c r="AS73" i="8"/>
  <c r="N72" i="5"/>
  <c r="P72" i="5" s="1"/>
  <c r="AT73" i="8" a="1"/>
  <c r="AT73" i="8" l="1"/>
  <c r="AU73" i="8" s="1"/>
  <c r="AT72" i="8"/>
  <c r="AU72" i="8"/>
  <c r="AW71" i="8" s="1"/>
  <c r="BD47" i="8"/>
  <c r="AV47" i="8"/>
  <c r="AR48" i="8"/>
  <c r="N64" i="9"/>
  <c r="P63" i="9"/>
  <c r="O63" i="9"/>
  <c r="Q63" i="9" s="1"/>
  <c r="AO117" i="8"/>
  <c r="N73" i="5"/>
  <c r="P73" i="5" s="1"/>
  <c r="BB47" i="8" l="1"/>
  <c r="AV48" i="8"/>
  <c r="AZ47" i="8" s="1"/>
  <c r="BE47" i="8" s="1"/>
  <c r="BC47" i="8" s="1"/>
  <c r="AR49" i="8"/>
  <c r="AS74" i="8"/>
  <c r="O64" i="9"/>
  <c r="Q64" i="9" s="1"/>
  <c r="P64" i="9"/>
  <c r="N65" i="9"/>
  <c r="AO119" i="8"/>
  <c r="AS75" i="8"/>
  <c r="N74" i="5"/>
  <c r="P74" i="5" s="1"/>
  <c r="AT74" i="8" a="1"/>
  <c r="AT75" i="8" a="1"/>
  <c r="AT75" i="8" l="1"/>
  <c r="AT74" i="8"/>
  <c r="AU75" i="8"/>
  <c r="AU74" i="8"/>
  <c r="AW73" i="8" s="1"/>
  <c r="BD49" i="8"/>
  <c r="AV49" i="8"/>
  <c r="AR50" i="8"/>
  <c r="O65" i="9"/>
  <c r="Q65" i="9" s="1"/>
  <c r="N66" i="9"/>
  <c r="P65" i="9"/>
  <c r="AO121" i="8"/>
  <c r="N75" i="5"/>
  <c r="P75" i="5" s="1"/>
  <c r="AV50" i="8" l="1"/>
  <c r="AR51" i="8"/>
  <c r="AR52" i="8" s="1"/>
  <c r="BB49" i="8"/>
  <c r="AZ49" i="8"/>
  <c r="BE49" i="8" s="1"/>
  <c r="BC49" i="8" s="1"/>
  <c r="AS76" i="8"/>
  <c r="P66" i="9"/>
  <c r="N67" i="9"/>
  <c r="O66" i="9"/>
  <c r="Q66" i="9" s="1"/>
  <c r="AO123" i="8"/>
  <c r="AS77" i="8"/>
  <c r="AT77" i="8" s="1" a="1"/>
  <c r="AT77" i="8" s="1"/>
  <c r="N76" i="5"/>
  <c r="P76" i="5" s="1"/>
  <c r="AT76" i="8" a="1"/>
  <c r="AT76" i="8" l="1"/>
  <c r="AU77" i="8"/>
  <c r="AU76" i="8"/>
  <c r="AW75" i="8" s="1"/>
  <c r="BB51" i="8"/>
  <c r="AV52" i="8"/>
  <c r="AR53" i="8"/>
  <c r="AV51" i="8"/>
  <c r="BD51" i="8"/>
  <c r="O67" i="9"/>
  <c r="Q67" i="9" s="1"/>
  <c r="N68" i="9"/>
  <c r="O61" i="9" s="1"/>
  <c r="P67" i="9"/>
  <c r="AO125" i="8"/>
  <c r="AS78" i="8"/>
  <c r="AT78" i="8" s="1" a="1"/>
  <c r="AT78" i="8" s="1"/>
  <c r="N77" i="5"/>
  <c r="P77" i="5" s="1"/>
  <c r="AU78" i="8" l="1"/>
  <c r="AW77" i="8" s="1"/>
  <c r="BD53" i="8"/>
  <c r="AV53" i="8"/>
  <c r="AZ51" i="8"/>
  <c r="BE51" i="8" s="1"/>
  <c r="BC51" i="8" s="1"/>
  <c r="AR54" i="8"/>
  <c r="O59" i="9"/>
  <c r="P59" i="9" s="1"/>
  <c r="Q59" i="9" s="1"/>
  <c r="N69" i="9"/>
  <c r="P68" i="9"/>
  <c r="O68" i="9"/>
  <c r="Q68" i="9" s="1"/>
  <c r="O62" i="9"/>
  <c r="O60" i="9"/>
  <c r="AO127" i="8"/>
  <c r="AO129" i="8" s="1"/>
  <c r="AO131" i="8" s="1"/>
  <c r="AO133" i="8" s="1"/>
  <c r="AO135" i="8" s="1"/>
  <c r="AO137" i="8" s="1"/>
  <c r="AS79" i="8"/>
  <c r="AT79" i="8" s="1" a="1"/>
  <c r="AT79" i="8" s="1"/>
  <c r="N78" i="5"/>
  <c r="N79" i="5" l="1"/>
  <c r="P78" i="5"/>
  <c r="AU79" i="8"/>
  <c r="AP119" i="8"/>
  <c r="AP121" i="8"/>
  <c r="AP123" i="8"/>
  <c r="AP125" i="8"/>
  <c r="BB53" i="8"/>
  <c r="AV54" i="8"/>
  <c r="AZ53" i="8" s="1"/>
  <c r="BE53" i="8" s="1"/>
  <c r="BC53" i="8" s="1"/>
  <c r="AR55" i="8"/>
  <c r="P62" i="9"/>
  <c r="Q62" i="9" s="1"/>
  <c r="AO139" i="8"/>
  <c r="AP137" i="8"/>
  <c r="AP129" i="8"/>
  <c r="AP131" i="8"/>
  <c r="AP133" i="8"/>
  <c r="AP135" i="8"/>
  <c r="P60" i="9"/>
  <c r="Q60" i="9" s="1"/>
  <c r="P61" i="9"/>
  <c r="Q61" i="9" s="1"/>
  <c r="O69" i="5"/>
  <c r="N70" i="9"/>
  <c r="O77" i="5"/>
  <c r="Q77" i="5" s="1" a="1"/>
  <c r="Q77" i="5" s="1"/>
  <c r="U77" i="5"/>
  <c r="O71" i="5"/>
  <c r="Q71" i="5" s="1" a="1"/>
  <c r="Q71" i="5" s="1"/>
  <c r="O76" i="5"/>
  <c r="Q76" i="5" s="1" a="1"/>
  <c r="Q76" i="5" s="1"/>
  <c r="O72" i="5"/>
  <c r="Q72" i="5" s="1" a="1"/>
  <c r="Q72" i="5" s="1"/>
  <c r="O75" i="5"/>
  <c r="Q75" i="5" s="1" a="1"/>
  <c r="Q75" i="5" s="1"/>
  <c r="O73" i="5"/>
  <c r="Q73" i="5" s="1" a="1"/>
  <c r="Q73" i="5" s="1"/>
  <c r="O74" i="5"/>
  <c r="Q74" i="5" s="1" a="1"/>
  <c r="Q74" i="5" s="1"/>
  <c r="AP127" i="8"/>
  <c r="AP109" i="8"/>
  <c r="AP117" i="8"/>
  <c r="AP113" i="8"/>
  <c r="AP111" i="8"/>
  <c r="AP115" i="8"/>
  <c r="AS80" i="8"/>
  <c r="AT80" i="8" s="1" a="1"/>
  <c r="AT80" i="8" s="1"/>
  <c r="O78" i="5"/>
  <c r="Q78" i="5" s="1" a="1"/>
  <c r="Q78" i="5" s="1"/>
  <c r="R78" i="5"/>
  <c r="O70" i="5"/>
  <c r="Q70" i="5" s="1" a="1"/>
  <c r="Q70" i="5" s="1"/>
  <c r="P69" i="5" l="1"/>
  <c r="N80" i="5"/>
  <c r="AU80" i="8"/>
  <c r="AW79" i="8" s="1"/>
  <c r="R77" i="5"/>
  <c r="U78" i="5"/>
  <c r="U69" i="5"/>
  <c r="AQ125" i="8"/>
  <c r="AS125" i="8" s="1"/>
  <c r="AT125" i="8" s="1" a="1"/>
  <c r="AT125" i="8" s="1"/>
  <c r="BA123" i="8"/>
  <c r="AQ123" i="8"/>
  <c r="AY123" i="8" s="1"/>
  <c r="AY125" i="8"/>
  <c r="BA121" i="8"/>
  <c r="AQ121" i="8"/>
  <c r="AY121" i="8" s="1"/>
  <c r="BA119" i="8"/>
  <c r="AQ119" i="8"/>
  <c r="AY119" i="8" s="1"/>
  <c r="BA125" i="8"/>
  <c r="BD55" i="8"/>
  <c r="AV55" i="8"/>
  <c r="AR56" i="8"/>
  <c r="AQ131" i="8"/>
  <c r="AY131" i="8" s="1"/>
  <c r="AQ129" i="8"/>
  <c r="AY129" i="8" s="1"/>
  <c r="AQ111" i="8"/>
  <c r="AY111" i="8" s="1"/>
  <c r="AQ115" i="8"/>
  <c r="AY115" i="8" s="1"/>
  <c r="AQ113" i="8"/>
  <c r="AY113" i="8" s="1"/>
  <c r="AQ109" i="8"/>
  <c r="AY109" i="8" s="1"/>
  <c r="AQ127" i="8"/>
  <c r="AS127" i="8" s="1"/>
  <c r="AT127" i="8" s="1" a="1"/>
  <c r="AT127" i="8" s="1"/>
  <c r="AQ117" i="8"/>
  <c r="AY117" i="8" s="1"/>
  <c r="AQ135" i="8"/>
  <c r="AY135" i="8" s="1"/>
  <c r="AQ137" i="8"/>
  <c r="AY137" i="8" s="1"/>
  <c r="AQ133" i="8"/>
  <c r="AY133" i="8" s="1"/>
  <c r="BA129" i="8"/>
  <c r="BA131" i="8"/>
  <c r="BA115" i="8"/>
  <c r="BA135" i="8"/>
  <c r="BA137" i="8"/>
  <c r="BA133" i="8"/>
  <c r="BA111" i="8"/>
  <c r="BA113" i="8"/>
  <c r="BA109" i="8"/>
  <c r="BA117" i="8"/>
  <c r="BA127" i="8"/>
  <c r="AO141" i="8"/>
  <c r="AP139" i="8"/>
  <c r="N71" i="9"/>
  <c r="U75" i="5"/>
  <c r="R75" i="5"/>
  <c r="U71" i="5"/>
  <c r="R71" i="5"/>
  <c r="R70" i="5"/>
  <c r="U70" i="5"/>
  <c r="U73" i="5"/>
  <c r="R73" i="5"/>
  <c r="U72" i="5"/>
  <c r="R72" i="5"/>
  <c r="U76" i="5"/>
  <c r="R76" i="5"/>
  <c r="U74" i="5"/>
  <c r="R74" i="5"/>
  <c r="AS81" i="8"/>
  <c r="AT81" i="8" s="1" a="1"/>
  <c r="AT81" i="8" s="1"/>
  <c r="Q69" i="5" a="1"/>
  <c r="Q69" i="5" l="1"/>
  <c r="R69" i="5" s="1"/>
  <c r="AU125" i="8"/>
  <c r="AU127" i="8"/>
  <c r="AU81" i="8"/>
  <c r="AY127" i="8"/>
  <c r="AR57" i="8"/>
  <c r="BB55" i="8"/>
  <c r="AV56" i="8"/>
  <c r="AZ55" i="8" s="1"/>
  <c r="BE55" i="8" s="1"/>
  <c r="BC55" i="8" s="1"/>
  <c r="AQ110" i="8"/>
  <c r="AQ139" i="8"/>
  <c r="AS139" i="8" s="1"/>
  <c r="AT139" i="8" s="1" a="1"/>
  <c r="AT139" i="8" s="1"/>
  <c r="BA139" i="8"/>
  <c r="AO143" i="8"/>
  <c r="AP141" i="8"/>
  <c r="N72" i="9"/>
  <c r="N81" i="5"/>
  <c r="P81" i="5" s="1"/>
  <c r="AU139" i="8" l="1"/>
  <c r="AY139" i="8"/>
  <c r="AV57" i="8"/>
  <c r="AR58" i="8"/>
  <c r="BB57" i="8" s="1"/>
  <c r="BD57" i="8"/>
  <c r="AQ112" i="8"/>
  <c r="AQ141" i="8"/>
  <c r="AS141" i="8" s="1"/>
  <c r="AT141" i="8" s="1" a="1"/>
  <c r="AT141" i="8" s="1"/>
  <c r="BA141" i="8"/>
  <c r="AO145" i="8"/>
  <c r="AP143" i="8"/>
  <c r="AS82" i="8"/>
  <c r="AT82" i="8" s="1" a="1"/>
  <c r="AT82" i="8" s="1"/>
  <c r="N73" i="9"/>
  <c r="N82" i="5"/>
  <c r="P82" i="5" s="1"/>
  <c r="AU82" i="8" l="1"/>
  <c r="AW81" i="8" s="1"/>
  <c r="AU141" i="8"/>
  <c r="AQ114" i="8"/>
  <c r="AQ116" i="8" s="1"/>
  <c r="AV58" i="8"/>
  <c r="AZ57" i="8" s="1"/>
  <c r="BE57" i="8" s="1"/>
  <c r="BC57" i="8" s="1"/>
  <c r="AR59" i="8"/>
  <c r="AY141" i="8"/>
  <c r="AQ118" i="8"/>
  <c r="AQ143" i="8"/>
  <c r="AS143" i="8" s="1"/>
  <c r="AT143" i="8" s="1" a="1"/>
  <c r="AT143" i="8" s="1"/>
  <c r="BA143" i="8"/>
  <c r="AO147" i="8"/>
  <c r="AP145" i="8"/>
  <c r="AS83" i="8"/>
  <c r="AT83" i="8" s="1" a="1"/>
  <c r="AT83" i="8" s="1"/>
  <c r="N74" i="9"/>
  <c r="N83" i="5"/>
  <c r="P83" i="5" s="1"/>
  <c r="AU83" i="8" l="1"/>
  <c r="AU143" i="8"/>
  <c r="AQ120" i="8"/>
  <c r="AQ122" i="8" s="1"/>
  <c r="AQ124" i="8" s="1"/>
  <c r="AV59" i="8"/>
  <c r="AR60" i="8"/>
  <c r="BB59" i="8" s="1"/>
  <c r="BD59" i="8"/>
  <c r="AY143" i="8"/>
  <c r="AQ145" i="8"/>
  <c r="AS145" i="8" s="1"/>
  <c r="AT145" i="8" s="1" a="1"/>
  <c r="AT145" i="8" s="1"/>
  <c r="BA145" i="8"/>
  <c r="AP147" i="8"/>
  <c r="O74" i="9"/>
  <c r="Q74" i="9" s="1"/>
  <c r="P74" i="9"/>
  <c r="N75" i="9"/>
  <c r="AS84" i="8"/>
  <c r="AT84" i="8" s="1" a="1"/>
  <c r="AT84" i="8" s="1"/>
  <c r="AS86" i="8"/>
  <c r="AT86" i="8" s="1" a="1"/>
  <c r="AT86" i="8" s="1"/>
  <c r="N84" i="5"/>
  <c r="P84" i="5" s="1"/>
  <c r="AU145" i="8" l="1"/>
  <c r="AU86" i="8"/>
  <c r="AU84" i="8"/>
  <c r="AW83" i="8" s="1"/>
  <c r="AY145" i="8"/>
  <c r="AR61" i="8"/>
  <c r="AV60" i="8"/>
  <c r="AZ59" i="8"/>
  <c r="BE59" i="8" s="1"/>
  <c r="BC59" i="8" s="1"/>
  <c r="AQ126" i="8"/>
  <c r="AQ147" i="8"/>
  <c r="AS147" i="8" s="1"/>
  <c r="AT147" i="8" s="1" a="1"/>
  <c r="AT147" i="8" s="1"/>
  <c r="BA147" i="8"/>
  <c r="AS85" i="8"/>
  <c r="AT85" i="8" s="1" a="1"/>
  <c r="AT85" i="8" s="1"/>
  <c r="P75" i="9"/>
  <c r="N76" i="9"/>
  <c r="O75" i="9"/>
  <c r="Q75" i="9" s="1"/>
  <c r="N85" i="5"/>
  <c r="P85" i="5" s="1"/>
  <c r="AU147" i="8" l="1"/>
  <c r="AU85" i="8"/>
  <c r="AY147" i="8"/>
  <c r="AQ128" i="8"/>
  <c r="AS126" i="8"/>
  <c r="AT126" i="8" s="1" a="1"/>
  <c r="AT126" i="8" s="1"/>
  <c r="AQ130" i="8"/>
  <c r="AQ132" i="8" s="1"/>
  <c r="AQ134" i="8" s="1"/>
  <c r="AQ136" i="8" s="1"/>
  <c r="AQ138" i="8" s="1"/>
  <c r="AW85" i="8"/>
  <c r="AR62" i="8"/>
  <c r="AV61" i="8"/>
  <c r="BD61" i="8"/>
  <c r="AS89" i="8"/>
  <c r="AT89" i="8" s="1" a="1"/>
  <c r="AT89" i="8" s="1"/>
  <c r="N77" i="9"/>
  <c r="P76" i="9"/>
  <c r="O76" i="9"/>
  <c r="Q76" i="9" s="1"/>
  <c r="N86" i="5"/>
  <c r="P86" i="5" s="1"/>
  <c r="AU89" i="8" l="1"/>
  <c r="AU126" i="8"/>
  <c r="AW125" i="8" s="1"/>
  <c r="AQ140" i="8"/>
  <c r="AS140" i="8" s="1"/>
  <c r="AT140" i="8" s="1" a="1"/>
  <c r="AT140" i="8" s="1"/>
  <c r="AR63" i="8"/>
  <c r="AV62" i="8"/>
  <c r="AS128" i="8"/>
  <c r="AT128" i="8" s="1" a="1"/>
  <c r="AT128" i="8" s="1"/>
  <c r="AQ142" i="8"/>
  <c r="AS142" i="8" s="1"/>
  <c r="AT142" i="8" s="1" a="1"/>
  <c r="AT142" i="8" s="1"/>
  <c r="AZ61" i="8"/>
  <c r="BE61" i="8" s="1"/>
  <c r="BC61" i="8" s="1"/>
  <c r="BB61" i="8"/>
  <c r="AS90" i="8"/>
  <c r="AT90" i="8" s="1" a="1"/>
  <c r="AT90" i="8" s="1"/>
  <c r="P77" i="9"/>
  <c r="O77" i="9"/>
  <c r="Q77" i="9" s="1"/>
  <c r="N78" i="9"/>
  <c r="O73" i="9" s="1"/>
  <c r="AS91" i="8"/>
  <c r="AT91" i="8" s="1" a="1"/>
  <c r="AT91" i="8" s="1"/>
  <c r="N87" i="5"/>
  <c r="P87" i="5" s="1"/>
  <c r="AU90" i="8" l="1"/>
  <c r="AW89" i="8" s="1"/>
  <c r="AU140" i="8"/>
  <c r="AW139" i="8" s="1"/>
  <c r="AU91" i="8"/>
  <c r="AU142" i="8"/>
  <c r="AW141" i="8" s="1"/>
  <c r="AU128" i="8"/>
  <c r="AW127" i="8" s="1"/>
  <c r="AQ144" i="8"/>
  <c r="AS144" i="8" s="1"/>
  <c r="AT144" i="8" s="1" a="1"/>
  <c r="AT144" i="8" s="1"/>
  <c r="AR64" i="8"/>
  <c r="BB63" i="8" s="1"/>
  <c r="AV63" i="8"/>
  <c r="BD63" i="8"/>
  <c r="O72" i="9"/>
  <c r="O71" i="9"/>
  <c r="O70" i="9"/>
  <c r="O69" i="9"/>
  <c r="P69" i="9" s="1"/>
  <c r="Q69" i="9" s="1"/>
  <c r="N79" i="9"/>
  <c r="P78" i="9"/>
  <c r="O78" i="9"/>
  <c r="Q78" i="9" s="1"/>
  <c r="N88" i="5"/>
  <c r="P88" i="5" s="1"/>
  <c r="AU144" i="8" l="1"/>
  <c r="AW143" i="8" s="1"/>
  <c r="AV64" i="8"/>
  <c r="AZ63" i="8" s="1"/>
  <c r="BE63" i="8" s="1"/>
  <c r="BC63" i="8" s="1"/>
  <c r="AR65" i="8"/>
  <c r="AQ146" i="8"/>
  <c r="AS146" i="8" s="1"/>
  <c r="AT146" i="8" s="1" a="1"/>
  <c r="AT146" i="8" s="1"/>
  <c r="AS93" i="8"/>
  <c r="AT93" i="8" s="1" a="1"/>
  <c r="AT93" i="8" s="1"/>
  <c r="AS92" i="8"/>
  <c r="AT92" i="8" s="1" a="1"/>
  <c r="AT92" i="8" s="1"/>
  <c r="P73" i="9"/>
  <c r="Q73" i="9" s="1"/>
  <c r="P72" i="9"/>
  <c r="Q72" i="9" s="1"/>
  <c r="P71" i="9"/>
  <c r="Q71" i="9" s="1"/>
  <c r="P70" i="9"/>
  <c r="Q70" i="9" s="1"/>
  <c r="N80" i="9"/>
  <c r="N89" i="5"/>
  <c r="O86" i="5"/>
  <c r="Q86" i="5" s="1" a="1"/>
  <c r="Q86" i="5" s="1"/>
  <c r="O84" i="5"/>
  <c r="Q84" i="5" s="1" a="1"/>
  <c r="Q84" i="5" s="1"/>
  <c r="O83" i="5"/>
  <c r="Q83" i="5" s="1" a="1"/>
  <c r="Q83" i="5" s="1"/>
  <c r="O85" i="5"/>
  <c r="Q85" i="5" s="1" a="1"/>
  <c r="Q85" i="5" s="1"/>
  <c r="O81" i="5"/>
  <c r="Q81" i="5" s="1" a="1"/>
  <c r="Q81" i="5" s="1"/>
  <c r="O87" i="5"/>
  <c r="Q87" i="5" s="1" a="1"/>
  <c r="Q87" i="5" s="1"/>
  <c r="O82" i="5"/>
  <c r="Q82" i="5" s="1" a="1"/>
  <c r="Q82" i="5" s="1"/>
  <c r="O88" i="5"/>
  <c r="Q88" i="5" s="1" a="1"/>
  <c r="Q88" i="5" s="1"/>
  <c r="O80" i="5"/>
  <c r="O79" i="5"/>
  <c r="P79" i="5" l="1"/>
  <c r="P80" i="5" s="1"/>
  <c r="N90" i="5"/>
  <c r="AU92" i="8"/>
  <c r="AW91" i="8" s="1"/>
  <c r="AU93" i="8"/>
  <c r="AU146" i="8"/>
  <c r="AW145" i="8" s="1"/>
  <c r="U88" i="5"/>
  <c r="AQ148" i="8"/>
  <c r="AS148" i="8" s="1"/>
  <c r="AT148" i="8" s="1" a="1"/>
  <c r="AT148" i="8" s="1"/>
  <c r="AV65" i="8"/>
  <c r="BD65" i="8"/>
  <c r="AR66" i="8"/>
  <c r="BB65" i="8" s="1"/>
  <c r="AS94" i="8"/>
  <c r="AT94" i="8" s="1" a="1"/>
  <c r="AT94" i="8" s="1"/>
  <c r="N81" i="9"/>
  <c r="O90" i="5"/>
  <c r="O89" i="5"/>
  <c r="P89" i="5" s="1"/>
  <c r="U79" i="5"/>
  <c r="U82" i="5"/>
  <c r="R82" i="5"/>
  <c r="U85" i="5"/>
  <c r="R85" i="5"/>
  <c r="U80" i="5"/>
  <c r="R87" i="5"/>
  <c r="U87" i="5"/>
  <c r="R88" i="5"/>
  <c r="U81" i="5"/>
  <c r="R81" i="5"/>
  <c r="U83" i="5"/>
  <c r="R83" i="5"/>
  <c r="U84" i="5"/>
  <c r="R84" i="5"/>
  <c r="U86" i="5"/>
  <c r="R86" i="5"/>
  <c r="AS95" i="8"/>
  <c r="AT95" i="8" s="1" a="1"/>
  <c r="AT95" i="8" s="1"/>
  <c r="Q80" i="5" a="1"/>
  <c r="Q80" i="5" l="1"/>
  <c r="R80" i="5" s="1"/>
  <c r="N91" i="5"/>
  <c r="R91" i="5" s="1"/>
  <c r="P90" i="5"/>
  <c r="AU94" i="8"/>
  <c r="AW93" i="8" s="1"/>
  <c r="AU148" i="8"/>
  <c r="AW147" i="8" s="1"/>
  <c r="AU95" i="8"/>
  <c r="U89" i="5"/>
  <c r="U90" i="5"/>
  <c r="U91" i="5"/>
  <c r="AV66" i="8"/>
  <c r="AZ65" i="8" s="1"/>
  <c r="BE65" i="8" s="1"/>
  <c r="BC65" i="8" s="1"/>
  <c r="AR67" i="8"/>
  <c r="N82" i="9"/>
  <c r="V9" i="5"/>
  <c r="Q89" i="5" a="1"/>
  <c r="Q90" i="5" a="1"/>
  <c r="Q79" i="5" a="1"/>
  <c r="Q90" i="5" l="1"/>
  <c r="R90" i="5" s="1"/>
  <c r="Q89" i="5"/>
  <c r="R89" i="5" s="1"/>
  <c r="Q79" i="5"/>
  <c r="R79" i="5" s="1"/>
  <c r="S9" i="5" s="1"/>
  <c r="N92" i="5"/>
  <c r="P91" i="5"/>
  <c r="O91" i="5"/>
  <c r="Q91" i="5" s="1" a="1"/>
  <c r="Q91" i="5" s="1"/>
  <c r="C34" i="5"/>
  <c r="C36" i="5" s="1"/>
  <c r="E36" i="5" s="1"/>
  <c r="C33" i="5"/>
  <c r="C35" i="5" s="1"/>
  <c r="E35" i="5" s="1"/>
  <c r="AV67" i="8"/>
  <c r="BD67" i="8"/>
  <c r="AR68" i="8"/>
  <c r="AS96" i="8"/>
  <c r="AT96" i="8" s="1" a="1"/>
  <c r="AT96" i="8" s="1"/>
  <c r="N83" i="9"/>
  <c r="R92" i="5"/>
  <c r="U92" i="5"/>
  <c r="B34" i="5"/>
  <c r="B33" i="5"/>
  <c r="B35" i="5" s="1"/>
  <c r="D35" i="5" s="1"/>
  <c r="AS97" i="8"/>
  <c r="AT97" i="8" s="1" a="1"/>
  <c r="AT97" i="8" s="1"/>
  <c r="N93" i="5" l="1"/>
  <c r="P92" i="5"/>
  <c r="O92" i="5"/>
  <c r="Q92" i="5" s="1" a="1"/>
  <c r="Q92" i="5" s="1"/>
  <c r="AU96" i="8"/>
  <c r="AW95" i="8" s="1"/>
  <c r="AU97" i="8"/>
  <c r="B36" i="5"/>
  <c r="D36" i="5" s="1"/>
  <c r="AV68" i="8"/>
  <c r="AR69" i="8"/>
  <c r="BB67" i="8"/>
  <c r="AZ67" i="8"/>
  <c r="BE67" i="8" s="1"/>
  <c r="BC67" i="8" s="1"/>
  <c r="N84" i="9"/>
  <c r="N94" i="5" l="1"/>
  <c r="P93" i="5"/>
  <c r="O93" i="5"/>
  <c r="Q93" i="5" s="1" a="1"/>
  <c r="Q93" i="5" s="1"/>
  <c r="U93" i="5"/>
  <c r="R93" i="5"/>
  <c r="AV69" i="8"/>
  <c r="BD69" i="8"/>
  <c r="AR70" i="8"/>
  <c r="AS98" i="8"/>
  <c r="AT98" i="8" s="1" a="1"/>
  <c r="AT98" i="8" s="1"/>
  <c r="N85" i="9"/>
  <c r="O84" i="9"/>
  <c r="P84" i="9"/>
  <c r="N109" i="5"/>
  <c r="P109" i="5" s="1"/>
  <c r="AS99" i="8"/>
  <c r="AT99" i="8" s="1" a="1"/>
  <c r="AT99" i="8" s="1"/>
  <c r="N95" i="5" l="1"/>
  <c r="P94" i="5"/>
  <c r="U94" i="5"/>
  <c r="R94" i="5"/>
  <c r="O94" i="5"/>
  <c r="Q94" i="5" s="1" a="1"/>
  <c r="Q94" i="5" s="1"/>
  <c r="AU99" i="8"/>
  <c r="AU98" i="8"/>
  <c r="AW97" i="8" s="1"/>
  <c r="AV70" i="8"/>
  <c r="AZ69" i="8" s="1"/>
  <c r="BE69" i="8" s="1"/>
  <c r="BC69" i="8" s="1"/>
  <c r="AR71" i="8"/>
  <c r="BB69" i="8"/>
  <c r="Q84" i="9"/>
  <c r="O85" i="9"/>
  <c r="Q85" i="9" s="1"/>
  <c r="N86" i="9"/>
  <c r="P85" i="9"/>
  <c r="N110" i="5"/>
  <c r="P110" i="5" s="1"/>
  <c r="O109" i="5"/>
  <c r="Q109" i="5" s="1" a="1"/>
  <c r="Q109" i="5" s="1"/>
  <c r="N96" i="5" l="1"/>
  <c r="P95" i="5"/>
  <c r="U95" i="5"/>
  <c r="O95" i="5"/>
  <c r="Q95" i="5" s="1" a="1"/>
  <c r="Q95" i="5" s="1"/>
  <c r="R95" i="5"/>
  <c r="R109" i="5"/>
  <c r="BD71" i="8"/>
  <c r="AV71" i="8"/>
  <c r="AR72" i="8"/>
  <c r="BB71" i="8" s="1"/>
  <c r="AS100" i="8"/>
  <c r="AT100" i="8" s="1" a="1"/>
  <c r="AT100" i="8" s="1"/>
  <c r="O86" i="9"/>
  <c r="Q86" i="9" s="1"/>
  <c r="N87" i="9"/>
  <c r="P86" i="9"/>
  <c r="U109" i="5"/>
  <c r="N111" i="5"/>
  <c r="P111" i="5" s="1"/>
  <c r="O110" i="5"/>
  <c r="Q110" i="5" s="1" a="1"/>
  <c r="Q110" i="5" s="1"/>
  <c r="R110" i="5"/>
  <c r="U110" i="5"/>
  <c r="AS101" i="8"/>
  <c r="AT101" i="8" s="1" a="1"/>
  <c r="AT101" i="8" s="1"/>
  <c r="N97" i="5" l="1"/>
  <c r="P96" i="5"/>
  <c r="O96" i="5"/>
  <c r="Q96" i="5" s="1" a="1"/>
  <c r="Q96" i="5" s="1"/>
  <c r="U96" i="5"/>
  <c r="R96" i="5"/>
  <c r="AU100" i="8"/>
  <c r="AW99" i="8" s="1"/>
  <c r="AU101" i="8"/>
  <c r="AV72" i="8"/>
  <c r="AZ71" i="8" s="1"/>
  <c r="BE71" i="8" s="1"/>
  <c r="BC71" i="8" s="1"/>
  <c r="AR73" i="8"/>
  <c r="O87" i="9"/>
  <c r="Q87" i="9" s="1"/>
  <c r="N88" i="9"/>
  <c r="O79" i="9" s="1"/>
  <c r="P87" i="9"/>
  <c r="N112" i="5"/>
  <c r="P112" i="5" s="1"/>
  <c r="O111" i="5"/>
  <c r="Q111" i="5" s="1" a="1"/>
  <c r="Q111" i="5" s="1"/>
  <c r="U111" i="5"/>
  <c r="R111" i="5"/>
  <c r="N98" i="5" l="1"/>
  <c r="P97" i="5"/>
  <c r="O97" i="5"/>
  <c r="Q97" i="5" s="1" a="1"/>
  <c r="Q97" i="5" s="1"/>
  <c r="U97" i="5"/>
  <c r="R97" i="5"/>
  <c r="BD73" i="8"/>
  <c r="AV73" i="8"/>
  <c r="AR74" i="8"/>
  <c r="AS102" i="8"/>
  <c r="AT102" i="8" s="1" a="1"/>
  <c r="AT102" i="8" s="1"/>
  <c r="O83" i="9"/>
  <c r="P79" i="9"/>
  <c r="Q79" i="9" s="1"/>
  <c r="O88" i="9"/>
  <c r="Q88" i="9" s="1"/>
  <c r="P88" i="9"/>
  <c r="N89" i="9"/>
  <c r="O80" i="9"/>
  <c r="P80" i="9" s="1"/>
  <c r="Q80" i="9" s="1"/>
  <c r="O81" i="9"/>
  <c r="O82" i="9"/>
  <c r="N113" i="5"/>
  <c r="P113" i="5" s="1"/>
  <c r="O112" i="5"/>
  <c r="Q112" i="5" s="1" a="1"/>
  <c r="Q112" i="5" s="1"/>
  <c r="U112" i="5"/>
  <c r="R112" i="5"/>
  <c r="R98" i="5"/>
  <c r="AS103" i="8"/>
  <c r="AT103" i="8" s="1" a="1"/>
  <c r="AT103" i="8" s="1"/>
  <c r="N99" i="5" l="1"/>
  <c r="P98" i="5"/>
  <c r="O98" i="5"/>
  <c r="Q98" i="5" s="1" a="1"/>
  <c r="Q98" i="5" s="1"/>
  <c r="U98" i="5"/>
  <c r="AU103" i="8"/>
  <c r="AU102" i="8"/>
  <c r="AW101" i="8" s="1"/>
  <c r="AV74" i="8"/>
  <c r="AZ73" i="8" s="1"/>
  <c r="BE73" i="8" s="1"/>
  <c r="BC73" i="8" s="1"/>
  <c r="AR75" i="8"/>
  <c r="BB73" i="8"/>
  <c r="P83" i="9"/>
  <c r="Q83" i="9" s="1"/>
  <c r="P82" i="9"/>
  <c r="Q82" i="9" s="1"/>
  <c r="N90" i="9"/>
  <c r="P81" i="9"/>
  <c r="Q81" i="9" s="1"/>
  <c r="N114" i="5"/>
  <c r="P114" i="5" s="1"/>
  <c r="O113" i="5"/>
  <c r="Q113" i="5" s="1" a="1"/>
  <c r="Q113" i="5" s="1"/>
  <c r="U113" i="5"/>
  <c r="R113" i="5"/>
  <c r="N100" i="5" l="1"/>
  <c r="P99" i="5"/>
  <c r="O99" i="5"/>
  <c r="U99" i="5" s="1"/>
  <c r="BD75" i="8"/>
  <c r="AV75" i="8"/>
  <c r="AR76" i="8"/>
  <c r="N91" i="9"/>
  <c r="N115" i="5"/>
  <c r="P115" i="5" s="1"/>
  <c r="O114" i="5"/>
  <c r="Q114" i="5" s="1" a="1"/>
  <c r="Q114" i="5" s="1"/>
  <c r="U114" i="5"/>
  <c r="R114" i="5"/>
  <c r="AS105" i="8"/>
  <c r="AT105" i="8" s="1" a="1"/>
  <c r="AT105" i="8" s="1"/>
  <c r="AS104" i="8"/>
  <c r="AT104" i="8" s="1" a="1"/>
  <c r="AT104" i="8" s="1"/>
  <c r="Q99" i="5" a="1"/>
  <c r="Q99" i="5" l="1"/>
  <c r="R99" i="5"/>
  <c r="N101" i="5"/>
  <c r="P100" i="5"/>
  <c r="O100" i="5"/>
  <c r="AU105" i="8"/>
  <c r="AU104" i="8"/>
  <c r="AW103" i="8" s="1"/>
  <c r="BB75" i="8"/>
  <c r="AR77" i="8"/>
  <c r="AV76" i="8"/>
  <c r="AZ75" i="8" s="1"/>
  <c r="BE75" i="8" s="1"/>
  <c r="BC75" i="8" s="1"/>
  <c r="AS106" i="8"/>
  <c r="AT106" i="8" s="1" a="1"/>
  <c r="AT106" i="8" s="1"/>
  <c r="N92" i="9"/>
  <c r="N116" i="5"/>
  <c r="P116" i="5" s="1"/>
  <c r="O115" i="5"/>
  <c r="Q115" i="5" s="1" a="1"/>
  <c r="Q115" i="5" s="1"/>
  <c r="U115" i="5"/>
  <c r="R115" i="5"/>
  <c r="AS107" i="8"/>
  <c r="AT107" i="8" s="1" a="1"/>
  <c r="AT107" i="8" s="1"/>
  <c r="U100" i="5" l="1"/>
  <c r="N102" i="5"/>
  <c r="P101" i="5"/>
  <c r="O101" i="5"/>
  <c r="Q101" i="5" s="1" a="1"/>
  <c r="Q101" i="5" s="1"/>
  <c r="R101" i="5"/>
  <c r="U101" i="5"/>
  <c r="AU107" i="8"/>
  <c r="AU106" i="8"/>
  <c r="AW105" i="8" s="1"/>
  <c r="AR78" i="8"/>
  <c r="BB77" i="8" s="1"/>
  <c r="AV77" i="8"/>
  <c r="BD77" i="8"/>
  <c r="N93" i="9"/>
  <c r="N117" i="5"/>
  <c r="P117" i="5" s="1"/>
  <c r="O116" i="5"/>
  <c r="Q116" i="5" s="1" a="1"/>
  <c r="Q116" i="5" s="1"/>
  <c r="U116" i="5"/>
  <c r="R116" i="5"/>
  <c r="Q100" i="5" a="1"/>
  <c r="Q100" i="5" l="1"/>
  <c r="R100" i="5" s="1"/>
  <c r="N103" i="5"/>
  <c r="P102" i="5"/>
  <c r="O102" i="5"/>
  <c r="Q102" i="5" s="1" a="1"/>
  <c r="Q102" i="5" s="1"/>
  <c r="R102" i="5"/>
  <c r="U102" i="5"/>
  <c r="AR79" i="8"/>
  <c r="AV78" i="8"/>
  <c r="AZ77" i="8" s="1"/>
  <c r="BE77" i="8" s="1"/>
  <c r="BC77" i="8" s="1"/>
  <c r="N94" i="9"/>
  <c r="P93" i="9"/>
  <c r="O93" i="9"/>
  <c r="Q93" i="9" s="1"/>
  <c r="N118" i="5"/>
  <c r="P118" i="5" s="1"/>
  <c r="O117" i="5"/>
  <c r="Q117" i="5" s="1" a="1"/>
  <c r="Q117" i="5" s="1"/>
  <c r="R117" i="5"/>
  <c r="U117" i="5"/>
  <c r="AS109" i="8"/>
  <c r="AT109" i="8" s="1" a="1"/>
  <c r="AT109" i="8" s="1"/>
  <c r="AS108" i="8"/>
  <c r="AT108" i="8" s="1" a="1"/>
  <c r="AT108" i="8" s="1"/>
  <c r="N104" i="5" l="1"/>
  <c r="P103" i="5"/>
  <c r="O103" i="5"/>
  <c r="Q103" i="5" s="1" a="1"/>
  <c r="Q103" i="5" s="1"/>
  <c r="R103" i="5"/>
  <c r="U103" i="5"/>
  <c r="AU108" i="8"/>
  <c r="AW107" i="8" s="1"/>
  <c r="AU109" i="8"/>
  <c r="AR80" i="8"/>
  <c r="AV79" i="8"/>
  <c r="BD79" i="8"/>
  <c r="BB79" i="8"/>
  <c r="AS110" i="8"/>
  <c r="AT110" i="8" s="1" a="1"/>
  <c r="AT110" i="8" s="1"/>
  <c r="N95" i="9"/>
  <c r="O94" i="9"/>
  <c r="P94" i="9"/>
  <c r="N119" i="5"/>
  <c r="P119" i="5" s="1"/>
  <c r="O118" i="5"/>
  <c r="Q118" i="5" s="1" a="1"/>
  <c r="Q118" i="5" s="1"/>
  <c r="R118" i="5"/>
  <c r="AS111" i="8"/>
  <c r="AT111" i="8" s="1" a="1"/>
  <c r="AT111" i="8" s="1"/>
  <c r="U104" i="5" l="1"/>
  <c r="P104" i="5"/>
  <c r="R104" i="5"/>
  <c r="O104" i="5"/>
  <c r="Q104" i="5" s="1" a="1"/>
  <c r="Q104" i="5" s="1"/>
  <c r="N105" i="5"/>
  <c r="AU110" i="8"/>
  <c r="AW109" i="8" s="1"/>
  <c r="AU111" i="8"/>
  <c r="U118" i="5"/>
  <c r="AR81" i="8"/>
  <c r="AV80" i="8"/>
  <c r="AZ79" i="8" s="1"/>
  <c r="BE79" i="8" s="1"/>
  <c r="BC79" i="8" s="1"/>
  <c r="Q94" i="9"/>
  <c r="N96" i="9"/>
  <c r="O95" i="9"/>
  <c r="Q95" i="9" s="1"/>
  <c r="P95" i="9"/>
  <c r="N120" i="5"/>
  <c r="P120" i="5" s="1"/>
  <c r="O119" i="5"/>
  <c r="Q119" i="5" s="1" a="1"/>
  <c r="Q119" i="5" s="1"/>
  <c r="P105" i="5" l="1"/>
  <c r="U105" i="5"/>
  <c r="N106" i="5"/>
  <c r="R105" i="5"/>
  <c r="O105" i="5"/>
  <c r="Q105" i="5" s="1" a="1"/>
  <c r="Q105" i="5" s="1"/>
  <c r="R119" i="5"/>
  <c r="AR82" i="8"/>
  <c r="AV81" i="8"/>
  <c r="BD81" i="8"/>
  <c r="BB81" i="8"/>
  <c r="AS112" i="8"/>
  <c r="AT112" i="8" s="1" a="1"/>
  <c r="AT112" i="8" s="1"/>
  <c r="N97" i="9"/>
  <c r="O96" i="9"/>
  <c r="Q96" i="9" s="1"/>
  <c r="P96" i="9"/>
  <c r="U119" i="5"/>
  <c r="N121" i="5"/>
  <c r="P121" i="5" s="1"/>
  <c r="O120" i="5"/>
  <c r="Q120" i="5" s="1" a="1"/>
  <c r="Q120" i="5" s="1"/>
  <c r="R120" i="5"/>
  <c r="U120" i="5"/>
  <c r="AS113" i="8"/>
  <c r="AT113" i="8" s="1" a="1"/>
  <c r="AT113" i="8" s="1"/>
  <c r="P106" i="5" l="1"/>
  <c r="U106" i="5"/>
  <c r="N107" i="5"/>
  <c r="R106" i="5"/>
  <c r="O106" i="5"/>
  <c r="Q106" i="5" s="1" a="1"/>
  <c r="Q106" i="5" s="1"/>
  <c r="AU112" i="8"/>
  <c r="AW111" i="8" s="1"/>
  <c r="AU113" i="8"/>
  <c r="AR83" i="8"/>
  <c r="AV82" i="8"/>
  <c r="AZ81" i="8" s="1"/>
  <c r="BE81" i="8" s="1"/>
  <c r="BC81" i="8" s="1"/>
  <c r="N98" i="9"/>
  <c r="O91" i="9" s="1"/>
  <c r="P97" i="9"/>
  <c r="O97" i="9"/>
  <c r="Q97" i="9" s="1"/>
  <c r="N122" i="5"/>
  <c r="P122" i="5" s="1"/>
  <c r="O121" i="5"/>
  <c r="Q121" i="5" s="1" a="1"/>
  <c r="Q121" i="5" s="1"/>
  <c r="U121" i="5"/>
  <c r="R121" i="5"/>
  <c r="P107" i="5" l="1"/>
  <c r="O107" i="5"/>
  <c r="Q107" i="5" s="1" a="1"/>
  <c r="Q107" i="5" s="1"/>
  <c r="R107" i="5"/>
  <c r="N108" i="5"/>
  <c r="U107" i="5"/>
  <c r="AR84" i="8"/>
  <c r="AV83" i="8"/>
  <c r="BD83" i="8"/>
  <c r="BB83" i="8"/>
  <c r="AS114" i="8"/>
  <c r="AT114" i="8" s="1" a="1"/>
  <c r="AT114" i="8" s="1"/>
  <c r="O98" i="9"/>
  <c r="Q98" i="9" s="1"/>
  <c r="P98" i="9"/>
  <c r="N99" i="9"/>
  <c r="O89" i="9"/>
  <c r="O92" i="9"/>
  <c r="O90" i="9"/>
  <c r="N123" i="5"/>
  <c r="P123" i="5" s="1"/>
  <c r="O122" i="5"/>
  <c r="Q122" i="5" s="1" a="1"/>
  <c r="Q122" i="5" s="1"/>
  <c r="R122" i="5"/>
  <c r="U122" i="5"/>
  <c r="AS115" i="8"/>
  <c r="AT115" i="8" s="1" a="1"/>
  <c r="AT115" i="8" s="1"/>
  <c r="P108" i="5" l="1"/>
  <c r="O108" i="5"/>
  <c r="Q108" i="5" s="1" a="1"/>
  <c r="Q108" i="5" s="1"/>
  <c r="R108" i="5"/>
  <c r="U108" i="5"/>
  <c r="AU114" i="8"/>
  <c r="AW113" i="8" s="1"/>
  <c r="AU115" i="8"/>
  <c r="AV84" i="8"/>
  <c r="AZ83" i="8" s="1"/>
  <c r="BE83" i="8" s="1"/>
  <c r="BC83" i="8" s="1"/>
  <c r="AR85" i="8"/>
  <c r="N100" i="9"/>
  <c r="P89" i="9"/>
  <c r="Q89" i="9" s="1"/>
  <c r="P90" i="9"/>
  <c r="Q90" i="9" s="1"/>
  <c r="P91" i="9"/>
  <c r="Q91" i="9" s="1"/>
  <c r="P92" i="9"/>
  <c r="Q92" i="9" s="1"/>
  <c r="N124" i="5"/>
  <c r="P124" i="5" s="1"/>
  <c r="O123" i="5"/>
  <c r="Q123" i="5" s="1" a="1"/>
  <c r="Q123" i="5" s="1"/>
  <c r="U123" i="5"/>
  <c r="R123" i="5"/>
  <c r="AR86" i="8" l="1"/>
  <c r="AV85" i="8"/>
  <c r="BD85" i="8"/>
  <c r="BB85" i="8"/>
  <c r="AS116" i="8"/>
  <c r="AT116" i="8" s="1" a="1"/>
  <c r="AT116" i="8" s="1"/>
  <c r="N101" i="9"/>
  <c r="N125" i="5"/>
  <c r="P125" i="5" s="1"/>
  <c r="O124" i="5"/>
  <c r="Q124" i="5" s="1" a="1"/>
  <c r="Q124" i="5" s="1"/>
  <c r="R124" i="5"/>
  <c r="U124" i="5"/>
  <c r="AS117" i="8"/>
  <c r="AT117" i="8" s="1" a="1"/>
  <c r="AT117" i="8" s="1"/>
  <c r="AS119" i="8"/>
  <c r="AT119" i="8" s="1" a="1"/>
  <c r="AT119" i="8" s="1"/>
  <c r="AU119" i="8" l="1"/>
  <c r="AU116" i="8"/>
  <c r="AW115" i="8" s="1"/>
  <c r="AU117" i="8"/>
  <c r="AV86" i="8"/>
  <c r="AZ85" i="8" s="1"/>
  <c r="BE85" i="8" s="1"/>
  <c r="BC85" i="8" s="1"/>
  <c r="AR87" i="8"/>
  <c r="N102" i="9"/>
  <c r="N126" i="5"/>
  <c r="P126" i="5" s="1"/>
  <c r="O125" i="5"/>
  <c r="Q125" i="5" s="1" a="1"/>
  <c r="Q125" i="5" s="1"/>
  <c r="U125" i="5"/>
  <c r="R125" i="5"/>
  <c r="AV87" i="8" l="1"/>
  <c r="BD87" i="8"/>
  <c r="AR88" i="8"/>
  <c r="AS120" i="8"/>
  <c r="AT120" i="8" s="1" a="1"/>
  <c r="AT120" i="8" s="1"/>
  <c r="AS118" i="8"/>
  <c r="AT118" i="8" s="1" a="1"/>
  <c r="AT118" i="8" s="1"/>
  <c r="N103" i="9"/>
  <c r="N127" i="5"/>
  <c r="P127" i="5" s="1"/>
  <c r="O126" i="5"/>
  <c r="Q126" i="5" s="1" a="1"/>
  <c r="Q126" i="5" s="1"/>
  <c r="R126" i="5"/>
  <c r="U126" i="5"/>
  <c r="AS121" i="8"/>
  <c r="AT121" i="8" s="1" a="1"/>
  <c r="AT121" i="8" s="1"/>
  <c r="AU118" i="8" l="1"/>
  <c r="AW117" i="8" s="1"/>
  <c r="AU121" i="8"/>
  <c r="AU120" i="8"/>
  <c r="AW119" i="8" s="1"/>
  <c r="AV88" i="8"/>
  <c r="AR89" i="8"/>
  <c r="BB87" i="8"/>
  <c r="AZ87" i="8"/>
  <c r="BE87" i="8" s="1"/>
  <c r="BC87" i="8" s="1"/>
  <c r="N104" i="9"/>
  <c r="N128" i="5"/>
  <c r="P128" i="5" s="1"/>
  <c r="O127" i="5"/>
  <c r="Q127" i="5" s="1" a="1"/>
  <c r="Q127" i="5" s="1"/>
  <c r="U127" i="5"/>
  <c r="R127" i="5"/>
  <c r="AV89" i="8" l="1"/>
  <c r="BD89" i="8"/>
  <c r="AR90" i="8"/>
  <c r="AS122" i="8"/>
  <c r="AT122" i="8" s="1" a="1"/>
  <c r="AT122" i="8" s="1"/>
  <c r="O104" i="9"/>
  <c r="Q104" i="9" s="1"/>
  <c r="N105" i="9"/>
  <c r="P104" i="9"/>
  <c r="O128" i="5"/>
  <c r="Q128" i="5" s="1" a="1"/>
  <c r="Q128" i="5" s="1"/>
  <c r="R128" i="5"/>
  <c r="AS123" i="8"/>
  <c r="AT123" i="8" s="1" a="1"/>
  <c r="AT123" i="8" s="1"/>
  <c r="AU123" i="8" l="1"/>
  <c r="AU122" i="8"/>
  <c r="AW121" i="8" s="1"/>
  <c r="U128" i="5"/>
  <c r="AV90" i="8"/>
  <c r="AR91" i="8"/>
  <c r="BB89" i="8"/>
  <c r="AZ89" i="8"/>
  <c r="BE89" i="8" s="1"/>
  <c r="BC89" i="8" s="1"/>
  <c r="O105" i="9"/>
  <c r="Q105" i="9" s="1"/>
  <c r="N106" i="9"/>
  <c r="P105" i="9"/>
  <c r="Z11" i="5"/>
  <c r="Z12" i="5" s="1"/>
  <c r="AV91" i="8" l="1"/>
  <c r="BD91" i="8"/>
  <c r="AR92" i="8"/>
  <c r="AS124" i="8"/>
  <c r="AT124" i="8" s="1" a="1"/>
  <c r="AT124" i="8" s="1"/>
  <c r="O106" i="9"/>
  <c r="Q106" i="9" s="1"/>
  <c r="N107" i="9"/>
  <c r="P106" i="9"/>
  <c r="AU124" i="8" l="1"/>
  <c r="AW123" i="8" s="1"/>
  <c r="AV92" i="8"/>
  <c r="AZ91" i="8" s="1"/>
  <c r="BE91" i="8" s="1"/>
  <c r="BC91" i="8" s="1"/>
  <c r="AR93" i="8"/>
  <c r="BB91" i="8"/>
  <c r="AS129" i="8"/>
  <c r="AT129" i="8" s="1" a="1"/>
  <c r="AT129" i="8" s="1"/>
  <c r="O107" i="9"/>
  <c r="Q107" i="9" s="1"/>
  <c r="N108" i="9"/>
  <c r="O102" i="9" s="1"/>
  <c r="P107" i="9"/>
  <c r="O100" i="9"/>
  <c r="AU129" i="8" l="1"/>
  <c r="AV93" i="8"/>
  <c r="BD93" i="8"/>
  <c r="AR94" i="8"/>
  <c r="AS130" i="8"/>
  <c r="AT130" i="8" s="1" a="1"/>
  <c r="AT130" i="8" s="1"/>
  <c r="O108" i="9"/>
  <c r="Q108" i="9" s="1"/>
  <c r="P108" i="9"/>
  <c r="N109" i="9"/>
  <c r="O103" i="9"/>
  <c r="O101" i="9"/>
  <c r="O99" i="9"/>
  <c r="AU130" i="8" l="1"/>
  <c r="AW129" i="8" s="1"/>
  <c r="AR95" i="8"/>
  <c r="AV94" i="8"/>
  <c r="AZ93" i="8" s="1"/>
  <c r="BE93" i="8" s="1"/>
  <c r="BC93" i="8" s="1"/>
  <c r="BB93" i="8"/>
  <c r="AS131" i="8"/>
  <c r="AT131" i="8" s="1" a="1"/>
  <c r="AT131" i="8" s="1"/>
  <c r="N110" i="9"/>
  <c r="P99" i="9"/>
  <c r="Q99" i="9" s="1"/>
  <c r="P100" i="9"/>
  <c r="Q100" i="9" s="1"/>
  <c r="P101" i="9"/>
  <c r="Q101" i="9" s="1"/>
  <c r="P102" i="9"/>
  <c r="Q102" i="9" s="1"/>
  <c r="P103" i="9"/>
  <c r="Q103" i="9" s="1"/>
  <c r="AU131" i="8" l="1"/>
  <c r="AV95" i="8"/>
  <c r="AR96" i="8"/>
  <c r="BB95" i="8" s="1"/>
  <c r="BD95" i="8"/>
  <c r="AS132" i="8"/>
  <c r="AT132" i="8" s="1" a="1"/>
  <c r="AT132" i="8" s="1"/>
  <c r="N111" i="9"/>
  <c r="AU132" i="8" l="1"/>
  <c r="AW131" i="8" s="1"/>
  <c r="AV96" i="8"/>
  <c r="AR97" i="8"/>
  <c r="AZ95" i="8"/>
  <c r="BE95" i="8" s="1"/>
  <c r="BC95" i="8" s="1"/>
  <c r="AS133" i="8"/>
  <c r="AT133" i="8" s="1" a="1"/>
  <c r="AT133" i="8" s="1"/>
  <c r="N112" i="9"/>
  <c r="AU133" i="8" l="1"/>
  <c r="AV97" i="8"/>
  <c r="AR98" i="8"/>
  <c r="BB97" i="8" s="1"/>
  <c r="BD97" i="8"/>
  <c r="AS134" i="8"/>
  <c r="AT134" i="8" s="1" a="1"/>
  <c r="AT134" i="8" s="1"/>
  <c r="N113" i="9"/>
  <c r="AU134" i="8" l="1"/>
  <c r="AW133" i="8" s="1"/>
  <c r="AV98" i="8"/>
  <c r="AZ97" i="8" s="1"/>
  <c r="BE97" i="8" s="1"/>
  <c r="BC97" i="8" s="1"/>
  <c r="AR99" i="8"/>
  <c r="AS135" i="8"/>
  <c r="AT135" i="8" s="1" a="1"/>
  <c r="AT135" i="8" s="1"/>
  <c r="N114" i="9"/>
  <c r="AU135" i="8" l="1"/>
  <c r="AR100" i="8"/>
  <c r="AV99" i="8"/>
  <c r="BD99" i="8"/>
  <c r="BB99" i="8"/>
  <c r="AS136" i="8"/>
  <c r="AT136" i="8" s="1" a="1"/>
  <c r="AT136" i="8" s="1"/>
  <c r="N115" i="9"/>
  <c r="AU136" i="8" l="1"/>
  <c r="AW135" i="8" s="1"/>
  <c r="AR101" i="8"/>
  <c r="AV100" i="8"/>
  <c r="AZ99" i="8" s="1"/>
  <c r="BE99" i="8" s="1"/>
  <c r="BC99" i="8" s="1"/>
  <c r="AS137" i="8"/>
  <c r="AT137" i="8" s="1" a="1"/>
  <c r="AT137" i="8" s="1"/>
  <c r="O115" i="9"/>
  <c r="Q115" i="9" s="1"/>
  <c r="N116" i="9"/>
  <c r="P115" i="9"/>
  <c r="AU137" i="8" l="1"/>
  <c r="AR102" i="8"/>
  <c r="AV101" i="8"/>
  <c r="BD101" i="8"/>
  <c r="BB101" i="8"/>
  <c r="AS138" i="8"/>
  <c r="AT138" i="8" s="1" a="1"/>
  <c r="AT138" i="8" s="1"/>
  <c r="O116" i="9"/>
  <c r="Q116" i="9" s="1"/>
  <c r="N117" i="9"/>
  <c r="P116" i="9"/>
  <c r="AU138" i="8" l="1"/>
  <c r="AW137" i="8" s="1"/>
  <c r="AR103" i="8"/>
  <c r="AV102" i="8"/>
  <c r="AZ101" i="8" s="1"/>
  <c r="BE101" i="8" s="1"/>
  <c r="BC101" i="8" s="1"/>
  <c r="O117" i="9"/>
  <c r="Q117" i="9" s="1"/>
  <c r="N118" i="9"/>
  <c r="O112" i="9" s="1"/>
  <c r="P117" i="9"/>
  <c r="AR104" i="8" l="1"/>
  <c r="AV103" i="8"/>
  <c r="BD103" i="8"/>
  <c r="BB103" i="8"/>
  <c r="O110" i="9"/>
  <c r="O114" i="9"/>
  <c r="O118" i="9"/>
  <c r="Q118" i="9" s="1"/>
  <c r="P118" i="9"/>
  <c r="N119" i="9"/>
  <c r="O111" i="9"/>
  <c r="O113" i="9"/>
  <c r="O109" i="9"/>
  <c r="AV104" i="8" l="1"/>
  <c r="AZ103" i="8" s="1"/>
  <c r="BE103" i="8" s="1"/>
  <c r="BC103" i="8" s="1"/>
  <c r="AR105" i="8"/>
  <c r="N120" i="9"/>
  <c r="P109" i="9"/>
  <c r="Q109" i="9" s="1"/>
  <c r="P110" i="9"/>
  <c r="Q110" i="9" s="1"/>
  <c r="P111" i="9"/>
  <c r="Q111" i="9" s="1"/>
  <c r="P112" i="9"/>
  <c r="Q112" i="9" s="1"/>
  <c r="P113" i="9"/>
  <c r="Q113" i="9" s="1"/>
  <c r="P114" i="9"/>
  <c r="Q114" i="9" s="1"/>
  <c r="AR106" i="8" l="1"/>
  <c r="BB105" i="8" s="1"/>
  <c r="AV105" i="8"/>
  <c r="BD105" i="8"/>
  <c r="N121" i="9"/>
  <c r="AR107" i="8" l="1"/>
  <c r="AV106" i="8"/>
  <c r="AZ105" i="8" s="1"/>
  <c r="BE105" i="8" s="1"/>
  <c r="BC105" i="8" s="1"/>
  <c r="N122" i="9"/>
  <c r="AR108" i="8" l="1"/>
  <c r="AV107" i="8"/>
  <c r="BD107" i="8"/>
  <c r="BB107" i="8"/>
  <c r="O122" i="9"/>
  <c r="Q122" i="9" s="1"/>
  <c r="N123" i="9"/>
  <c r="P122" i="9"/>
  <c r="AV108" i="8" l="1"/>
  <c r="AZ107" i="8" s="1"/>
  <c r="BE107" i="8" s="1"/>
  <c r="BC107" i="8" s="1"/>
  <c r="AR109" i="8"/>
  <c r="O123" i="9"/>
  <c r="Q123" i="9" s="1"/>
  <c r="N124" i="9"/>
  <c r="P123" i="9"/>
  <c r="AV109" i="8" l="1"/>
  <c r="AR110" i="8"/>
  <c r="BB109" i="8" s="1"/>
  <c r="BD109" i="8"/>
  <c r="O124" i="9"/>
  <c r="Q124" i="9" s="1"/>
  <c r="N125" i="9"/>
  <c r="P124" i="9"/>
  <c r="AV110" i="8" l="1"/>
  <c r="AR111" i="8"/>
  <c r="AZ109" i="8"/>
  <c r="BE109" i="8" s="1"/>
  <c r="BC109" i="8" s="1"/>
  <c r="O125" i="9"/>
  <c r="Q125" i="9" s="1"/>
  <c r="P125" i="9"/>
  <c r="N126" i="9"/>
  <c r="AV111" i="8" l="1"/>
  <c r="AR112" i="8"/>
  <c r="BB111" i="8" s="1"/>
  <c r="BD111" i="8"/>
  <c r="O126" i="9"/>
  <c r="Q126" i="9" s="1"/>
  <c r="P126" i="9"/>
  <c r="N127" i="9"/>
  <c r="AV112" i="8" l="1"/>
  <c r="AR113" i="8"/>
  <c r="AZ111" i="8"/>
  <c r="BE111" i="8" s="1"/>
  <c r="BC111" i="8" s="1"/>
  <c r="O127" i="9"/>
  <c r="Q127" i="9" s="1"/>
  <c r="P127" i="9"/>
  <c r="N128" i="9"/>
  <c r="AV113" i="8" l="1"/>
  <c r="BD113" i="8"/>
  <c r="AR114" i="8"/>
  <c r="O128" i="9"/>
  <c r="Q128" i="9" s="1"/>
  <c r="P128" i="9"/>
  <c r="N129" i="9"/>
  <c r="O120" i="9"/>
  <c r="O121" i="9"/>
  <c r="O119" i="9"/>
  <c r="AV114" i="8" l="1"/>
  <c r="AR115" i="8"/>
  <c r="BB113" i="8"/>
  <c r="AZ113" i="8"/>
  <c r="BE113" i="8" s="1"/>
  <c r="BC113" i="8" s="1"/>
  <c r="P119" i="9"/>
  <c r="Q119" i="9" s="1"/>
  <c r="P120" i="9"/>
  <c r="Q120" i="9" s="1"/>
  <c r="P121" i="9"/>
  <c r="Q121" i="9" s="1"/>
  <c r="N130" i="9"/>
  <c r="AV115" i="8" l="1"/>
  <c r="AR116" i="8"/>
  <c r="BB115" i="8" s="1"/>
  <c r="BD115" i="8"/>
  <c r="N131" i="9"/>
  <c r="AV116" i="8" l="1"/>
  <c r="AR117" i="8"/>
  <c r="AZ115" i="8"/>
  <c r="BE115" i="8" s="1"/>
  <c r="BC115" i="8" s="1"/>
  <c r="N132" i="9"/>
  <c r="AR118" i="8" l="1"/>
  <c r="AV117" i="8"/>
  <c r="BD117" i="8"/>
  <c r="BB117" i="8"/>
  <c r="N133" i="9"/>
  <c r="AR119" i="8" l="1"/>
  <c r="AV118" i="8"/>
  <c r="AZ117" i="8" s="1"/>
  <c r="BE117" i="8" s="1"/>
  <c r="BC117" i="8" s="1"/>
  <c r="O133" i="9"/>
  <c r="Q133" i="9" s="1"/>
  <c r="N134" i="9"/>
  <c r="P133" i="9"/>
  <c r="AR120" i="8" l="1"/>
  <c r="AV119" i="8"/>
  <c r="BD119" i="8"/>
  <c r="BB119" i="8"/>
  <c r="O134" i="9"/>
  <c r="Q134" i="9" s="1"/>
  <c r="P134" i="9"/>
  <c r="N135" i="9"/>
  <c r="AR121" i="8" l="1"/>
  <c r="AV120" i="8"/>
  <c r="AZ119" i="8" s="1"/>
  <c r="BE119" i="8" s="1"/>
  <c r="BC119" i="8" s="1"/>
  <c r="O135" i="9"/>
  <c r="Q135" i="9" s="1"/>
  <c r="P135" i="9"/>
  <c r="N136" i="9"/>
  <c r="AR122" i="8" l="1"/>
  <c r="BB121" i="8" s="1"/>
  <c r="AV121" i="8"/>
  <c r="BD121" i="8"/>
  <c r="O136" i="9"/>
  <c r="Q136" i="9" s="1"/>
  <c r="N137" i="9"/>
  <c r="P136" i="9"/>
  <c r="AR123" i="8" l="1"/>
  <c r="AV122" i="8"/>
  <c r="AZ121" i="8" s="1"/>
  <c r="BE121" i="8" s="1"/>
  <c r="BC121" i="8" s="1"/>
  <c r="O137" i="9"/>
  <c r="Q137" i="9" s="1"/>
  <c r="N138" i="9"/>
  <c r="P137" i="9"/>
  <c r="O130" i="9"/>
  <c r="AR124" i="8" l="1"/>
  <c r="BB123" i="8" s="1"/>
  <c r="AV123" i="8"/>
  <c r="BD123" i="8"/>
  <c r="O138" i="9"/>
  <c r="Q138" i="9" s="1"/>
  <c r="P138" i="9"/>
  <c r="O129" i="9"/>
  <c r="O131" i="9"/>
  <c r="O132" i="9"/>
  <c r="AV124" i="8" l="1"/>
  <c r="AZ123" i="8" s="1"/>
  <c r="BE123" i="8" s="1"/>
  <c r="BC123" i="8" s="1"/>
  <c r="AR125" i="8"/>
  <c r="P129" i="9"/>
  <c r="Q129" i="9" s="1"/>
  <c r="P130" i="9"/>
  <c r="Q130" i="9" s="1"/>
  <c r="P131" i="9"/>
  <c r="Q131" i="9" s="1"/>
  <c r="P132" i="9"/>
  <c r="Q132" i="9" s="1"/>
  <c r="AU10" i="8"/>
  <c r="AW9" i="8" s="1"/>
  <c r="BD9" i="8" s="1"/>
  <c r="AU11" i="8"/>
  <c r="AV125" i="8" l="1"/>
  <c r="BD125" i="8"/>
  <c r="AR126" i="8"/>
  <c r="AZ9" i="8"/>
  <c r="BE9" i="8" s="1"/>
  <c r="BC9" i="8" s="1"/>
  <c r="BB9" i="8"/>
  <c r="AW11" i="8"/>
  <c r="BB11" i="8" s="1"/>
  <c r="AV126" i="8" l="1"/>
  <c r="AR127" i="8"/>
  <c r="BB125" i="8"/>
  <c r="AZ125" i="8"/>
  <c r="BE125" i="8" s="1"/>
  <c r="BC125" i="8" s="1"/>
  <c r="BD11" i="8"/>
  <c r="AZ11" i="8"/>
  <c r="BE11" i="8" s="1"/>
  <c r="AV127" i="8" l="1"/>
  <c r="BD127" i="8"/>
  <c r="AR128" i="8"/>
  <c r="BC11" i="8"/>
  <c r="AV128" i="8" l="1"/>
  <c r="AR129" i="8"/>
  <c r="BB127" i="8"/>
  <c r="AZ127" i="8"/>
  <c r="BE127" i="8" s="1"/>
  <c r="BC127" i="8" s="1"/>
  <c r="AV129" i="8" l="1"/>
  <c r="AR130" i="8"/>
  <c r="BB129" i="8" s="1"/>
  <c r="BD129" i="8"/>
  <c r="AV130" i="8" l="1"/>
  <c r="AZ129" i="8" s="1"/>
  <c r="BE129" i="8" s="1"/>
  <c r="AR131" i="8"/>
  <c r="BC129" i="8" l="1"/>
  <c r="AV131" i="8"/>
  <c r="AR132" i="8"/>
  <c r="BD131" i="8"/>
  <c r="AV132" i="8" l="1"/>
  <c r="AR133" i="8"/>
  <c r="BB131" i="8"/>
  <c r="AZ131" i="8"/>
  <c r="BE131" i="8" s="1"/>
  <c r="BC131" i="8" l="1"/>
  <c r="AV133" i="8"/>
  <c r="AR134" i="8"/>
  <c r="BB133" i="8" s="1"/>
  <c r="BD133" i="8"/>
  <c r="AV134" i="8" l="1"/>
  <c r="AR135" i="8"/>
  <c r="AZ133" i="8"/>
  <c r="BE133" i="8" s="1"/>
  <c r="BC133" i="8" l="1"/>
  <c r="AV135" i="8"/>
  <c r="AR136" i="8"/>
  <c r="BB135" i="8" s="1"/>
  <c r="BD135" i="8"/>
  <c r="AV136" i="8" l="1"/>
  <c r="AR137" i="8"/>
  <c r="AZ135" i="8"/>
  <c r="BE135" i="8" s="1"/>
  <c r="BC135" i="8" l="1"/>
  <c r="AV137" i="8"/>
  <c r="AR138" i="8"/>
  <c r="BB137" i="8" s="1"/>
  <c r="BD137" i="8"/>
  <c r="AV138" i="8" l="1"/>
  <c r="AR139" i="8"/>
  <c r="AZ137" i="8"/>
  <c r="BE137" i="8" s="1"/>
  <c r="BC137" i="8" l="1"/>
  <c r="AV139" i="8"/>
  <c r="BD139" i="8"/>
  <c r="AR140" i="8"/>
  <c r="AV140" i="8" l="1"/>
  <c r="AR141" i="8"/>
  <c r="BB139" i="8"/>
  <c r="AZ139" i="8"/>
  <c r="BE139" i="8" s="1"/>
  <c r="BC139" i="8" s="1"/>
  <c r="AV141" i="8" l="1"/>
  <c r="BD141" i="8"/>
  <c r="AR142" i="8"/>
  <c r="AV142" i="8" l="1"/>
  <c r="AR143" i="8"/>
  <c r="BB141" i="8"/>
  <c r="AZ141" i="8"/>
  <c r="BE141" i="8" s="1"/>
  <c r="BC141" i="8" s="1"/>
  <c r="AV143" i="8" l="1"/>
  <c r="BD143" i="8"/>
  <c r="AR144" i="8"/>
  <c r="AV144" i="8" l="1"/>
  <c r="AR145" i="8"/>
  <c r="BB143" i="8"/>
  <c r="AZ143" i="8"/>
  <c r="BE143" i="8" s="1"/>
  <c r="BC143" i="8" s="1"/>
  <c r="AV145" i="8" l="1"/>
  <c r="BD145" i="8"/>
  <c r="AR146" i="8"/>
  <c r="AV146" i="8" l="1"/>
  <c r="AR147" i="8"/>
  <c r="BB145" i="8"/>
  <c r="AZ145" i="8"/>
  <c r="BE145" i="8" s="1"/>
  <c r="BC145" i="8" s="1"/>
  <c r="BD147" i="8" l="1"/>
  <c r="AV147" i="8"/>
  <c r="AR148" i="8"/>
  <c r="AV148" i="8" s="1"/>
  <c r="BB147" i="8" l="1"/>
  <c r="AZ147" i="8"/>
  <c r="BE147" i="8" s="1"/>
  <c r="BC147" i="8" l="1"/>
  <c r="B16" i="8" s="1"/>
  <c r="B17" i="8" s="1"/>
  <c r="BF9" i="8"/>
  <c r="B39" i="8" l="1"/>
  <c r="B40" i="8" s="1"/>
  <c r="B37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<sst xmlns="http://schemas.openxmlformats.org/spreadsheetml/2006/main" count="613" uniqueCount="344">
  <si>
    <t>Нагрузка</t>
  </si>
  <si>
    <t>№ п/п</t>
  </si>
  <si>
    <t>Qs, кН/м2</t>
  </si>
  <si>
    <t>Qc, кН/м</t>
  </si>
  <si>
    <t>S, м2</t>
  </si>
  <si>
    <t>С, м</t>
  </si>
  <si>
    <t>Постоянные нагрузки</t>
  </si>
  <si>
    <r>
      <rPr>
        <b/>
        <sz val="12"/>
        <color theme="1"/>
        <rFont val="Calibri"/>
        <family val="2"/>
        <charset val="204"/>
      </rPr>
      <t>γ</t>
    </r>
    <r>
      <rPr>
        <b/>
        <sz val="12"/>
        <color theme="1"/>
        <rFont val="Calibri"/>
        <family val="2"/>
        <charset val="204"/>
        <scheme val="minor"/>
      </rPr>
      <t xml:space="preserve"> fI</t>
    </r>
  </si>
  <si>
    <t>γ fI *Qs*S</t>
  </si>
  <si>
    <t>γ fI *Qc*C</t>
  </si>
  <si>
    <t>Собственный вес жб плиты</t>
  </si>
  <si>
    <t>Собственный вес кольца</t>
  </si>
  <si>
    <t>Вес песчано-гравийной смеси (засыпка)</t>
  </si>
  <si>
    <t>γ fII *Qs*S</t>
  </si>
  <si>
    <t>γ fII *Qc*C</t>
  </si>
  <si>
    <r>
      <rPr>
        <b/>
        <sz val="12"/>
        <color theme="1"/>
        <rFont val="Calibri"/>
        <family val="2"/>
        <charset val="204"/>
      </rPr>
      <t>γ</t>
    </r>
    <r>
      <rPr>
        <b/>
        <sz val="12"/>
        <color theme="1"/>
        <rFont val="Calibri"/>
        <family val="2"/>
        <charset val="204"/>
        <scheme val="minor"/>
      </rPr>
      <t xml:space="preserve"> fII</t>
    </r>
  </si>
  <si>
    <t>I группа пред состояний</t>
  </si>
  <si>
    <t>II группа пред состояний</t>
  </si>
  <si>
    <t>Сумма постоянных нагрузок</t>
  </si>
  <si>
    <t>Временные длительные нагрузки</t>
  </si>
  <si>
    <t>Сила от внешнего давления (I)</t>
  </si>
  <si>
    <t>Сила от снеговой нагрузки</t>
  </si>
  <si>
    <t>Сумма длительных нагрузок</t>
  </si>
  <si>
    <t>Временные кратковременные нагрузки</t>
  </si>
  <si>
    <t>Сумма кратковременных нагрузок</t>
  </si>
  <si>
    <t>Временные кратковременные нагрузки при испытаниях резервуара</t>
  </si>
  <si>
    <t>Сумма нагрузок в стационарном режиме работы</t>
  </si>
  <si>
    <t>I</t>
  </si>
  <si>
    <t>II</t>
  </si>
  <si>
    <t>Сумма нагрузок при гидроиспытаниях основного резервуара</t>
  </si>
  <si>
    <t>Итого:</t>
  </si>
  <si>
    <t>ИГЭ</t>
  </si>
  <si>
    <t>Название грунта</t>
  </si>
  <si>
    <t>Отметка кровли, м</t>
  </si>
  <si>
    <t>Отметка подошвы,м</t>
  </si>
  <si>
    <t>Мощность, м</t>
  </si>
  <si>
    <t>№ слоя</t>
  </si>
  <si>
    <t>α</t>
  </si>
  <si>
    <t>si, см</t>
  </si>
  <si>
    <t>z</t>
  </si>
  <si>
    <t>3а</t>
  </si>
  <si>
    <t>с</t>
  </si>
  <si>
    <t>Собственный вес днища резервуара (Е)</t>
  </si>
  <si>
    <t>Сила от собственного веса резервуара (G)</t>
  </si>
  <si>
    <t>Расчетное внутреннее давление в резервуаре (А1)</t>
  </si>
  <si>
    <t>Сила от внутреннего давления в резервуаре (L1)</t>
  </si>
  <si>
    <t>Расчетное внешнее давление (В)</t>
  </si>
  <si>
    <t>Давление жидкости в резервуаре при стационарном режиме работы (С1)</t>
  </si>
  <si>
    <t>Проверочное внутреннее давление (А2)</t>
  </si>
  <si>
    <t>Давление жидкости при гидроиспытаниях резервуара (С2)</t>
  </si>
  <si>
    <t>Сила от внутреннего давления при гидроиспытаниях (L2)</t>
  </si>
  <si>
    <t>A, м2</t>
  </si>
  <si>
    <t>Средняя нагрузка на сваю:</t>
  </si>
  <si>
    <t>при количестве свай</t>
  </si>
  <si>
    <t>N=</t>
  </si>
  <si>
    <t>Кол-во слоев</t>
  </si>
  <si>
    <t>Сумма fihi, кН/м</t>
  </si>
  <si>
    <t>Скважина №</t>
  </si>
  <si>
    <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</t>
    </r>
  </si>
  <si>
    <r>
      <t>z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</t>
    </r>
  </si>
  <si>
    <r>
      <t>f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кПа</t>
    </r>
  </si>
  <si>
    <r>
      <t>f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кН/м</t>
    </r>
  </si>
  <si>
    <t>Исходные данные для расчета:</t>
  </si>
  <si>
    <t>Абсолютная отметка пяты сваи</t>
  </si>
  <si>
    <t xml:space="preserve">Способ погружения забивных и вдавливаемых свай и свай оболочек, погружаемых без выемки грунта и виды грунтов </t>
  </si>
  <si>
    <t>1. Погружение сплошных и полых с закрытым нижним концом свай механическими(подвесными), паровоздушными и дизельными молотами</t>
  </si>
  <si>
    <t>3. Погружение с подмывом в песчаные грунты при условии добивки свай на последнем этапе без применения подмыва на 1 м и более</t>
  </si>
  <si>
    <t>2.а Погружение забивкой и вдавливанием в предварительно пробуренные лидерные скважины с заглублением концов свай не менее 1м ниже забоя скважины при диаметре скважины равном стороне квадратной сваи</t>
  </si>
  <si>
    <t>2.б Погружение забивкой и вдавливанием в предварительно пробуренные лидерные скважины с заглублением концов свай не менее 1м ниже забоя скважины при диаметре скважины на 0,05м менее стороны квадратной сваи</t>
  </si>
  <si>
    <t>2.в Погружение забивкой и вдавливанием в предварительно пробуренные лидерные скважины с заглублением концов свай не менее 1м ниже забоя скважины при диаметре скважины на 0,15м менее стороны квадратной сваи или диаметра сваи круглого сечения</t>
  </si>
  <si>
    <t>4.а1 Вибропогружение свай-оболочек, вибропогружение и вибровдавливание свай в грунты пески средней плотности крупные и средней крупности</t>
  </si>
  <si>
    <t>4.а2 Вибропогружение свай-оболочек, вибропогружение и вибровдавливание свай в грунты пески средней плотности мелкие</t>
  </si>
  <si>
    <t>4.а3 Вибропогружение свай-оболочек, вибропогружение и вибровдавливание свай в грунты пески средней плотности пылеватые</t>
  </si>
  <si>
    <r>
      <t>I</t>
    </r>
    <r>
      <rPr>
        <b/>
        <vertAlign val="subscript"/>
        <sz val="12"/>
        <color theme="1"/>
        <rFont val="Calibri"/>
        <family val="2"/>
        <charset val="204"/>
        <scheme val="minor"/>
      </rPr>
      <t>L</t>
    </r>
  </si>
  <si>
    <t>e</t>
  </si>
  <si>
    <r>
      <rPr>
        <b/>
        <sz val="12"/>
        <color theme="1"/>
        <rFont val="Symbol"/>
        <family val="1"/>
        <charset val="2"/>
      </rPr>
      <t>r</t>
    </r>
    <r>
      <rPr>
        <b/>
        <vertAlign val="subscript"/>
        <sz val="12"/>
        <color theme="1"/>
        <rFont val="Calibri"/>
        <family val="2"/>
        <charset val="204"/>
        <scheme val="minor"/>
      </rPr>
      <t>n</t>
    </r>
  </si>
  <si>
    <r>
      <rPr>
        <b/>
        <sz val="12"/>
        <color theme="1"/>
        <rFont val="Symbol"/>
        <family val="1"/>
        <charset val="2"/>
      </rPr>
      <t>r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</si>
  <si>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Symbol"/>
        <family val="1"/>
        <charset val="2"/>
      </rPr>
      <t>r</t>
    </r>
    <r>
      <rPr>
        <b/>
        <vertAlign val="subscript"/>
        <sz val="12"/>
        <color theme="1"/>
        <rFont val="Calibri"/>
        <family val="2"/>
        <charset val="204"/>
        <scheme val="minor"/>
      </rPr>
      <t>II</t>
    </r>
  </si>
  <si>
    <r>
      <t>г/см</t>
    </r>
    <r>
      <rPr>
        <vertAlign val="superscript"/>
        <sz val="12"/>
        <color theme="1"/>
        <rFont val="Calibri"/>
        <family val="2"/>
        <charset val="204"/>
        <scheme val="minor"/>
      </rPr>
      <t>3</t>
    </r>
  </si>
  <si>
    <r>
      <t>кН/м</t>
    </r>
    <r>
      <rPr>
        <vertAlign val="superscript"/>
        <sz val="12"/>
        <color theme="1"/>
        <rFont val="Calibri"/>
        <family val="2"/>
        <charset val="204"/>
        <scheme val="minor"/>
      </rPr>
      <t>3</t>
    </r>
  </si>
  <si>
    <r>
      <rPr>
        <b/>
        <sz val="12"/>
        <color theme="1"/>
        <rFont val="Symbol"/>
        <family val="1"/>
        <charset val="2"/>
      </rPr>
      <t>j</t>
    </r>
    <r>
      <rPr>
        <b/>
        <vertAlign val="subscript"/>
        <sz val="12"/>
        <color theme="1"/>
        <rFont val="Calibri"/>
        <family val="2"/>
        <charset val="204"/>
        <scheme val="minor"/>
      </rPr>
      <t>n</t>
    </r>
  </si>
  <si>
    <r>
      <rPr>
        <b/>
        <sz val="12"/>
        <color theme="1"/>
        <rFont val="Symbol"/>
        <family val="1"/>
        <charset val="2"/>
      </rPr>
      <t>j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</si>
  <si>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Symbol"/>
        <family val="1"/>
        <charset val="2"/>
      </rPr>
      <t>j</t>
    </r>
    <r>
      <rPr>
        <b/>
        <vertAlign val="subscript"/>
        <sz val="12"/>
        <color theme="1"/>
        <rFont val="Calibri"/>
        <family val="2"/>
        <charset val="204"/>
        <scheme val="minor"/>
      </rPr>
      <t>II</t>
    </r>
  </si>
  <si>
    <t>градус</t>
  </si>
  <si>
    <r>
      <t>E</t>
    </r>
    <r>
      <rPr>
        <b/>
        <vertAlign val="subscript"/>
        <sz val="12"/>
        <color theme="1"/>
        <rFont val="Calibri"/>
        <family val="2"/>
        <charset val="204"/>
        <scheme val="minor"/>
      </rPr>
      <t>н</t>
    </r>
  </si>
  <si>
    <t>МПа</t>
  </si>
  <si>
    <t>Пески</t>
  </si>
  <si>
    <t>мелкие</t>
  </si>
  <si>
    <t>водонасыщенные</t>
  </si>
  <si>
    <t>рыхлые</t>
  </si>
  <si>
    <t>Водонасыщенность</t>
  </si>
  <si>
    <t>Плотность сложения</t>
  </si>
  <si>
    <t>средней плотности</t>
  </si>
  <si>
    <t>2б</t>
  </si>
  <si>
    <t>2а</t>
  </si>
  <si>
    <t>малой степени водонасыщения</t>
  </si>
  <si>
    <t>средней крупности</t>
  </si>
  <si>
    <t>крупные</t>
  </si>
  <si>
    <t>Суглинки</t>
  </si>
  <si>
    <t>полутвердые</t>
  </si>
  <si>
    <t>кПа</t>
  </si>
  <si>
    <r>
      <t>C</t>
    </r>
    <r>
      <rPr>
        <b/>
        <vertAlign val="subscript"/>
        <sz val="12"/>
        <color theme="1"/>
        <rFont val="Calibri"/>
        <family val="2"/>
        <charset val="204"/>
        <scheme val="minor"/>
      </rPr>
      <t>n</t>
    </r>
  </si>
  <si>
    <r>
      <t>C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</si>
  <si>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t>C</t>
    </r>
    <r>
      <rPr>
        <b/>
        <vertAlign val="subscript"/>
        <sz val="12"/>
        <color theme="1"/>
        <rFont val="Calibri"/>
        <family val="2"/>
        <charset val="204"/>
        <scheme val="minor"/>
      </rPr>
      <t>II</t>
    </r>
  </si>
  <si>
    <t>4а</t>
  </si>
  <si>
    <t>Супеси</t>
  </si>
  <si>
    <t>твердые</t>
  </si>
  <si>
    <t>5а</t>
  </si>
  <si>
    <t>пластичные</t>
  </si>
  <si>
    <t>Крупность/Консистенция</t>
  </si>
  <si>
    <t>Глины</t>
  </si>
  <si>
    <t>Включения</t>
  </si>
  <si>
    <t>с примесью органики, слабозаторфованные, с прослоями суглинка и глины тугопластичной</t>
  </si>
  <si>
    <t>с прослоями твердых глин</t>
  </si>
  <si>
    <t>с прослоями полутвердых, суглинков и супесей</t>
  </si>
  <si>
    <t>Вид грунта</t>
  </si>
  <si>
    <t>Полное название</t>
  </si>
  <si>
    <r>
      <t>I</t>
    </r>
    <r>
      <rPr>
        <b/>
        <vertAlign val="subscript"/>
        <sz val="12"/>
        <color theme="1"/>
        <rFont val="Calibri"/>
        <family val="2"/>
        <charset val="204"/>
        <scheme val="minor"/>
      </rPr>
      <t>L</t>
    </r>
    <r>
      <rPr>
        <b/>
        <sz val="12"/>
        <color theme="1"/>
        <rFont val="Calibri"/>
        <family val="2"/>
        <charset val="204"/>
        <scheme val="minor"/>
      </rPr>
      <t xml:space="preserve"> 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</si>
  <si>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Symbol"/>
        <family val="1"/>
        <charset val="2"/>
      </rPr>
      <t>g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vertAlign val="subscript"/>
        <sz val="12"/>
        <color theme="1"/>
        <rFont val="Calibri"/>
        <family val="2"/>
        <charset val="204"/>
      </rPr>
      <t>R,R</t>
    </r>
  </si>
  <si>
    <r>
      <rPr>
        <b/>
        <sz val="12"/>
        <color theme="1"/>
        <rFont val="Symbol"/>
        <family val="1"/>
        <charset val="2"/>
      </rPr>
      <t>g</t>
    </r>
    <r>
      <rPr>
        <b/>
        <sz val="12"/>
        <color theme="1"/>
        <rFont val="Calibri"/>
        <family val="2"/>
        <charset val="204"/>
      </rPr>
      <t xml:space="preserve"> </t>
    </r>
    <r>
      <rPr>
        <b/>
        <vertAlign val="subscript"/>
        <sz val="12"/>
        <color theme="1"/>
        <rFont val="Calibri"/>
        <family val="2"/>
        <charset val="204"/>
      </rPr>
      <t>R,f</t>
    </r>
  </si>
  <si>
    <t>4.б1 Вибропогружение свай-оболочек, вибропогружение и вибровдавливание свай в Супеси с показателем текучести от 0,5 до 0</t>
  </si>
  <si>
    <t>4.б2 Вибропогружение свай-оболочек, вибропогружение и вибровдавливание свай в Суглинки с показателем текучести от 0,5 до 0</t>
  </si>
  <si>
    <t>4.б3 Вибропогружение свай-оболочек, вибропогружение и вибровдавливание свай в Глины с показателем текучести от 0,5 до 0</t>
  </si>
  <si>
    <t>4.в Вибропогружение свай-оболочек, вибропогружение и вибровдавливание свай в глинистые грунты с показателем текучески не более 0</t>
  </si>
  <si>
    <t>5.а</t>
  </si>
  <si>
    <t>5.б</t>
  </si>
  <si>
    <t>6.а</t>
  </si>
  <si>
    <t>6.б</t>
  </si>
  <si>
    <t>6.в</t>
  </si>
  <si>
    <t>7.в</t>
  </si>
  <si>
    <t>7.б</t>
  </si>
  <si>
    <t>7.г</t>
  </si>
  <si>
    <t>2.б</t>
  </si>
  <si>
    <t>2.а</t>
  </si>
  <si>
    <t>2.в</t>
  </si>
  <si>
    <t>4.в</t>
  </si>
  <si>
    <t>4.а1</t>
  </si>
  <si>
    <t>4.а3</t>
  </si>
  <si>
    <t>4.а2</t>
  </si>
  <si>
    <t>4.б1</t>
  </si>
  <si>
    <t>4.б2</t>
  </si>
  <si>
    <t>4.б3</t>
  </si>
  <si>
    <t>Способ погружения сваи в грунт (табл. 7.4 СП24)</t>
  </si>
  <si>
    <t>Коэффициенты условий работы грунта</t>
  </si>
  <si>
    <t>Показатель текучести грунта под пятой сваи для глинистых грунтов:</t>
  </si>
  <si>
    <t>Глубина, м</t>
  </si>
  <si>
    <t>Сопротивление грунта под пятой сваи, кПа</t>
  </si>
  <si>
    <t>Коэффициент надежности по ответственности</t>
  </si>
  <si>
    <t>Сторона квадратной сваи, м</t>
  </si>
  <si>
    <t>Несущая способность сваи по грунту на вдавливающую нагрузку, кН</t>
  </si>
  <si>
    <t>Несущая способность сваи по грунту на выдергивающую нагрузку нагрузку, кН</t>
  </si>
  <si>
    <t>Допускаемая вдавливающая нагрузка, кН</t>
  </si>
  <si>
    <t>Допускаемая выдергивающая нагрузка, кН</t>
  </si>
  <si>
    <t>Значение, которые необходимо изменять вручную</t>
  </si>
  <si>
    <t>Значения, которые необходимо контролировать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</si>
  <si>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L</t>
    </r>
  </si>
  <si>
    <t>Интерполяция</t>
  </si>
  <si>
    <t>Результат</t>
  </si>
  <si>
    <t>Определение допускаемой нагрузки на сваю по грунту</t>
  </si>
  <si>
    <t>zi, м</t>
  </si>
  <si>
    <t>Исходные данные</t>
  </si>
  <si>
    <t>Ширина условного фундамента b, м</t>
  </si>
  <si>
    <t>Среднее давление под подошвой условного фундамента p, кПа</t>
  </si>
  <si>
    <r>
      <t>кН/м</t>
    </r>
    <r>
      <rPr>
        <vertAlign val="superscript"/>
        <sz val="12"/>
        <rFont val="Calibri"/>
        <family val="2"/>
        <charset val="204"/>
        <scheme val="minor"/>
      </rPr>
      <t>3</t>
    </r>
  </si>
  <si>
    <r>
      <rPr>
        <b/>
        <sz val="12"/>
        <color theme="1"/>
        <rFont val="Symbol"/>
        <family val="1"/>
        <charset val="2"/>
      </rP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n</t>
    </r>
  </si>
  <si>
    <r>
      <rPr>
        <b/>
        <sz val="12"/>
        <color theme="1"/>
        <rFont val="Symbol"/>
        <family val="1"/>
        <charset val="2"/>
      </rP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II</t>
    </r>
  </si>
  <si>
    <r>
      <rPr>
        <b/>
        <sz val="12"/>
        <color theme="1"/>
        <rFont val="Symbol"/>
        <family val="1"/>
        <charset val="2"/>
      </rP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</si>
  <si>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Symbol"/>
        <family val="1"/>
        <charset val="2"/>
      </rPr>
      <t>g</t>
    </r>
    <r>
      <rPr>
        <b/>
        <sz val="12"/>
        <color theme="1"/>
        <rFont val="Calibri"/>
        <family val="2"/>
        <charset val="204"/>
        <scheme val="minor"/>
      </rPr>
      <t>'</t>
    </r>
    <r>
      <rPr>
        <b/>
        <vertAlign val="subscript"/>
        <sz val="12"/>
        <color theme="1"/>
        <rFont val="Calibri"/>
        <family val="2"/>
        <charset val="204"/>
        <scheme val="minor"/>
      </rPr>
      <t>II</t>
    </r>
  </si>
  <si>
    <t>Осредненные параметры в пределах свай</t>
  </si>
  <si>
    <r>
      <rPr>
        <b/>
        <sz val="12"/>
        <color theme="1"/>
        <rFont val="Symbol"/>
        <family val="1"/>
        <charset val="2"/>
      </rPr>
      <t>g</t>
    </r>
    <r>
      <rPr>
        <b/>
        <sz val="12"/>
        <color theme="1"/>
        <rFont val="Calibri"/>
        <family val="2"/>
        <charset val="204"/>
        <scheme val="minor"/>
      </rPr>
      <t>'</t>
    </r>
    <r>
      <rPr>
        <b/>
        <vertAlign val="subscript"/>
        <sz val="12"/>
        <color theme="1"/>
        <rFont val="Calibri"/>
        <family val="2"/>
        <charset val="204"/>
        <scheme val="minor"/>
      </rPr>
      <t>II i</t>
    </r>
  </si>
  <si>
    <r>
      <rPr>
        <b/>
        <sz val="12"/>
        <color theme="1"/>
        <rFont val="Symbol"/>
        <family val="1"/>
        <charset val="2"/>
      </rPr>
      <t>g</t>
    </r>
    <r>
      <rPr>
        <b/>
        <sz val="12"/>
        <color theme="1"/>
        <rFont val="Calibri"/>
        <family val="2"/>
        <charset val="204"/>
        <scheme val="minor"/>
      </rPr>
      <t>'</t>
    </r>
    <r>
      <rPr>
        <b/>
        <vertAlign val="subscript"/>
        <sz val="12"/>
        <color theme="1"/>
        <rFont val="Calibri"/>
        <family val="2"/>
        <charset val="204"/>
        <scheme val="minor"/>
      </rPr>
      <t xml:space="preserve">II I 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</si>
  <si>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Symbol"/>
        <family val="1"/>
        <charset val="2"/>
      </rP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II i</t>
    </r>
  </si>
  <si>
    <r>
      <t>σ</t>
    </r>
    <r>
      <rPr>
        <b/>
        <vertAlign val="subscript"/>
        <sz val="11"/>
        <color theme="1"/>
        <rFont val="Calibri"/>
        <family val="2"/>
        <charset val="204"/>
      </rPr>
      <t>zg</t>
    </r>
    <r>
      <rPr>
        <b/>
        <sz val="11"/>
        <color theme="1"/>
        <rFont val="Calibri"/>
        <family val="2"/>
        <charset val="204"/>
      </rPr>
      <t>, кПа</t>
    </r>
  </si>
  <si>
    <t>2z/b</t>
  </si>
  <si>
    <r>
      <t>σ</t>
    </r>
    <r>
      <rPr>
        <b/>
        <vertAlign val="subscript"/>
        <sz val="12"/>
        <color theme="1"/>
        <rFont val="Calibri"/>
        <family val="2"/>
        <charset val="204"/>
        <scheme val="minor"/>
      </rPr>
      <t>z</t>
    </r>
    <r>
      <rPr>
        <b/>
        <vertAlign val="subscript"/>
        <sz val="11"/>
        <color theme="1"/>
        <rFont val="Calibri"/>
        <family val="2"/>
        <charset val="204"/>
      </rPr>
      <t>p</t>
    </r>
    <r>
      <rPr>
        <b/>
        <sz val="11"/>
        <color theme="1"/>
        <rFont val="Calibri"/>
        <family val="2"/>
        <charset val="204"/>
      </rPr>
      <t>, кПа</t>
    </r>
  </si>
  <si>
    <r>
      <t>0,5σ</t>
    </r>
    <r>
      <rPr>
        <b/>
        <vertAlign val="subscript"/>
        <sz val="11"/>
        <color theme="1"/>
        <rFont val="Calibri"/>
        <family val="2"/>
        <charset val="204"/>
      </rPr>
      <t>zg</t>
    </r>
    <r>
      <rPr>
        <b/>
        <sz val="11"/>
        <color theme="1"/>
        <rFont val="Calibri"/>
        <family val="2"/>
        <charset val="204"/>
      </rPr>
      <t>, кПа</t>
    </r>
  </si>
  <si>
    <r>
      <t>Минимальная глубина сжимаемой толщи H</t>
    </r>
    <r>
      <rPr>
        <vertAlign val="subscript"/>
        <sz val="11"/>
        <color theme="1"/>
        <rFont val="Calibri"/>
        <family val="2"/>
        <charset val="204"/>
        <scheme val="minor"/>
      </rPr>
      <t>min</t>
    </r>
    <r>
      <rPr>
        <sz val="11"/>
        <color theme="1"/>
        <rFont val="Calibri"/>
        <family val="2"/>
        <charset val="204"/>
        <scheme val="minor"/>
      </rPr>
      <t>, м</t>
    </r>
  </si>
  <si>
    <t>Фактическая глубина сжимаемой толщи, м</t>
  </si>
  <si>
    <r>
      <t>Условие H&gt;=H</t>
    </r>
    <r>
      <rPr>
        <vertAlign val="subscript"/>
        <sz val="11"/>
        <color theme="1"/>
        <rFont val="Calibri"/>
        <family val="2"/>
        <charset val="204"/>
        <scheme val="minor"/>
      </rPr>
      <t>min</t>
    </r>
  </si>
  <si>
    <r>
      <t>σ</t>
    </r>
    <r>
      <rPr>
        <b/>
        <vertAlign val="subscript"/>
        <sz val="12"/>
        <color theme="1"/>
        <rFont val="Calibri"/>
        <family val="2"/>
        <charset val="204"/>
        <scheme val="minor"/>
      </rPr>
      <t>z</t>
    </r>
    <r>
      <rPr>
        <b/>
        <vertAlign val="subscript"/>
        <sz val="11"/>
        <color theme="1"/>
        <rFont val="Calibri"/>
        <family val="2"/>
        <charset val="204"/>
      </rPr>
      <t>p i</t>
    </r>
    <r>
      <rPr>
        <b/>
        <sz val="11"/>
        <color theme="1"/>
        <rFont val="Calibri"/>
        <family val="2"/>
        <charset val="204"/>
      </rPr>
      <t>, кПа</t>
    </r>
  </si>
  <si>
    <r>
      <t>Е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Мпа</t>
    </r>
  </si>
  <si>
    <t>s, см</t>
  </si>
  <si>
    <t>u</t>
  </si>
  <si>
    <r>
      <t>u*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</si>
  <si>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t>u</t>
    </r>
    <r>
      <rPr>
        <b/>
        <vertAlign val="subscript"/>
        <sz val="12"/>
        <color theme="1"/>
        <rFont val="Calibri"/>
        <family val="2"/>
        <charset val="204"/>
        <scheme val="minor"/>
      </rPr>
      <t>1</t>
    </r>
  </si>
  <si>
    <r>
      <t>u</t>
    </r>
    <r>
      <rPr>
        <b/>
        <vertAlign val="subscript"/>
        <sz val="12"/>
        <color theme="1"/>
        <rFont val="Calibri"/>
        <family val="2"/>
        <charset val="204"/>
        <scheme val="minor"/>
      </rPr>
      <t>2</t>
    </r>
  </si>
  <si>
    <r>
      <t>Е</t>
    </r>
    <r>
      <rPr>
        <b/>
        <vertAlign val="subscript"/>
        <sz val="12"/>
        <color theme="1"/>
        <rFont val="Calibri"/>
        <family val="2"/>
        <charset val="204"/>
        <scheme val="minor"/>
      </rPr>
      <t xml:space="preserve">i 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</si>
  <si>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t>Е</t>
    </r>
    <r>
      <rPr>
        <b/>
        <vertAlign val="subscript"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  <scheme val="minor"/>
      </rPr>
      <t>, Мпа</t>
    </r>
  </si>
  <si>
    <r>
      <t>E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МПа</t>
    </r>
  </si>
  <si>
    <t>Сторона ячейки а, м</t>
  </si>
  <si>
    <r>
      <t xml:space="preserve">Площадь ячейки </t>
    </r>
    <r>
      <rPr>
        <sz val="11"/>
        <color theme="1"/>
        <rFont val="Symbol"/>
        <family val="1"/>
        <charset val="2"/>
      </rPr>
      <t>W</t>
    </r>
    <r>
      <rPr>
        <sz val="11"/>
        <color theme="1"/>
        <rFont val="Calibri"/>
        <family val="2"/>
        <charset val="204"/>
        <scheme val="minor"/>
      </rPr>
      <t>,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</si>
  <si>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t>Усилие при расчете на продавливание</t>
  </si>
  <si>
    <t>Коэф. Пуассона</t>
  </si>
  <si>
    <t>Модуль деформации, Мпа</t>
  </si>
  <si>
    <t>Оср. знач. параметров в пределах длины сваи</t>
  </si>
  <si>
    <t>Оср. знач. параметров в пределах сжим. толщи</t>
  </si>
  <si>
    <t>Осадка сваи от продавливания</t>
  </si>
  <si>
    <r>
      <rPr>
        <sz val="11"/>
        <color theme="1"/>
        <rFont val="Symbol"/>
        <family val="1"/>
        <charset val="2"/>
      </rPr>
      <t>D</t>
    </r>
    <r>
      <rPr>
        <sz val="12.65"/>
        <color theme="1"/>
        <rFont val="Calibri"/>
        <family val="2"/>
        <charset val="204"/>
      </rPr>
      <t>s</t>
    </r>
    <r>
      <rPr>
        <vertAlign val="subscript"/>
        <sz val="12.65"/>
        <color theme="1"/>
        <rFont val="Calibri"/>
        <family val="2"/>
        <charset val="204"/>
      </rPr>
      <t>p1</t>
    </r>
    <r>
      <rPr>
        <sz val="12.65"/>
        <color theme="1"/>
        <rFont val="Calibri"/>
        <family val="2"/>
        <charset val="204"/>
      </rPr>
      <t>, см</t>
    </r>
  </si>
  <si>
    <r>
      <rPr>
        <sz val="11"/>
        <color theme="1"/>
        <rFont val="Symbol"/>
        <family val="1"/>
        <charset val="2"/>
      </rPr>
      <t>D</t>
    </r>
    <r>
      <rPr>
        <sz val="12.65"/>
        <color theme="1"/>
        <rFont val="Calibri"/>
        <family val="2"/>
        <charset val="204"/>
      </rPr>
      <t>s</t>
    </r>
    <r>
      <rPr>
        <vertAlign val="subscript"/>
        <sz val="12.65"/>
        <color theme="1"/>
        <rFont val="Calibri"/>
        <family val="2"/>
        <charset val="204"/>
      </rPr>
      <t>p0</t>
    </r>
    <r>
      <rPr>
        <sz val="12.65"/>
        <color theme="1"/>
        <rFont val="Calibri"/>
        <family val="2"/>
        <charset val="204"/>
      </rPr>
      <t>, см</t>
    </r>
  </si>
  <si>
    <r>
      <rPr>
        <sz val="11"/>
        <color theme="1"/>
        <rFont val="Symbol"/>
        <family val="1"/>
        <charset val="2"/>
      </rPr>
      <t>D</t>
    </r>
    <r>
      <rPr>
        <sz val="12.65"/>
        <color theme="1"/>
        <rFont val="Calibri"/>
        <family val="2"/>
        <charset val="204"/>
      </rPr>
      <t>s</t>
    </r>
    <r>
      <rPr>
        <vertAlign val="subscript"/>
        <sz val="12.65"/>
        <color theme="1"/>
        <rFont val="Calibri"/>
        <family val="2"/>
        <charset val="204"/>
      </rPr>
      <t>p</t>
    </r>
    <r>
      <rPr>
        <sz val="12.65"/>
        <color theme="1"/>
        <rFont val="Calibri"/>
        <family val="2"/>
        <charset val="204"/>
      </rPr>
      <t>, см</t>
    </r>
  </si>
  <si>
    <t>Осадка сваи от сжатия ствола</t>
  </si>
  <si>
    <r>
      <t>E</t>
    </r>
    <r>
      <rPr>
        <vertAlign val="subscript"/>
        <sz val="11"/>
        <color theme="1"/>
        <rFont val="Calibri"/>
        <family val="2"/>
        <charset val="204"/>
      </rPr>
      <t>b</t>
    </r>
    <r>
      <rPr>
        <sz val="11"/>
        <color theme="1"/>
        <rFont val="Calibri"/>
        <family val="1"/>
        <charset val="2"/>
      </rPr>
      <t>, МПа</t>
    </r>
  </si>
  <si>
    <r>
      <rPr>
        <sz val="11"/>
        <color theme="1"/>
        <rFont val="Symbol"/>
        <family val="1"/>
        <charset val="2"/>
      </rPr>
      <t>D</t>
    </r>
    <r>
      <rPr>
        <sz val="12.65"/>
        <color theme="1"/>
        <rFont val="Calibri"/>
        <family val="2"/>
        <charset val="204"/>
      </rPr>
      <t>s</t>
    </r>
    <r>
      <rPr>
        <vertAlign val="subscript"/>
        <sz val="12.65"/>
        <color theme="1"/>
        <rFont val="Calibri"/>
        <family val="2"/>
        <charset val="204"/>
      </rPr>
      <t>с</t>
    </r>
    <r>
      <rPr>
        <sz val="12.65"/>
        <color theme="1"/>
        <rFont val="Calibri"/>
        <family val="2"/>
        <charset val="204"/>
      </rPr>
      <t>, см</t>
    </r>
  </si>
  <si>
    <t>Общая осадка сваи, см</t>
  </si>
  <si>
    <r>
      <t>f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кПа зонд</t>
    </r>
  </si>
  <si>
    <r>
      <t>f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кН/м зонд</t>
    </r>
  </si>
  <si>
    <t>Сумма fihi, кН/м зонд</t>
  </si>
  <si>
    <t>Стат. Зондирование</t>
  </si>
  <si>
    <t>K</t>
  </si>
  <si>
    <r>
      <t>K, кН/м</t>
    </r>
    <r>
      <rPr>
        <b/>
        <vertAlign val="superscript"/>
        <sz val="12"/>
        <color theme="1"/>
        <rFont val="Calibri"/>
        <family val="2"/>
        <charset val="204"/>
        <scheme val="minor"/>
      </rPr>
      <t>4</t>
    </r>
  </si>
  <si>
    <t xml:space="preserve">крупных и ср крепности </t>
  </si>
  <si>
    <t>мелких</t>
  </si>
  <si>
    <t>пылеватых</t>
  </si>
  <si>
    <t>Интерпол стат зонд</t>
  </si>
  <si>
    <t>f</t>
  </si>
  <si>
    <t>0,4E</t>
  </si>
  <si>
    <t>G</t>
  </si>
  <si>
    <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МПа</t>
    </r>
  </si>
  <si>
    <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 xml:space="preserve">i 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</si>
  <si>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2</t>
    </r>
    <r>
      <rPr>
        <b/>
        <sz val="12"/>
        <color theme="1"/>
        <rFont val="Calibri"/>
        <family val="2"/>
        <charset val="204"/>
        <scheme val="minor"/>
      </rPr>
      <t>, Мпа</t>
    </r>
  </si>
  <si>
    <t>Расчет осадки одиночной сваи</t>
  </si>
  <si>
    <t>Осредненные параметры в пределах длины сваи</t>
  </si>
  <si>
    <r>
      <t>Модуль сдвига G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, МПа</t>
    </r>
  </si>
  <si>
    <r>
      <rPr>
        <b/>
        <sz val="12"/>
        <color theme="1"/>
        <rFont val="Calibri"/>
        <family val="2"/>
        <charset val="204"/>
        <scheme val="minor"/>
      </rPr>
      <t>G</t>
    </r>
    <r>
      <rPr>
        <b/>
        <sz val="12"/>
        <color theme="1"/>
        <rFont val="Symbol"/>
        <family val="1"/>
        <charset val="2"/>
      </rPr>
      <t>*</t>
    </r>
    <r>
      <rPr>
        <b/>
        <sz val="12"/>
        <color theme="1"/>
        <rFont val="Calibri"/>
        <family val="2"/>
        <charset val="204"/>
        <scheme val="minor"/>
      </rP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</si>
  <si>
    <r>
      <rPr>
        <b/>
        <sz val="12"/>
        <color theme="1"/>
        <rFont val="Calibri"/>
        <family val="2"/>
        <charset val="204"/>
        <scheme val="minor"/>
      </rPr>
      <t>G</t>
    </r>
    <r>
      <rPr>
        <b/>
        <vertAlign val="subscript"/>
        <sz val="12"/>
        <color theme="1"/>
        <rFont val="Calibri"/>
        <family val="2"/>
        <charset val="204"/>
        <scheme val="minor"/>
      </rPr>
      <t>2</t>
    </r>
  </si>
  <si>
    <t>Отметка подошвы напластования ниже сваи, м</t>
  </si>
  <si>
    <t>Осредненные параметры под сваей</t>
  </si>
  <si>
    <t>Длина рассматриваемого напластования 0,5L, м</t>
  </si>
  <si>
    <r>
      <t>Модуль сдвига G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, МПа</t>
    </r>
  </si>
  <si>
    <r>
      <t xml:space="preserve">Коэффициент пуассона </t>
    </r>
    <r>
      <rPr>
        <sz val="11"/>
        <color theme="1"/>
        <rFont val="Symbol"/>
        <family val="1"/>
        <charset val="2"/>
      </rPr>
      <t>u</t>
    </r>
    <r>
      <rPr>
        <vertAlign val="subscript"/>
        <sz val="11"/>
        <color theme="1"/>
        <rFont val="Calibri"/>
        <family val="2"/>
        <charset val="204"/>
        <scheme val="minor"/>
      </rPr>
      <t>2</t>
    </r>
  </si>
  <si>
    <r>
      <t xml:space="preserve">Коэффициент пуассона </t>
    </r>
    <r>
      <rPr>
        <sz val="11"/>
        <color theme="1"/>
        <rFont val="Symbol"/>
        <family val="1"/>
        <charset val="2"/>
      </rPr>
      <t>u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</si>
  <si>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r>
      <t xml:space="preserve">Средний коэффициент пуассона </t>
    </r>
    <r>
      <rPr>
        <sz val="11"/>
        <color theme="1"/>
        <rFont val="Symbol"/>
        <family val="1"/>
        <charset val="2"/>
      </rPr>
      <t>u</t>
    </r>
  </si>
  <si>
    <r>
      <t>Коэффициент k</t>
    </r>
    <r>
      <rPr>
        <vertAlign val="subscript"/>
        <sz val="11"/>
        <color theme="1"/>
        <rFont val="Symbol"/>
        <family val="1"/>
        <charset val="2"/>
      </rPr>
      <t>u</t>
    </r>
  </si>
  <si>
    <r>
      <t>Коэффициент k</t>
    </r>
    <r>
      <rPr>
        <vertAlign val="subscript"/>
        <sz val="11"/>
        <color theme="1"/>
        <rFont val="Symbol"/>
        <family val="1"/>
        <charset val="2"/>
      </rPr>
      <t>u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</si>
  <si>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Свая квадратного сечения?</t>
  </si>
  <si>
    <t>Да</t>
  </si>
  <si>
    <t>Нет</t>
  </si>
  <si>
    <r>
      <t>Площадь сечения сваи, 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</si>
  <si>
    <r>
      <t>Модуль упругости бетона сваи E</t>
    </r>
    <r>
      <rPr>
        <vertAlign val="subscript"/>
        <sz val="11"/>
        <color theme="1"/>
        <rFont val="Calibri"/>
        <family val="2"/>
        <charset val="204"/>
        <scheme val="minor"/>
      </rPr>
      <t>b</t>
    </r>
    <r>
      <rPr>
        <sz val="11"/>
        <color theme="1"/>
        <rFont val="Calibri"/>
        <family val="2"/>
        <charset val="204"/>
        <scheme val="minor"/>
      </rPr>
      <t>, МПа</t>
    </r>
  </si>
  <si>
    <r>
      <t xml:space="preserve">Коэффициент 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charset val="204"/>
        <scheme val="minor"/>
      </rPr>
      <t>' для абсолютно жесткой сваи</t>
    </r>
  </si>
  <si>
    <r>
      <t xml:space="preserve">Коэффициент 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2"/>
        <charset val="204"/>
        <scheme val="minor"/>
      </rPr>
      <t>' для случая однородного основания</t>
    </r>
  </si>
  <si>
    <r>
      <t xml:space="preserve">Относительная жесткость сваи </t>
    </r>
    <r>
      <rPr>
        <sz val="11"/>
        <color theme="1"/>
        <rFont val="Symbol"/>
        <family val="1"/>
        <charset val="2"/>
      </rPr>
      <t>c</t>
    </r>
  </si>
  <si>
    <t>Длина сваи в грунте L, м</t>
  </si>
  <si>
    <r>
      <t xml:space="preserve">Параметр </t>
    </r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 xml:space="preserve"> увеличения осадки за счет сжатия ствола сваи</t>
    </r>
  </si>
  <si>
    <r>
      <t xml:space="preserve">Коэффициент </t>
    </r>
    <r>
      <rPr>
        <sz val="11"/>
        <color theme="1"/>
        <rFont val="Symbol"/>
        <family val="1"/>
        <charset val="2"/>
      </rPr>
      <t>b</t>
    </r>
  </si>
  <si>
    <t>Сторона или диаметр сваи D, м</t>
  </si>
  <si>
    <t>Расчетный диаметр d, м</t>
  </si>
  <si>
    <t>Осадка одиночной сваи</t>
  </si>
  <si>
    <t xml:space="preserve">Коэффициенты </t>
  </si>
  <si>
    <t>Осадка одиночной сваи, мм</t>
  </si>
  <si>
    <t>Контроль</t>
  </si>
  <si>
    <t>L/d&lt;=5</t>
  </si>
  <si>
    <r>
      <t>G</t>
    </r>
    <r>
      <rPr>
        <vertAlign val="subscript"/>
        <sz val="11"/>
        <color theme="1"/>
        <rFont val="Calibri"/>
        <family val="2"/>
        <charset val="204"/>
        <scheme val="minor"/>
      </rPr>
      <t>1</t>
    </r>
    <r>
      <rPr>
        <sz val="11"/>
        <color theme="1"/>
        <rFont val="Calibri"/>
        <family val="2"/>
        <charset val="204"/>
        <scheme val="minor"/>
      </rPr>
      <t>L/G</t>
    </r>
    <r>
      <rPr>
        <vertAlign val="sub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d&gt;1</t>
    </r>
  </si>
  <si>
    <t>Расчет дополнительной осадки сваи в кусте</t>
  </si>
  <si>
    <t>Куст свай</t>
  </si>
  <si>
    <t>Шаг свай по Y, м</t>
  </si>
  <si>
    <t>Шаг свай по Х, м</t>
  </si>
  <si>
    <t>X, м</t>
  </si>
  <si>
    <t>Y, м</t>
  </si>
  <si>
    <t>Свая №</t>
  </si>
  <si>
    <t>Дополнительная осадка рассчитывается для свая №</t>
  </si>
  <si>
    <t>с координатами от левой верхней сваи</t>
  </si>
  <si>
    <t>d</t>
  </si>
  <si>
    <t>№</t>
  </si>
  <si>
    <r>
      <t>N</t>
    </r>
    <r>
      <rPr>
        <vertAlign val="subscript"/>
        <sz val="11"/>
        <color theme="1"/>
        <rFont val="Calibri"/>
        <family val="2"/>
        <charset val="204"/>
        <scheme val="minor"/>
      </rPr>
      <t>II i</t>
    </r>
  </si>
  <si>
    <t xml:space="preserve"> - вписывать в таблицу ниже номера свай и нагрузку на них по 2ГПС, кН</t>
  </si>
  <si>
    <r>
      <t>k</t>
    </r>
    <r>
      <rPr>
        <b/>
        <vertAlign val="subscript"/>
        <sz val="11"/>
        <color theme="1"/>
        <rFont val="Symbol"/>
        <family val="1"/>
        <charset val="2"/>
      </rPr>
      <t>u</t>
    </r>
    <r>
      <rPr>
        <b/>
        <sz val="11"/>
        <color theme="1"/>
        <rFont val="Calibri"/>
        <family val="2"/>
        <charset val="204"/>
        <scheme val="minor"/>
      </rPr>
      <t>G</t>
    </r>
    <r>
      <rPr>
        <b/>
        <vertAlign val="subscript"/>
        <sz val="11"/>
        <color theme="1"/>
        <rFont val="Calibri"/>
        <family val="2"/>
        <charset val="204"/>
        <scheme val="minor"/>
      </rPr>
      <t>1</t>
    </r>
    <r>
      <rPr>
        <b/>
        <sz val="11"/>
        <color theme="1"/>
        <rFont val="Calibri"/>
        <family val="2"/>
        <charset val="204"/>
        <scheme val="minor"/>
      </rPr>
      <t>l/2G</t>
    </r>
    <r>
      <rPr>
        <b/>
        <vertAlign val="subscript"/>
        <sz val="11"/>
        <color theme="1"/>
        <rFont val="Calibri"/>
        <family val="2"/>
        <charset val="204"/>
        <scheme val="minor"/>
      </rPr>
      <t>2</t>
    </r>
    <r>
      <rPr>
        <b/>
        <sz val="11"/>
        <color theme="1"/>
        <rFont val="Calibri"/>
        <family val="2"/>
        <charset val="204"/>
        <scheme val="minor"/>
      </rPr>
      <t>a</t>
    </r>
  </si>
  <si>
    <r>
      <t>N</t>
    </r>
    <r>
      <rPr>
        <b/>
        <vertAlign val="subscript"/>
        <sz val="11"/>
        <color theme="1"/>
        <rFont val="Calibri"/>
        <family val="2"/>
        <charset val="204"/>
        <scheme val="minor"/>
      </rPr>
      <t>II i</t>
    </r>
    <r>
      <rPr>
        <b/>
        <sz val="11"/>
        <color theme="1"/>
        <rFont val="Calibri"/>
        <family val="2"/>
        <charset val="204"/>
        <scheme val="minor"/>
      </rPr>
      <t>, кН</t>
    </r>
  </si>
  <si>
    <r>
      <t>Дополнительная осадка S</t>
    </r>
    <r>
      <rPr>
        <b/>
        <vertAlign val="subscript"/>
        <sz val="11"/>
        <color theme="1"/>
        <rFont val="Calibri"/>
        <family val="2"/>
        <charset val="204"/>
        <scheme val="minor"/>
      </rPr>
      <t xml:space="preserve">ad i </t>
    </r>
    <r>
      <rPr>
        <b/>
        <sz val="11"/>
        <color theme="1"/>
        <rFont val="Calibri"/>
        <family val="2"/>
        <charset val="204"/>
        <scheme val="minor"/>
      </rPr>
      <t>, мм</t>
    </r>
  </si>
  <si>
    <r>
      <t>Дополнительная осадка S</t>
    </r>
    <r>
      <rPr>
        <b/>
        <vertAlign val="subscript"/>
        <sz val="11"/>
        <color theme="1"/>
        <rFont val="Calibri"/>
        <family val="2"/>
        <charset val="204"/>
        <scheme val="minor"/>
      </rPr>
      <t xml:space="preserve">ad  </t>
    </r>
    <r>
      <rPr>
        <b/>
        <sz val="11"/>
        <color theme="1"/>
        <rFont val="Calibri"/>
        <family val="2"/>
        <charset val="204"/>
        <scheme val="minor"/>
      </rPr>
      <t>, мм</t>
    </r>
  </si>
  <si>
    <r>
      <t>Дополнительная осадка за счет взаимного влияния s</t>
    </r>
    <r>
      <rPr>
        <vertAlign val="subscript"/>
        <sz val="11"/>
        <color theme="1"/>
        <rFont val="Calibri"/>
        <family val="2"/>
        <charset val="204"/>
        <scheme val="minor"/>
      </rPr>
      <t>ad</t>
    </r>
    <r>
      <rPr>
        <sz val="11"/>
        <color theme="1"/>
        <rFont val="Calibri"/>
        <family val="2"/>
        <charset val="204"/>
        <scheme val="minor"/>
      </rPr>
      <t>, мм</t>
    </r>
  </si>
  <si>
    <t>Осадка свайного куста</t>
  </si>
  <si>
    <r>
      <t>Максимальная осадка фундамента s+s</t>
    </r>
    <r>
      <rPr>
        <vertAlign val="subscript"/>
        <sz val="11"/>
        <color theme="1"/>
        <rFont val="Calibri"/>
        <family val="2"/>
        <charset val="204"/>
        <scheme val="minor"/>
      </rPr>
      <t>ad</t>
    </r>
    <r>
      <rPr>
        <sz val="11"/>
        <color theme="1"/>
        <rFont val="Calibri"/>
        <family val="2"/>
        <charset val="204"/>
        <scheme val="minor"/>
      </rPr>
      <t>, мм</t>
    </r>
  </si>
  <si>
    <t>Коэффициент упругости сваи K=F/s, кН/м</t>
  </si>
  <si>
    <t>Шаг 1</t>
  </si>
  <si>
    <t>Шаг 2</t>
  </si>
  <si>
    <t>Шаг 3</t>
  </si>
  <si>
    <t>Низ толщи</t>
  </si>
  <si>
    <t>Статическое зондирование?</t>
  </si>
  <si>
    <t>Значения допускаемых нагрузок в т*с</t>
  </si>
  <si>
    <t>Верхняя граница из таблицы 7.2</t>
  </si>
  <si>
    <t>Нижняя граница из таблицы 7.2</t>
  </si>
  <si>
    <t>Верхняя граница из изысканий</t>
  </si>
  <si>
    <t>Нижняя граница из изысканий</t>
  </si>
  <si>
    <t>Номер скважины</t>
  </si>
  <si>
    <t>Отметка пяты сваи</t>
  </si>
  <si>
    <t xml:space="preserve"> </t>
  </si>
  <si>
    <t>Отметка подошвы ростверка</t>
  </si>
  <si>
    <t>Пята сваи в слое № п/п</t>
  </si>
  <si>
    <t>Грунт под подошвой сваи ИГЭ/№п.п:</t>
  </si>
  <si>
    <t>№п/п</t>
  </si>
  <si>
    <t>Кси</t>
  </si>
  <si>
    <t>Круглых</t>
  </si>
  <si>
    <t>Ленточных</t>
  </si>
  <si>
    <t>Габариты условного фундамента</t>
  </si>
  <si>
    <t>м</t>
  </si>
  <si>
    <t>Соотношение сторон</t>
  </si>
  <si>
    <t>Ширина,b</t>
  </si>
  <si>
    <t>Длина,L</t>
  </si>
  <si>
    <t>Свайное поле</t>
  </si>
  <si>
    <r>
      <t>H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м</t>
    </r>
  </si>
  <si>
    <r>
      <t>Меньше Н</t>
    </r>
    <r>
      <rPr>
        <b/>
        <vertAlign val="subscript"/>
        <sz val="12"/>
        <color theme="1"/>
        <rFont val="Calibri"/>
        <family val="2"/>
        <charset val="204"/>
        <scheme val="minor"/>
      </rPr>
      <t>min</t>
    </r>
    <r>
      <rPr>
        <b/>
        <sz val="12"/>
        <color theme="1"/>
        <rFont val="Calibri"/>
        <family val="2"/>
        <charset val="204"/>
        <scheme val="minor"/>
      </rPr>
      <t>?</t>
    </r>
  </si>
  <si>
    <r>
      <t>σ</t>
    </r>
    <r>
      <rPr>
        <b/>
        <vertAlign val="subscript"/>
        <sz val="12"/>
        <color theme="1"/>
        <rFont val="Calibri"/>
        <family val="2"/>
        <charset val="204"/>
        <scheme val="minor"/>
      </rPr>
      <t>zp</t>
    </r>
    <r>
      <rPr>
        <b/>
        <sz val="12"/>
        <color theme="1"/>
        <rFont val="Calibri"/>
        <family val="2"/>
        <charset val="204"/>
        <scheme val="minor"/>
      </rPr>
      <t>&gt;0.5σ</t>
    </r>
    <r>
      <rPr>
        <b/>
        <vertAlign val="subscript"/>
        <sz val="12"/>
        <color theme="1"/>
        <rFont val="Calibri"/>
        <family val="2"/>
        <charset val="204"/>
        <scheme val="minor"/>
      </rPr>
      <t>zg</t>
    </r>
  </si>
  <si>
    <t>E&lt;=7МПа</t>
  </si>
  <si>
    <r>
      <t>σ</t>
    </r>
    <r>
      <rPr>
        <b/>
        <vertAlign val="subscript"/>
        <sz val="12"/>
        <color theme="1"/>
        <rFont val="Calibri"/>
        <family val="2"/>
        <charset val="204"/>
        <scheme val="minor"/>
      </rPr>
      <t>zp</t>
    </r>
    <r>
      <rPr>
        <b/>
        <sz val="12"/>
        <color theme="1"/>
        <rFont val="Calibri"/>
        <family val="2"/>
        <charset val="204"/>
        <scheme val="minor"/>
      </rPr>
      <t>&gt;0.2σ</t>
    </r>
    <r>
      <rPr>
        <b/>
        <vertAlign val="subscript"/>
        <sz val="12"/>
        <color theme="1"/>
        <rFont val="Calibri"/>
        <family val="2"/>
        <charset val="204"/>
        <scheme val="minor"/>
      </rPr>
      <t>zg</t>
    </r>
  </si>
  <si>
    <t>Глубина последнего грунта в скважине</t>
  </si>
  <si>
    <t>Коэффициент упругости одной сваи, кН/м</t>
  </si>
  <si>
    <r>
      <t>Усредненный удельный вес грунта в пределах длины сваи, кН/м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</si>
  <si>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Осадка условного фундамента</t>
  </si>
  <si>
    <r>
      <rPr>
        <sz val="11"/>
        <color theme="1"/>
        <rFont val="Symbol"/>
        <family val="1"/>
        <charset val="2"/>
      </rPr>
      <t>D</t>
    </r>
    <r>
      <rPr>
        <sz val="12.65"/>
        <color theme="1"/>
        <rFont val="Calibri"/>
        <family val="2"/>
        <charset val="204"/>
      </rPr>
      <t>s</t>
    </r>
    <r>
      <rPr>
        <vertAlign val="subscript"/>
        <sz val="12.65"/>
        <color theme="1"/>
        <rFont val="Calibri"/>
        <family val="2"/>
        <charset val="204"/>
      </rPr>
      <t>ef</t>
    </r>
    <r>
      <rPr>
        <sz val="12.65"/>
        <color theme="1"/>
        <rFont val="Calibri"/>
        <family val="2"/>
        <charset val="204"/>
      </rPr>
      <t>, см</t>
    </r>
  </si>
  <si>
    <t>Нагрузка на сваю с наибольшим влиянием соседних в кусте N от расчетных нагрузок по 2 ГПС, кН</t>
  </si>
  <si>
    <t>Ориентировочное количество свай</t>
  </si>
  <si>
    <t>Количество свай</t>
  </si>
  <si>
    <t>Гамма c,g</t>
  </si>
  <si>
    <t>21 и более</t>
  </si>
  <si>
    <t>от 11 до 20</t>
  </si>
  <si>
    <t>от 6 до 10</t>
  </si>
  <si>
    <t>от 1 до 5</t>
  </si>
  <si>
    <t>Коэффициент надежности по грунту для вдавливающей нагрузки</t>
  </si>
  <si>
    <t>Коэффициент надежности по грунту для выдергивающей нагрузки</t>
  </si>
  <si>
    <r>
      <t>K*z</t>
    </r>
    <r>
      <rPr>
        <b/>
        <vertAlign val="subscript"/>
        <sz val="12"/>
        <color theme="1"/>
        <rFont val="Calibri"/>
        <family val="2"/>
        <charset val="204"/>
        <scheme val="minor"/>
      </rPr>
      <t>i</t>
    </r>
    <r>
      <rPr>
        <b/>
        <sz val="12"/>
        <color theme="1"/>
        <rFont val="Calibri"/>
        <family val="2"/>
        <charset val="204"/>
        <scheme val="minor"/>
      </rPr>
      <t>, кН/м</t>
    </r>
    <r>
      <rPr>
        <b/>
        <vertAlign val="superscript"/>
        <sz val="12"/>
        <color theme="1"/>
        <rFont val="Calibri"/>
        <family val="2"/>
        <charset val="204"/>
        <scheme val="minor"/>
      </rPr>
      <t>3</t>
    </r>
  </si>
  <si>
    <t>Учитывать трение по боковой поверхности?</t>
  </si>
  <si>
    <t>Учитывать трение по бок.пов. сваи ?</t>
  </si>
  <si>
    <t>гравелистые</t>
  </si>
  <si>
    <t>пылеватые</t>
  </si>
  <si>
    <t>текучие</t>
  </si>
  <si>
    <t>тугопластичные</t>
  </si>
  <si>
    <t>мягкопластичные</t>
  </si>
  <si>
    <t>текучепластичные</t>
  </si>
  <si>
    <t>Крупность песчаных грунтов/консистенция глинистых грунтов</t>
  </si>
  <si>
    <t>Таблица 7.2 для глинистых грунтов</t>
  </si>
  <si>
    <t>Таблица 7.2 для песчаных грунтов</t>
  </si>
  <si>
    <t>Насыпные грунты</t>
  </si>
  <si>
    <t>с вкл. строительного мусора</t>
  </si>
  <si>
    <t>Грунт</t>
  </si>
  <si>
    <t>1-песчаный, 2-глинистый</t>
  </si>
  <si>
    <t>Для проверки Интерполяция значения для сопротивления грунта под пятой, кПа</t>
  </si>
  <si>
    <t>Ручная Интерполяция значения для сопротивления грунта под пятой по зонду, кПа</t>
  </si>
  <si>
    <t>Для проверки</t>
  </si>
  <si>
    <t>Для проверки Интерполяция по табл. 5.8</t>
  </si>
  <si>
    <t>Глубина погружения сваи от поверхности грунта, м</t>
  </si>
  <si>
    <t>Глубина погружения сваи от низа ростверка, м</t>
  </si>
  <si>
    <t>Отметка планировки участка</t>
  </si>
  <si>
    <t>Величина насыпи, 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</si>
</sst>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6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vertAlign val="subscript"/>
      <sz val="12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2"/>
      <color theme="1"/>
      <name val="Symbol"/>
      <family val="1"/>
      <charset val="2"/>
    </font>
    <font>
      <b/>
      <sz val="12"/>
      <color theme="1"/>
      <name val="Calibri"/>
      <family val="1"/>
      <charset val="2"/>
      <scheme val="minor"/>
    </font>
    <font>
      <vertAlign val="superscript"/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charset val="204"/>
    </font>
    <font>
      <sz val="11"/>
      <color theme="1"/>
      <name val="Calibri"/>
      <family val="1"/>
      <charset val="2"/>
    </font>
    <font>
      <b/>
      <sz val="12"/>
      <color theme="1"/>
      <name val="Calibri"/>
      <family val="1"/>
      <charset val="204"/>
    </font>
    <font>
      <b/>
      <vertAlign val="subscript"/>
      <sz val="12"/>
      <color theme="1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vertAlign val="superscript"/>
      <sz val="12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b/>
      <vertAlign val="subscript"/>
      <sz val="11"/>
      <color theme="1"/>
      <name val="Calibri"/>
      <family val="2"/>
      <charset val="204"/>
    </font>
    <font>
      <sz val="12.65"/>
      <color theme="1"/>
      <name val="Calibri"/>
      <family val="2"/>
      <charset val="204"/>
    </font>
    <font>
      <vertAlign val="subscript"/>
      <sz val="12.65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b/>
      <vertAlign val="superscript"/>
      <sz val="12"/>
      <color theme="1"/>
      <name val="Calibri"/>
      <family val="2"/>
      <charset val="204"/>
      <scheme val="minor"/>
    </font>
    <font>
      <b/>
      <sz val="12"/>
      <color theme="1"/>
      <name val="Symbol"/>
      <family val="2"/>
      <charset val="204"/>
    </font>
    <font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charset val="204"/>
      <scheme val="minor"/>
    </font>
    <font>
      <b/>
      <sz val="11"/>
      <color theme="1"/>
      <name val="Symbol"/>
      <family val="1"/>
      <charset val="204"/>
    </font>
    <font>
      <b/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89">
    <xf numFmtId="0" fontId="0" fillId="0" borderId="0" xfId="0"/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2" fillId="2" borderId="0" xfId="0" applyFont="1" applyFill="1" applyAlignment="1">
      <alignment wrapText="1"/>
    </xf>
    <xf numFmtId="0" fontId="3" fillId="0" borderId="1" xfId="0" applyFont="1" applyBorder="1" applyAlignment="1">
      <alignment horizontal="right" wrapText="1"/>
    </xf>
    <xf numFmtId="2" fontId="2" fillId="2" borderId="1" xfId="0" applyNumberFormat="1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horizontal="right" wrapText="1"/>
    </xf>
    <xf numFmtId="2" fontId="2" fillId="3" borderId="1" xfId="0" applyNumberFormat="1" applyFont="1" applyFill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2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right" wrapText="1"/>
    </xf>
    <xf numFmtId="2" fontId="3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1" xfId="0" applyFont="1" applyBorder="1" applyAlignment="1">
      <alignment horizontal="center" wrapText="1"/>
    </xf>
    <xf numFmtId="0" fontId="2" fillId="0" borderId="0" xfId="0" applyFont="1" applyAlignment="1">
      <alignment horizontal="right" wrapText="1"/>
    </xf>
    <xf numFmtId="0" fontId="2" fillId="0" borderId="0" xfId="0" applyFont="1" applyAlignment="1">
      <alignment horizontal="center" wrapText="1"/>
    </xf>
    <xf numFmtId="0" fontId="2" fillId="3" borderId="0" xfId="0" applyFont="1" applyFill="1" applyAlignment="1">
      <alignment wrapText="1"/>
    </xf>
    <xf numFmtId="0" fontId="0" fillId="0" borderId="1" xfId="0" applyBorder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Continuous"/>
    </xf>
    <xf numFmtId="0" fontId="0" fillId="0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Continuous"/>
    </xf>
    <xf numFmtId="0" fontId="0" fillId="6" borderId="0" xfId="0" applyFill="1"/>
    <xf numFmtId="0" fontId="0" fillId="0" borderId="3" xfId="0" applyBorder="1"/>
    <xf numFmtId="0" fontId="2" fillId="6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5" borderId="0" xfId="0" applyFill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6" borderId="1" xfId="0" applyFill="1" applyBorder="1"/>
    <xf numFmtId="0" fontId="0" fillId="0" borderId="1" xfId="0" applyBorder="1" applyAlignment="1">
      <alignment vertical="center"/>
    </xf>
    <xf numFmtId="2" fontId="0" fillId="5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7" xfId="0" applyBorder="1"/>
    <xf numFmtId="0" fontId="0" fillId="0" borderId="19" xfId="0" applyBorder="1" applyAlignment="1">
      <alignment horizontal="center" vertical="center"/>
    </xf>
    <xf numFmtId="0" fontId="0" fillId="0" borderId="19" xfId="0" applyBorder="1"/>
    <xf numFmtId="0" fontId="0" fillId="0" borderId="21" xfId="0" applyBorder="1"/>
    <xf numFmtId="0" fontId="0" fillId="0" borderId="23" xfId="0" applyBorder="1"/>
    <xf numFmtId="0" fontId="3" fillId="7" borderId="24" xfId="0" applyFont="1" applyFill="1" applyBorder="1" applyAlignment="1">
      <alignment horizontal="center" vertical="center" wrapText="1"/>
    </xf>
    <xf numFmtId="0" fontId="3" fillId="7" borderId="25" xfId="0" applyFont="1" applyFill="1" applyBorder="1" applyAlignment="1">
      <alignment horizontal="center" vertical="center" wrapText="1"/>
    </xf>
    <xf numFmtId="0" fontId="3" fillId="7" borderId="26" xfId="0" applyFont="1" applyFill="1" applyBorder="1" applyAlignment="1">
      <alignment horizontal="center" vertical="center" wrapText="1"/>
    </xf>
    <xf numFmtId="0" fontId="3" fillId="7" borderId="2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0" fillId="0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11" fillId="7" borderId="25" xfId="0" applyFont="1" applyFill="1" applyBorder="1" applyAlignment="1">
      <alignment horizontal="center" vertical="center" wrapText="1"/>
    </xf>
    <xf numFmtId="0" fontId="5" fillId="7" borderId="25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right"/>
    </xf>
    <xf numFmtId="0" fontId="16" fillId="0" borderId="1" xfId="0" applyFont="1" applyFill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5" fillId="9" borderId="1" xfId="0" applyFont="1" applyFill="1" applyBorder="1" applyAlignment="1">
      <alignment horizontal="right"/>
    </xf>
    <xf numFmtId="0" fontId="1" fillId="9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8" borderId="1" xfId="0" applyFill="1" applyBorder="1"/>
    <xf numFmtId="0" fontId="0" fillId="10" borderId="1" xfId="0" applyFill="1" applyBorder="1"/>
    <xf numFmtId="0" fontId="0" fillId="11" borderId="1" xfId="0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 wrapText="1"/>
    </xf>
    <xf numFmtId="0" fontId="2" fillId="11" borderId="0" xfId="0" applyFont="1" applyFill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1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1" fillId="5" borderId="0" xfId="0" applyFon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9" borderId="0" xfId="0" applyFont="1" applyFill="1" applyAlignment="1">
      <alignment horizontal="left" vertical="top"/>
    </xf>
    <xf numFmtId="0" fontId="0" fillId="0" borderId="0" xfId="0" applyBorder="1"/>
    <xf numFmtId="0" fontId="0" fillId="0" borderId="38" xfId="0" applyBorder="1"/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32" xfId="0" applyBorder="1"/>
    <xf numFmtId="0" fontId="1" fillId="0" borderId="9" xfId="0" applyFont="1" applyBorder="1" applyAlignment="1">
      <alignment horizontal="center" vertical="center"/>
    </xf>
    <xf numFmtId="0" fontId="0" fillId="0" borderId="4" xfId="0" applyBorder="1"/>
    <xf numFmtId="0" fontId="0" fillId="2" borderId="10" xfId="0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32" fillId="7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2" borderId="40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5" fontId="1" fillId="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5" borderId="5" xfId="0" applyNumberFormat="1" applyFill="1" applyBorder="1" applyAlignment="1">
      <alignment horizontal="center"/>
    </xf>
    <xf numFmtId="2" fontId="1" fillId="9" borderId="5" xfId="0" applyNumberFormat="1" applyFont="1" applyFill="1" applyBorder="1" applyAlignment="1">
      <alignment horizontal="center" vertical="center"/>
    </xf>
    <xf numFmtId="0" fontId="0" fillId="0" borderId="30" xfId="0" applyBorder="1"/>
    <xf numFmtId="2" fontId="0" fillId="5" borderId="39" xfId="0" applyNumberFormat="1" applyFill="1" applyBorder="1" applyAlignment="1">
      <alignment horizontal="center"/>
    </xf>
    <xf numFmtId="2" fontId="0" fillId="0" borderId="15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0" fontId="0" fillId="0" borderId="37" xfId="0" applyBorder="1"/>
    <xf numFmtId="0" fontId="0" fillId="0" borderId="0" xfId="0" applyBorder="1" applyAlignment="1">
      <alignment vertical="center"/>
    </xf>
    <xf numFmtId="0" fontId="0" fillId="6" borderId="17" xfId="0" applyFill="1" applyBorder="1" applyAlignment="1">
      <alignment horizontal="center" vertical="center"/>
    </xf>
    <xf numFmtId="0" fontId="19" fillId="0" borderId="37" xfId="0" applyFont="1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19" fillId="0" borderId="45" xfId="0" applyFont="1" applyBorder="1" applyAlignment="1">
      <alignment horizontal="right"/>
    </xf>
    <xf numFmtId="0" fontId="0" fillId="6" borderId="21" xfId="0" applyFill="1" applyBorder="1" applyAlignment="1">
      <alignment horizontal="center" vertical="center"/>
    </xf>
    <xf numFmtId="0" fontId="0" fillId="0" borderId="17" xfId="0" applyFill="1" applyBorder="1"/>
    <xf numFmtId="0" fontId="0" fillId="0" borderId="17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7" xfId="0" applyBorder="1"/>
    <xf numFmtId="0" fontId="0" fillId="0" borderId="48" xfId="0" applyBorder="1" applyAlignment="1">
      <alignment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11" borderId="17" xfId="0" applyFill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11" borderId="19" xfId="0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33" fillId="12" borderId="0" xfId="0" applyFont="1" applyFill="1" applyAlignment="1">
      <alignment horizontal="centerContinuous"/>
    </xf>
    <xf numFmtId="0" fontId="34" fillId="12" borderId="0" xfId="0" applyFont="1" applyFill="1"/>
    <xf numFmtId="0" fontId="34" fillId="12" borderId="0" xfId="0" applyFont="1" applyFill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2" fontId="1" fillId="5" borderId="30" xfId="0" applyNumberFormat="1" applyFont="1" applyFill="1" applyBorder="1" applyAlignment="1">
      <alignment vertical="top"/>
    </xf>
    <xf numFmtId="2" fontId="1" fillId="5" borderId="29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53" xfId="0" applyBorder="1"/>
    <xf numFmtId="0" fontId="0" fillId="0" borderId="12" xfId="0" applyBorder="1"/>
    <xf numFmtId="0" fontId="0" fillId="0" borderId="16" xfId="0" applyBorder="1"/>
    <xf numFmtId="0" fontId="0" fillId="0" borderId="18" xfId="0" applyBorder="1"/>
    <xf numFmtId="0" fontId="0" fillId="0" borderId="54" xfId="0" applyBorder="1"/>
    <xf numFmtId="0" fontId="0" fillId="0" borderId="20" xfId="0" applyBorder="1"/>
    <xf numFmtId="0" fontId="1" fillId="0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4" borderId="9" xfId="0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0" fillId="4" borderId="8" xfId="0" applyFill="1" applyBorder="1" applyAlignment="1">
      <alignment vertical="top"/>
    </xf>
    <xf numFmtId="0" fontId="10" fillId="8" borderId="47" xfId="0" applyFont="1" applyFill="1" applyBorder="1" applyAlignment="1">
      <alignment horizontal="center" vertical="center" wrapText="1"/>
    </xf>
    <xf numFmtId="0" fontId="10" fillId="8" borderId="14" xfId="0" applyFont="1" applyFill="1" applyBorder="1" applyAlignment="1">
      <alignment horizontal="center" vertical="center" wrapText="1"/>
    </xf>
    <xf numFmtId="0" fontId="10" fillId="4" borderId="14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center" vertical="center" wrapText="1"/>
    </xf>
    <xf numFmtId="0" fontId="28" fillId="8" borderId="14" xfId="0" applyFont="1" applyFill="1" applyBorder="1" applyAlignment="1">
      <alignment horizontal="center" vertical="center" wrapText="1"/>
    </xf>
    <xf numFmtId="0" fontId="3" fillId="4" borderId="56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3" xfId="0" applyBorder="1" applyAlignment="1">
      <alignment vertical="top"/>
    </xf>
    <xf numFmtId="0" fontId="0" fillId="4" borderId="11" xfId="0" applyFill="1" applyBorder="1" applyAlignment="1">
      <alignment vertical="top"/>
    </xf>
    <xf numFmtId="0" fontId="0" fillId="4" borderId="4" xfId="0" applyFill="1" applyBorder="1" applyAlignment="1">
      <alignment vertical="top"/>
    </xf>
    <xf numFmtId="0" fontId="0" fillId="4" borderId="28" xfId="0" applyFill="1" applyBorder="1" applyAlignment="1">
      <alignment vertical="top"/>
    </xf>
    <xf numFmtId="0" fontId="1" fillId="11" borderId="0" xfId="0" applyFont="1" applyFill="1" applyAlignment="1">
      <alignment horizontal="center" vertical="center"/>
    </xf>
    <xf numFmtId="0" fontId="0" fillId="7" borderId="0" xfId="0" applyFill="1"/>
    <xf numFmtId="0" fontId="0" fillId="10" borderId="0" xfId="0" applyFill="1"/>
    <xf numFmtId="0" fontId="26" fillId="11" borderId="1" xfId="0" applyFont="1" applyFill="1" applyBorder="1" applyAlignment="1">
      <alignment horizontal="center" vertical="center"/>
    </xf>
    <xf numFmtId="0" fontId="0" fillId="11" borderId="5" xfId="0" applyFill="1" applyBorder="1"/>
    <xf numFmtId="0" fontId="0" fillId="11" borderId="2" xfId="0" applyFill="1" applyBorder="1"/>
    <xf numFmtId="0" fontId="3" fillId="4" borderId="10" xfId="0" applyFont="1" applyFill="1" applyBorder="1" applyAlignment="1">
      <alignment horizontal="center" vertical="center"/>
    </xf>
    <xf numFmtId="0" fontId="0" fillId="6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11" borderId="17" xfId="0" applyFill="1" applyBorder="1"/>
    <xf numFmtId="0" fontId="0" fillId="11" borderId="51" xfId="0" applyFill="1" applyBorder="1"/>
    <xf numFmtId="0" fontId="0" fillId="6" borderId="18" xfId="0" applyFill="1" applyBorder="1"/>
    <xf numFmtId="0" fontId="26" fillId="11" borderId="19" xfId="0" applyFont="1" applyFill="1" applyBorder="1" applyAlignment="1">
      <alignment horizontal="center" vertical="center"/>
    </xf>
    <xf numFmtId="0" fontId="0" fillId="11" borderId="20" xfId="0" applyFill="1" applyBorder="1"/>
    <xf numFmtId="0" fontId="0" fillId="11" borderId="21" xfId="0" applyFill="1" applyBorder="1"/>
    <xf numFmtId="0" fontId="0" fillId="2" borderId="57" xfId="0" applyFill="1" applyBorder="1" applyAlignment="1">
      <alignment horizontal="center" vertical="center"/>
    </xf>
    <xf numFmtId="0" fontId="0" fillId="0" borderId="7" xfId="0" applyBorder="1" applyAlignment="1">
      <alignment vertical="top"/>
    </xf>
    <xf numFmtId="0" fontId="0" fillId="0" borderId="7" xfId="0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 wrapText="1"/>
    </xf>
    <xf numFmtId="0" fontId="0" fillId="9" borderId="1" xfId="0" applyFill="1" applyBorder="1"/>
    <xf numFmtId="0" fontId="9" fillId="0" borderId="0" xfId="0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7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0" fillId="5" borderId="32" xfId="0" applyFill="1" applyBorder="1" applyAlignment="1">
      <alignment vertical="top"/>
    </xf>
    <xf numFmtId="0" fontId="0" fillId="5" borderId="33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" fillId="5" borderId="5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2" fontId="0" fillId="0" borderId="58" xfId="0" applyNumberFormat="1" applyBorder="1" applyAlignment="1">
      <alignment horizontal="center" vertical="center"/>
    </xf>
    <xf numFmtId="2" fontId="0" fillId="0" borderId="59" xfId="0" applyNumberFormat="1" applyBorder="1" applyAlignment="1">
      <alignment horizontal="center" vertical="center"/>
    </xf>
    <xf numFmtId="2" fontId="1" fillId="9" borderId="39" xfId="0" applyNumberFormat="1" applyFont="1" applyFill="1" applyBorder="1" applyAlignment="1">
      <alignment horizontal="center" vertical="center"/>
    </xf>
    <xf numFmtId="2" fontId="1" fillId="9" borderId="4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61" xfId="0" applyBorder="1"/>
    <xf numFmtId="0" fontId="2" fillId="0" borderId="1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5" borderId="17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 wrapText="1"/>
    </xf>
    <xf numFmtId="0" fontId="3" fillId="7" borderId="47" xfId="0" applyFont="1" applyFill="1" applyBorder="1" applyAlignment="1">
      <alignment horizontal="center" vertical="center" wrapText="1"/>
    </xf>
    <xf numFmtId="0" fontId="3" fillId="7" borderId="62" xfId="0" applyFont="1" applyFill="1" applyBorder="1" applyAlignment="1">
      <alignment horizontal="center" vertical="center" wrapText="1"/>
    </xf>
    <xf numFmtId="0" fontId="1" fillId="0" borderId="0" xfId="0" applyFont="1"/>
    <xf numFmtId="0" fontId="1" fillId="6" borderId="3" xfId="0" applyFont="1" applyFill="1" applyBorder="1" applyAlignment="1">
      <alignment horizontal="center" vertical="center" wrapText="1"/>
    </xf>
    <xf numFmtId="0" fontId="1" fillId="6" borderId="28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0" fillId="7" borderId="34" xfId="0" applyFill="1" applyBorder="1"/>
    <xf numFmtId="0" fontId="0" fillId="7" borderId="44" xfId="0" applyFill="1" applyBorder="1"/>
    <xf numFmtId="0" fontId="0" fillId="7" borderId="37" xfId="0" applyFill="1" applyBorder="1"/>
    <xf numFmtId="0" fontId="0" fillId="10" borderId="0" xfId="0" applyFill="1" applyBorder="1"/>
    <xf numFmtId="0" fontId="0" fillId="10" borderId="38" xfId="0" applyFill="1" applyBorder="1"/>
    <xf numFmtId="0" fontId="0" fillId="7" borderId="45" xfId="0" applyFill="1" applyBorder="1"/>
    <xf numFmtId="0" fontId="0" fillId="10" borderId="36" xfId="0" applyFill="1" applyBorder="1"/>
    <xf numFmtId="0" fontId="0" fillId="10" borderId="64" xfId="0" applyFill="1" applyBorder="1"/>
    <xf numFmtId="0" fontId="2" fillId="0" borderId="0" xfId="0" applyFont="1" applyFill="1" applyBorder="1" applyAlignment="1">
      <alignment horizontal="center" vertical="center" wrapText="1"/>
    </xf>
    <xf numFmtId="0" fontId="0" fillId="14" borderId="48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6" borderId="46" xfId="0" applyFill="1" applyBorder="1"/>
    <xf numFmtId="0" fontId="0" fillId="0" borderId="4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47" xfId="0" applyBorder="1" applyAlignment="1">
      <alignment horizontal="center"/>
    </xf>
    <xf numFmtId="2" fontId="0" fillId="5" borderId="56" xfId="0" applyNumberFormat="1" applyFill="1" applyBorder="1" applyAlignment="1">
      <alignment horizontal="center" vertical="center"/>
    </xf>
    <xf numFmtId="2" fontId="0" fillId="5" borderId="66" xfId="0" applyNumberForma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55" xfId="0" applyFont="1" applyFill="1" applyBorder="1" applyAlignment="1">
      <alignment horizontal="center" vertical="center"/>
    </xf>
    <xf numFmtId="0" fontId="0" fillId="0" borderId="65" xfId="0" applyBorder="1"/>
    <xf numFmtId="0" fontId="0" fillId="0" borderId="47" xfId="0" applyFill="1" applyBorder="1" applyAlignment="1">
      <alignment horizontal="center" vertical="center"/>
    </xf>
    <xf numFmtId="0" fontId="1" fillId="6" borderId="56" xfId="0" applyFont="1" applyFill="1" applyBorder="1" applyAlignment="1">
      <alignment horizontal="center" vertical="center"/>
    </xf>
    <xf numFmtId="2" fontId="0" fillId="5" borderId="48" xfId="0" applyNumberFormat="1" applyFill="1" applyBorder="1" applyAlignment="1">
      <alignment horizontal="center"/>
    </xf>
    <xf numFmtId="2" fontId="0" fillId="5" borderId="40" xfId="0" applyNumberFormat="1" applyFill="1" applyBorder="1" applyAlignment="1">
      <alignment horizontal="center"/>
    </xf>
    <xf numFmtId="0" fontId="1" fillId="9" borderId="16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9" borderId="55" xfId="0" applyNumberFormat="1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7" fillId="6" borderId="0" xfId="0" applyFont="1" applyFill="1" applyAlignment="1">
      <alignment horizontal="centerContinuous"/>
    </xf>
    <xf numFmtId="0" fontId="0" fillId="11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3" fillId="7" borderId="24" xfId="0" applyFont="1" applyFill="1" applyBorder="1" applyAlignment="1">
      <alignment horizontal="center" vertical="center" wrapText="1"/>
    </xf>
    <xf numFmtId="0" fontId="3" fillId="7" borderId="27" xfId="0" applyFont="1" applyFill="1" applyBorder="1" applyAlignment="1">
      <alignment horizontal="center" vertical="center" wrapText="1"/>
    </xf>
    <xf numFmtId="0" fontId="3" fillId="7" borderId="46" xfId="0" applyFont="1" applyFill="1" applyBorder="1" applyAlignment="1">
      <alignment horizontal="center" vertical="center" wrapText="1"/>
    </xf>
    <xf numFmtId="0" fontId="3" fillId="7" borderId="52" xfId="0" applyFont="1" applyFill="1" applyBorder="1" applyAlignment="1">
      <alignment horizontal="center" vertical="center" wrapText="1"/>
    </xf>
    <xf numFmtId="0" fontId="3" fillId="7" borderId="35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 wrapText="1"/>
    </xf>
    <xf numFmtId="0" fontId="1" fillId="11" borderId="7" xfId="0" applyFont="1" applyFill="1" applyBorder="1" applyAlignment="1">
      <alignment horizontal="center" vertical="center" wrapText="1"/>
    </xf>
    <xf numFmtId="0" fontId="1" fillId="11" borderId="20" xfId="0" applyFont="1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 wrapText="1"/>
    </xf>
    <xf numFmtId="0" fontId="0" fillId="11" borderId="16" xfId="0" applyFill="1" applyBorder="1" applyAlignment="1">
      <alignment horizontal="center" vertical="center" wrapText="1"/>
    </xf>
    <xf numFmtId="0" fontId="0" fillId="11" borderId="18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2" fontId="0" fillId="0" borderId="14" xfId="0" applyNumberFormat="1" applyFill="1" applyBorder="1" applyAlignment="1">
      <alignment horizontal="center" vertical="center" wrapText="1"/>
    </xf>
    <xf numFmtId="2" fontId="0" fillId="0" borderId="7" xfId="0" applyNumberFormat="1" applyFill="1" applyBorder="1" applyAlignment="1">
      <alignment horizontal="center" vertical="center" wrapText="1"/>
    </xf>
    <xf numFmtId="2" fontId="0" fillId="0" borderId="20" xfId="0" applyNumberFormat="1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11" borderId="19" xfId="0" applyFill="1" applyBorder="1" applyAlignment="1">
      <alignment horizontal="center" vertical="center" wrapText="1"/>
    </xf>
    <xf numFmtId="0" fontId="0" fillId="11" borderId="14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11" borderId="22" xfId="0" applyFill="1" applyBorder="1" applyAlignment="1">
      <alignment horizontal="center" vertical="center" wrapText="1"/>
    </xf>
    <xf numFmtId="0" fontId="0" fillId="11" borderId="60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52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2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3" fillId="0" borderId="3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0" fillId="0" borderId="22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3" borderId="19" xfId="0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13" borderId="13" xfId="0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5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 wrapText="1"/>
    </xf>
    <xf numFmtId="165" fontId="0" fillId="0" borderId="19" xfId="0" applyNumberForma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7" fillId="8" borderId="31" xfId="0" applyFont="1" applyFill="1" applyBorder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3" xfId="0" applyBorder="1" applyAlignment="1">
      <alignment horizontal="center" vertical="center" textRotation="90"/>
    </xf>
    <xf numFmtId="0" fontId="0" fillId="0" borderId="3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35" fillId="0" borderId="34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right" vertical="center" wrapText="1"/>
    </xf>
    <xf numFmtId="0" fontId="2" fillId="0" borderId="3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center" vertical="center" wrapText="1"/>
    </xf>
    <xf numFmtId="2" fontId="2" fillId="4" borderId="5" xfId="0" applyNumberFormat="1" applyFont="1" applyFill="1" applyBorder="1" applyAlignment="1">
      <alignment horizontal="center" wrapText="1"/>
    </xf>
    <xf numFmtId="2" fontId="2" fillId="4" borderId="6" xfId="0" applyNumberFormat="1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68"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ont>
        <b/>
        <i val="0"/>
        <color auto="1"/>
      </font>
      <fill>
        <patternFill>
          <bgColor theme="7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7171"/>
        </patternFill>
      </fill>
    </dxf>
    <dxf>
      <fill>
        <patternFill>
          <bgColor rgb="FF92D050"/>
        </patternFill>
      </fill>
    </dxf>
    <dxf>
      <fill>
        <patternFill>
          <bgColor rgb="FFFF7171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3011461</xdr:colOff>
      <xdr:row>51</xdr:row>
      <xdr:rowOff>6819</xdr:rowOff>
    </xdr:from>
    <xdr:to>
      <xdr:col>4</xdr:col>
      <xdr:colOff>426681</xdr:colOff>
      <xdr:row>79</xdr:row>
      <xdr:rowOff>34593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11461" y="11391995"/>
          <a:ext cx="4685596" cy="5485038"/>
        </a:xfrm>
        <a:prstGeom prst="rect">
          <a:avLst/>
        </a:prstGeom>
      </xdr:spPr>
    </xdr:pic>
    <xdr:clientData/>
  </xdr:twoCellAnchor>
  <xdr:twoCellAnchor editAs="oneCell">
    <xdr:from>
      <xdr:col>30</xdr:col>
      <xdr:colOff>413134</xdr:colOff>
      <xdr:row>7</xdr:row>
      <xdr:rowOff>459927</xdr:rowOff>
    </xdr:from>
    <xdr:to>
      <xdr:col>38</xdr:col>
      <xdr:colOff>479797</xdr:colOff>
      <xdr:row>27</xdr:row>
      <xdr:rowOff>55468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74605" y="1916692"/>
          <a:ext cx="4907605" cy="4412468"/>
        </a:xfrm>
        <a:prstGeom prst="rect">
          <a:avLst/>
        </a:prstGeom>
      </xdr:spPr>
    </xdr:pic>
    <xdr:clientData/>
  </xdr:twoCellAnchor>
  <xdr:twoCellAnchor editAs="oneCell">
    <xdr:from>
      <xdr:col>30</xdr:col>
      <xdr:colOff>420465</xdr:colOff>
      <xdr:row>29</xdr:row>
      <xdr:rowOff>54079</xdr:rowOff>
    </xdr:from>
    <xdr:to>
      <xdr:col>38</xdr:col>
      <xdr:colOff>487128</xdr:colOff>
      <xdr:row>49</xdr:row>
      <xdr:rowOff>147382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81936" y="6463844"/>
          <a:ext cx="4907605" cy="4428058"/>
        </a:xfrm>
        <a:prstGeom prst="rect">
          <a:avLst/>
        </a:prstGeom>
      </xdr:spPr>
    </xdr:pic>
    <xdr:clientData/>
  </xdr:twoCellAnchor>
  <xdr:twoCellAnchor editAs="oneCell">
    <xdr:from>
      <xdr:col>30</xdr:col>
      <xdr:colOff>428747</xdr:colOff>
      <xdr:row>51</xdr:row>
      <xdr:rowOff>95493</xdr:rowOff>
    </xdr:from>
    <xdr:to>
      <xdr:col>38</xdr:col>
      <xdr:colOff>495410</xdr:colOff>
      <xdr:row>74</xdr:row>
      <xdr:rowOff>22789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90218" y="11166905"/>
          <a:ext cx="4907605" cy="4428058"/>
        </a:xfrm>
        <a:prstGeom prst="rect">
          <a:avLst/>
        </a:prstGeom>
      </xdr:spPr>
    </xdr:pic>
    <xdr:clientData/>
  </xdr:twoCellAnchor>
  <xdr:twoCellAnchor editAs="oneCell">
    <xdr:from>
      <xdr:col>30</xdr:col>
      <xdr:colOff>387335</xdr:colOff>
      <xdr:row>74</xdr:row>
      <xdr:rowOff>178318</xdr:rowOff>
    </xdr:from>
    <xdr:to>
      <xdr:col>38</xdr:col>
      <xdr:colOff>453998</xdr:colOff>
      <xdr:row>97</xdr:row>
      <xdr:rowOff>90442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48806" y="15709671"/>
          <a:ext cx="4907605" cy="4419290"/>
        </a:xfrm>
        <a:prstGeom prst="rect">
          <a:avLst/>
        </a:prstGeom>
      </xdr:spPr>
    </xdr:pic>
    <xdr:clientData/>
  </xdr:twoCellAnchor>
  <xdr:twoCellAnchor editAs="oneCell">
    <xdr:from>
      <xdr:col>30</xdr:col>
      <xdr:colOff>414617</xdr:colOff>
      <xdr:row>98</xdr:row>
      <xdr:rowOff>0</xdr:rowOff>
    </xdr:from>
    <xdr:to>
      <xdr:col>38</xdr:col>
      <xdr:colOff>481280</xdr:colOff>
      <xdr:row>120</xdr:row>
      <xdr:rowOff>35391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076088" y="20585206"/>
          <a:ext cx="4907605" cy="4416890"/>
        </a:xfrm>
        <a:prstGeom prst="rect">
          <a:avLst/>
        </a:prstGeom>
      </xdr:spPr>
    </xdr:pic>
    <xdr:clientData/>
  </xdr:twoCellAnchor>
  <xdr:twoCellAnchor editAs="oneCell">
    <xdr:from>
      <xdr:col>30</xdr:col>
      <xdr:colOff>459440</xdr:colOff>
      <xdr:row>120</xdr:row>
      <xdr:rowOff>168089</xdr:rowOff>
    </xdr:from>
    <xdr:to>
      <xdr:col>38</xdr:col>
      <xdr:colOff>526103</xdr:colOff>
      <xdr:row>143</xdr:row>
      <xdr:rowOff>12978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20911" y="25134795"/>
          <a:ext cx="4907605" cy="4416890"/>
        </a:xfrm>
        <a:prstGeom prst="rect">
          <a:avLst/>
        </a:prstGeom>
      </xdr:spPr>
    </xdr:pic>
    <xdr:clientData/>
  </xdr:twoCellAnchor>
  <xdr:twoCellAnchor editAs="oneCell">
    <xdr:from>
      <xdr:col>30</xdr:col>
      <xdr:colOff>504264</xdr:colOff>
      <xdr:row>143</xdr:row>
      <xdr:rowOff>145676</xdr:rowOff>
    </xdr:from>
    <xdr:to>
      <xdr:col>38</xdr:col>
      <xdr:colOff>570927</xdr:colOff>
      <xdr:row>166</xdr:row>
      <xdr:rowOff>24184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65735" y="29684382"/>
          <a:ext cx="4907605" cy="4416890"/>
        </a:xfrm>
        <a:prstGeom prst="rect">
          <a:avLst/>
        </a:prstGeom>
      </xdr:spPr>
    </xdr:pic>
    <xdr:clientData/>
  </xdr:twoCellAnchor>
  <xdr:twoCellAnchor editAs="oneCell">
    <xdr:from>
      <xdr:col>30</xdr:col>
      <xdr:colOff>537882</xdr:colOff>
      <xdr:row>166</xdr:row>
      <xdr:rowOff>134470</xdr:rowOff>
    </xdr:from>
    <xdr:to>
      <xdr:col>38</xdr:col>
      <xdr:colOff>604545</xdr:colOff>
      <xdr:row>188</xdr:row>
      <xdr:rowOff>192272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99353" y="34211558"/>
          <a:ext cx="4907605" cy="4416890"/>
        </a:xfrm>
        <a:prstGeom prst="rect">
          <a:avLst/>
        </a:prstGeom>
      </xdr:spPr>
    </xdr:pic>
    <xdr:clientData/>
  </xdr:twoCellAnchor>
  <xdr:twoCellAnchor editAs="oneCell">
    <xdr:from>
      <xdr:col>30</xdr:col>
      <xdr:colOff>515470</xdr:colOff>
      <xdr:row>189</xdr:row>
      <xdr:rowOff>56029</xdr:rowOff>
    </xdr:from>
    <xdr:to>
      <xdr:col>38</xdr:col>
      <xdr:colOff>582133</xdr:colOff>
      <xdr:row>211</xdr:row>
      <xdr:rowOff>158653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176941" y="38716323"/>
          <a:ext cx="4907605" cy="44168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226884</xdr:colOff>
      <xdr:row>7</xdr:row>
      <xdr:rowOff>44625</xdr:rowOff>
    </xdr:from>
    <xdr:to>
      <xdr:col>78</xdr:col>
      <xdr:colOff>72147</xdr:colOff>
      <xdr:row>36</xdr:row>
      <xdr:rowOff>12322</xdr:rowOff>
    </xdr:to>
    <xdr:grpSp>
      <xdr:nvGrpSpPr>
        <xdr:cNvPr id="4" name="Групп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41038708" y="1445360"/>
          <a:ext cx="4686204" cy="5951638"/>
          <a:chOff x="21174075" y="1371600"/>
          <a:chExt cx="7001852" cy="9468813"/>
        </a:xfrm>
      </xdr:grpSpPr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1174075" y="1371600"/>
            <a:ext cx="7001852" cy="2572109"/>
          </a:xfrm>
          <a:prstGeom prst="rect">
            <a:avLst/>
          </a:prstGeom>
        </xdr:spPr>
      </xdr:pic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231225" y="3943350"/>
            <a:ext cx="6868484" cy="6897063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41</xdr:row>
      <xdr:rowOff>68036</xdr:rowOff>
    </xdr:from>
    <xdr:to>
      <xdr:col>1</xdr:col>
      <xdr:colOff>372637</xdr:colOff>
      <xdr:row>64</xdr:row>
      <xdr:rowOff>34592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633857"/>
          <a:ext cx="4931030" cy="44849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29</xdr:row>
      <xdr:rowOff>57150</xdr:rowOff>
    </xdr:from>
    <xdr:to>
      <xdr:col>4</xdr:col>
      <xdr:colOff>154630</xdr:colOff>
      <xdr:row>48</xdr:row>
      <xdr:rowOff>107168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2773025"/>
          <a:ext cx="4907605" cy="4412468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51</xdr:row>
      <xdr:rowOff>0</xdr:rowOff>
    </xdr:from>
    <xdr:to>
      <xdr:col>3</xdr:col>
      <xdr:colOff>467110</xdr:colOff>
      <xdr:row>86</xdr:row>
      <xdr:rowOff>178607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CFE2B115-F6C9-4B91-BD48-01196299923B}"/>
            </a:ext>
          </a:extLst>
        </xdr:cNvPr>
        <xdr:cNvGrpSpPr/>
      </xdr:nvGrpSpPr>
      <xdr:grpSpPr>
        <a:xfrm>
          <a:off x="0" y="17794941"/>
          <a:ext cx="4736551" cy="7238313"/>
          <a:chOff x="21174075" y="1371600"/>
          <a:chExt cx="7001852" cy="9468813"/>
        </a:xfrm>
      </xdr:grpSpPr>
      <xdr:pic>
        <xdr:nvPicPr>
          <xdr:cNvPr id="4" name="Рисунок 3">
            <a:extLst>
              <a:ext uri="{FF2B5EF4-FFF2-40B4-BE49-F238E27FC236}">
                <a16:creationId xmlns:a16="http://schemas.microsoft.com/office/drawing/2014/main" id="{8F6787F1-C42B-4075-AF0B-E459F16E0D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174075" y="1371600"/>
            <a:ext cx="7001852" cy="2572109"/>
          </a:xfrm>
          <a:prstGeom prst="rect">
            <a:avLst/>
          </a:prstGeom>
        </xdr:spPr>
      </xdr:pic>
      <xdr:pic>
        <xdr:nvPicPr>
          <xdr:cNvPr id="5" name="Рисунок 4">
            <a:extLst>
              <a:ext uri="{FF2B5EF4-FFF2-40B4-BE49-F238E27FC236}">
                <a16:creationId xmlns:a16="http://schemas.microsoft.com/office/drawing/2014/main" id="{9277F2D8-2C8D-4E78-A808-593EA8D3D3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1231225" y="3943350"/>
            <a:ext cx="6868484" cy="6897063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403413</xdr:colOff>
      <xdr:row>102</xdr:row>
      <xdr:rowOff>22413</xdr:rowOff>
    </xdr:from>
    <xdr:to>
      <xdr:col>5</xdr:col>
      <xdr:colOff>3269495</xdr:colOff>
      <xdr:row>129</xdr:row>
      <xdr:rowOff>54189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9639F77-8FD3-4C95-A9C1-422201D5E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67737" y="28104354"/>
          <a:ext cx="4681434" cy="5511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7" tint="0.39997558519241921"/>
    <pageSetUpPr fitToPage="1"/>
  </sheetPr>
  <dimension ref="B5:BO12644"/>
  <sheetViews>
    <sheetView workbookViewId="0">
      <pane xSplit="4" ySplit="7" topLeftCell="E8" activePane="bottomRight" state="frozen"/>
      <selection pane="topRight" activeCell="E1" sqref="E1"/>
      <selection pane="bottomLeft" activeCell="A8" sqref="A8"/>
      <selection pane="bottomRight" activeCell="G19" sqref="G19"/>
    </sheetView>
  </sheetViews>
  <sheetFormatPr defaultColWidth="9.140625" defaultRowHeight="15.75"/>
  <cols>
    <col min="1" max="1" width="3.28515625" style="13" customWidth="1"/>
    <col min="2" max="2" width="3.7109375" style="13" customWidth="1"/>
    <col min="3" max="3" width="9.140625" style="13"/>
    <col min="4" max="4" width="9.140625" style="36"/>
    <col min="5" max="5" width="29.140625" style="36" customWidth="1"/>
    <col min="6" max="7" width="20.140625" style="36" customWidth="1"/>
    <col min="8" max="8" width="21.85546875" style="36" customWidth="1"/>
    <col min="9" max="9" width="24.7109375" style="36" customWidth="1"/>
    <col min="10" max="10" width="52.85546875" style="13" customWidth="1"/>
    <col min="11" max="14" width="9.140625" style="36"/>
    <col min="15" max="15" width="9.5703125" style="42" bestFit="1" customWidth="1"/>
    <col min="16" max="17" width="9.140625" style="42"/>
    <col min="18" max="25" width="9.140625" style="36"/>
    <col min="26" max="26" width="9.140625" style="85"/>
    <col min="27" max="28" width="9.140625" style="36"/>
    <col min="29" max="30" width="9.140625" style="111"/>
    <col min="31" max="65" width="9.140625" style="36"/>
    <col min="66" max="16384" width="9.140625" style="13"/>
  </cols>
  <sheetData>
    <row r="5" spans="2:67">
      <c r="D5" s="35"/>
      <c r="E5" s="35">
        <v>2</v>
      </c>
      <c r="F5" s="35">
        <v>3</v>
      </c>
      <c r="G5" s="35">
        <v>4</v>
      </c>
      <c r="H5" s="35">
        <v>5</v>
      </c>
      <c r="I5" s="35">
        <v>6</v>
      </c>
      <c r="J5" s="12">
        <v>7</v>
      </c>
      <c r="K5" s="35">
        <v>8</v>
      </c>
      <c r="L5" s="35">
        <v>9</v>
      </c>
      <c r="M5" s="35">
        <v>10</v>
      </c>
      <c r="N5" s="35">
        <v>11</v>
      </c>
      <c r="O5" s="40">
        <v>12</v>
      </c>
      <c r="P5" s="40">
        <v>13</v>
      </c>
      <c r="Q5" s="40">
        <v>14</v>
      </c>
      <c r="R5" s="35">
        <v>15</v>
      </c>
      <c r="S5" s="35">
        <v>16</v>
      </c>
      <c r="T5" s="35">
        <v>17</v>
      </c>
      <c r="U5" s="35">
        <v>18</v>
      </c>
      <c r="V5" s="35">
        <v>19</v>
      </c>
      <c r="W5" s="35">
        <v>20</v>
      </c>
      <c r="X5" s="35">
        <v>21</v>
      </c>
      <c r="Y5" s="35">
        <v>22</v>
      </c>
      <c r="Z5" s="84">
        <v>23</v>
      </c>
      <c r="AA5" s="35">
        <v>24</v>
      </c>
      <c r="AB5" s="35">
        <v>25</v>
      </c>
      <c r="AC5" s="110">
        <v>26</v>
      </c>
      <c r="AD5" s="110">
        <v>27</v>
      </c>
      <c r="AE5" s="35">
        <v>28</v>
      </c>
      <c r="AF5" s="35">
        <v>29</v>
      </c>
      <c r="AG5" s="35">
        <v>30</v>
      </c>
      <c r="AH5" s="35">
        <v>31</v>
      </c>
      <c r="AI5" s="35">
        <v>32</v>
      </c>
      <c r="AJ5" s="35">
        <v>33</v>
      </c>
      <c r="AK5" s="35">
        <v>34</v>
      </c>
      <c r="AL5" s="35">
        <v>35</v>
      </c>
      <c r="AM5" s="35">
        <v>36</v>
      </c>
      <c r="AN5" s="35">
        <v>37</v>
      </c>
      <c r="AO5" s="35">
        <v>38</v>
      </c>
      <c r="AP5" s="35">
        <v>39</v>
      </c>
      <c r="AQ5" s="35">
        <v>40</v>
      </c>
      <c r="AR5" s="35">
        <v>41</v>
      </c>
      <c r="AS5" s="35">
        <v>42</v>
      </c>
      <c r="AT5" s="35">
        <v>43</v>
      </c>
      <c r="AU5" s="35">
        <v>44</v>
      </c>
      <c r="AV5" s="35">
        <v>45</v>
      </c>
      <c r="AW5" s="35">
        <v>46</v>
      </c>
      <c r="AX5" s="35">
        <v>47</v>
      </c>
      <c r="AY5" s="35">
        <v>48</v>
      </c>
      <c r="AZ5" s="35">
        <v>49</v>
      </c>
      <c r="BA5" s="35">
        <v>50</v>
      </c>
      <c r="BB5" s="35">
        <v>51</v>
      </c>
      <c r="BC5" s="35">
        <v>52</v>
      </c>
      <c r="BD5" s="35">
        <v>53</v>
      </c>
      <c r="BE5" s="35">
        <v>54</v>
      </c>
      <c r="BF5" s="35">
        <v>55</v>
      </c>
      <c r="BG5" s="35">
        <v>56</v>
      </c>
      <c r="BH5" s="35">
        <v>57</v>
      </c>
      <c r="BI5" s="35">
        <v>58</v>
      </c>
      <c r="BJ5" s="35">
        <v>59</v>
      </c>
      <c r="BK5" s="35">
        <v>60</v>
      </c>
      <c r="BL5" s="35">
        <v>53</v>
      </c>
      <c r="BM5" s="35">
        <v>54</v>
      </c>
      <c r="BN5" s="13">
        <v>55</v>
      </c>
      <c r="BO5" s="13">
        <v>56</v>
      </c>
    </row>
    <row r="6" spans="2:67" ht="18">
      <c r="D6" s="35"/>
      <c r="E6" s="35"/>
      <c r="F6" s="35"/>
      <c r="G6" s="35"/>
      <c r="H6" s="35"/>
      <c r="I6" s="35"/>
      <c r="J6" s="12"/>
      <c r="K6" s="35"/>
      <c r="L6" s="35" t="s">
        <v>78</v>
      </c>
      <c r="M6" s="35" t="s">
        <v>78</v>
      </c>
      <c r="N6" s="35" t="s">
        <v>78</v>
      </c>
      <c r="O6" s="40" t="s">
        <v>79</v>
      </c>
      <c r="P6" s="40" t="s">
        <v>79</v>
      </c>
      <c r="Q6" s="40" t="s">
        <v>79</v>
      </c>
      <c r="R6" s="35" t="s">
        <v>83</v>
      </c>
      <c r="S6" s="35" t="s">
        <v>83</v>
      </c>
      <c r="T6" s="35" t="s">
        <v>83</v>
      </c>
      <c r="U6" s="35" t="s">
        <v>100</v>
      </c>
      <c r="V6" s="35" t="s">
        <v>100</v>
      </c>
      <c r="W6" s="35" t="s">
        <v>100</v>
      </c>
      <c r="X6" s="35" t="s">
        <v>85</v>
      </c>
      <c r="Y6" s="35"/>
      <c r="Z6" s="84" t="s">
        <v>163</v>
      </c>
      <c r="AA6" s="35"/>
      <c r="AB6" s="35"/>
      <c r="AC6" s="110" t="s">
        <v>85</v>
      </c>
      <c r="AD6" s="110" t="s">
        <v>85</v>
      </c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</row>
    <row r="7" spans="2:67" s="39" customFormat="1" ht="31.5">
      <c r="D7" s="37" t="s">
        <v>31</v>
      </c>
      <c r="E7" s="37" t="s">
        <v>115</v>
      </c>
      <c r="F7" s="37" t="s">
        <v>109</v>
      </c>
      <c r="G7" s="37" t="s">
        <v>90</v>
      </c>
      <c r="H7" s="37" t="s">
        <v>91</v>
      </c>
      <c r="I7" s="37" t="s">
        <v>111</v>
      </c>
      <c r="J7" s="37" t="s">
        <v>116</v>
      </c>
      <c r="K7" s="37" t="s">
        <v>74</v>
      </c>
      <c r="L7" s="38" t="s">
        <v>75</v>
      </c>
      <c r="M7" s="38" t="s">
        <v>77</v>
      </c>
      <c r="N7" s="38" t="s">
        <v>76</v>
      </c>
      <c r="O7" s="38" t="s">
        <v>164</v>
      </c>
      <c r="P7" s="38" t="s">
        <v>165</v>
      </c>
      <c r="Q7" s="38" t="s">
        <v>166</v>
      </c>
      <c r="R7" s="38" t="s">
        <v>80</v>
      </c>
      <c r="S7" s="38" t="s">
        <v>81</v>
      </c>
      <c r="T7" s="38" t="s">
        <v>82</v>
      </c>
      <c r="U7" s="38" t="s">
        <v>101</v>
      </c>
      <c r="V7" s="38" t="s">
        <v>102</v>
      </c>
      <c r="W7" s="38" t="s">
        <v>103</v>
      </c>
      <c r="X7" s="37" t="s">
        <v>84</v>
      </c>
      <c r="Y7" s="37" t="s">
        <v>117</v>
      </c>
      <c r="Z7" s="38" t="s">
        <v>167</v>
      </c>
      <c r="AA7" s="90" t="s">
        <v>182</v>
      </c>
      <c r="AB7" s="37" t="s">
        <v>208</v>
      </c>
      <c r="AC7" s="37" t="s">
        <v>215</v>
      </c>
      <c r="AD7" s="37" t="s">
        <v>216</v>
      </c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</row>
    <row r="8" spans="2:67" ht="31.5">
      <c r="D8" s="35">
        <v>1</v>
      </c>
      <c r="E8" s="35" t="s">
        <v>332</v>
      </c>
      <c r="F8" s="35"/>
      <c r="G8" s="35"/>
      <c r="H8" s="35"/>
      <c r="I8" s="35" t="s">
        <v>333</v>
      </c>
      <c r="J8" s="12" t="str">
        <f>CONCATENATE(E8," ",F8," ",G8," ",H8," ",I8)</f>
        <v>Насыпные грунты    с вкл. строительного мусора</v>
      </c>
      <c r="K8" s="35"/>
      <c r="L8" s="35">
        <v>1.9</v>
      </c>
      <c r="M8" s="35">
        <v>1.9</v>
      </c>
      <c r="N8" s="35">
        <v>1.9</v>
      </c>
      <c r="O8" s="41">
        <f>L8*9.806</f>
        <v>18.631399999999999</v>
      </c>
      <c r="P8" s="41">
        <f t="shared" ref="P8" si="0">M8*9.806</f>
        <v>18.631399999999999</v>
      </c>
      <c r="Q8" s="41">
        <f t="shared" ref="Q8" si="1">N8*9.806</f>
        <v>18.631399999999999</v>
      </c>
      <c r="R8" s="35"/>
      <c r="S8" s="35"/>
      <c r="T8" s="35"/>
      <c r="U8" s="35"/>
      <c r="V8" s="35"/>
      <c r="W8" s="35"/>
      <c r="X8" s="35">
        <v>4</v>
      </c>
      <c r="Y8" s="35"/>
      <c r="Z8" s="84">
        <f>IF(G8="водонасыщенные",P8-9.806,P8)</f>
        <v>18.631399999999999</v>
      </c>
      <c r="AA8" s="35">
        <v>0.35</v>
      </c>
      <c r="AB8" s="35">
        <v>4000</v>
      </c>
      <c r="AC8" s="110">
        <f>0.4*X8</f>
        <v>1.6</v>
      </c>
      <c r="AD8" s="110">
        <f>X8/(2*(1+AA8))</f>
        <v>1.4814814814814814</v>
      </c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</row>
    <row r="9" spans="2:67" ht="31.5">
      <c r="B9" s="309"/>
      <c r="D9" s="35">
        <v>2</v>
      </c>
      <c r="E9" s="35" t="s">
        <v>86</v>
      </c>
      <c r="F9" s="35" t="s">
        <v>87</v>
      </c>
      <c r="G9" s="35" t="s">
        <v>88</v>
      </c>
      <c r="H9" s="35" t="s">
        <v>92</v>
      </c>
      <c r="I9" s="35"/>
      <c r="J9" s="12" t="str">
        <f t="shared" ref="J9:J46" si="2">CONCATENATE(E9," ",F9," ",G9," ",H9," ",I9)</f>
        <v xml:space="preserve">Пески мелкие водонасыщенные средней плотности </v>
      </c>
      <c r="K9" s="35">
        <v>0.67900000000000005</v>
      </c>
      <c r="L9" s="35">
        <v>1.92</v>
      </c>
      <c r="M9" s="35">
        <v>1.92</v>
      </c>
      <c r="N9" s="35">
        <v>1.91</v>
      </c>
      <c r="O9" s="41">
        <f>L9*9.806</f>
        <v>18.827519999999996</v>
      </c>
      <c r="P9" s="41">
        <f t="shared" ref="P9:Q9" si="3">M9*9.806</f>
        <v>18.827519999999996</v>
      </c>
      <c r="Q9" s="41">
        <f t="shared" si="3"/>
        <v>18.729459999999996</v>
      </c>
      <c r="R9" s="35">
        <v>31</v>
      </c>
      <c r="S9" s="35">
        <v>31</v>
      </c>
      <c r="T9" s="35">
        <v>31</v>
      </c>
      <c r="U9" s="35">
        <v>0</v>
      </c>
      <c r="V9" s="35">
        <v>0</v>
      </c>
      <c r="W9" s="35">
        <v>0</v>
      </c>
      <c r="X9" s="35">
        <v>23.9</v>
      </c>
      <c r="Y9" s="35"/>
      <c r="Z9" s="84">
        <f>IF(G9="водонасыщенные",P9-9.806,P9)</f>
        <v>9.0215199999999971</v>
      </c>
      <c r="AA9" s="35">
        <v>0.35</v>
      </c>
      <c r="AB9" s="35">
        <v>4950</v>
      </c>
      <c r="AC9" s="110">
        <f t="shared" ref="AC9:AC49" si="4">0.4*X9</f>
        <v>9.56</v>
      </c>
      <c r="AD9" s="110">
        <f t="shared" ref="AD9:AD49" si="5">X9/(2*(1+AA9))</f>
        <v>8.8518518518518512</v>
      </c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</row>
    <row r="10" spans="2:67">
      <c r="B10" s="309"/>
      <c r="D10" s="35" t="s">
        <v>94</v>
      </c>
      <c r="E10" s="35" t="s">
        <v>86</v>
      </c>
      <c r="F10" s="35" t="s">
        <v>87</v>
      </c>
      <c r="G10" s="35" t="s">
        <v>88</v>
      </c>
      <c r="H10" s="35" t="s">
        <v>89</v>
      </c>
      <c r="I10" s="35"/>
      <c r="J10" s="12" t="str">
        <f t="shared" si="2"/>
        <v xml:space="preserve">Пески мелкие водонасыщенные рыхлые </v>
      </c>
      <c r="K10" s="35">
        <v>0.79600000000000004</v>
      </c>
      <c r="L10" s="35">
        <v>1.84</v>
      </c>
      <c r="M10" s="35">
        <v>1.83</v>
      </c>
      <c r="N10" s="35">
        <v>1.83</v>
      </c>
      <c r="O10" s="41">
        <f>L10*9.806</f>
        <v>18.043039999999998</v>
      </c>
      <c r="P10" s="41">
        <f t="shared" ref="P10" si="6">M10*9.806</f>
        <v>17.944979999999997</v>
      </c>
      <c r="Q10" s="41">
        <f t="shared" ref="Q10" si="7">N10*9.806</f>
        <v>17.944979999999997</v>
      </c>
      <c r="R10" s="35">
        <v>27</v>
      </c>
      <c r="S10" s="35">
        <v>26</v>
      </c>
      <c r="T10" s="35">
        <v>26</v>
      </c>
      <c r="U10" s="35">
        <v>0</v>
      </c>
      <c r="V10" s="35">
        <v>0</v>
      </c>
      <c r="W10" s="35">
        <v>0</v>
      </c>
      <c r="X10" s="35">
        <v>11</v>
      </c>
      <c r="Y10" s="35"/>
      <c r="Z10" s="84">
        <f t="shared" ref="Z10:Z49" si="8">IF(G10="водонасыщенные",P10-9.806,P10)</f>
        <v>8.1389799999999983</v>
      </c>
      <c r="AA10" s="35">
        <v>0.35</v>
      </c>
      <c r="AB10" s="35">
        <v>3350</v>
      </c>
      <c r="AC10" s="110">
        <f t="shared" si="4"/>
        <v>4.4000000000000004</v>
      </c>
      <c r="AD10" s="110">
        <f t="shared" si="5"/>
        <v>4.0740740740740735</v>
      </c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</row>
    <row r="11" spans="2:67" ht="31.5">
      <c r="B11" s="309"/>
      <c r="D11" s="35" t="s">
        <v>93</v>
      </c>
      <c r="E11" s="35" t="s">
        <v>86</v>
      </c>
      <c r="F11" s="35" t="s">
        <v>87</v>
      </c>
      <c r="G11" s="35" t="s">
        <v>95</v>
      </c>
      <c r="H11" s="35" t="s">
        <v>92</v>
      </c>
      <c r="I11" s="35"/>
      <c r="J11" s="12" t="str">
        <f t="shared" si="2"/>
        <v xml:space="preserve">Пески мелкие малой степени водонасыщения средней плотности </v>
      </c>
      <c r="K11" s="35">
        <v>0.67300000000000004</v>
      </c>
      <c r="L11" s="35">
        <v>1.77</v>
      </c>
      <c r="M11" s="35">
        <v>1.76</v>
      </c>
      <c r="N11" s="35">
        <v>1.76</v>
      </c>
      <c r="O11" s="41">
        <f t="shared" ref="O11:O46" si="9">L11*9.806</f>
        <v>17.356619999999999</v>
      </c>
      <c r="P11" s="41">
        <f t="shared" ref="P11:P46" si="10">M11*9.806</f>
        <v>17.258559999999999</v>
      </c>
      <c r="Q11" s="41">
        <f t="shared" ref="Q11:Q46" si="11">N11*9.806</f>
        <v>17.258559999999999</v>
      </c>
      <c r="R11" s="35">
        <v>33</v>
      </c>
      <c r="S11" s="35">
        <v>31</v>
      </c>
      <c r="T11" s="35">
        <v>32</v>
      </c>
      <c r="U11" s="35">
        <v>0</v>
      </c>
      <c r="V11" s="35">
        <v>0</v>
      </c>
      <c r="W11" s="35">
        <v>0</v>
      </c>
      <c r="X11" s="35">
        <v>22</v>
      </c>
      <c r="Y11" s="35"/>
      <c r="Z11" s="84">
        <f t="shared" si="8"/>
        <v>17.258559999999999</v>
      </c>
      <c r="AA11" s="35">
        <v>0.35</v>
      </c>
      <c r="AB11" s="35">
        <v>3350</v>
      </c>
      <c r="AC11" s="110">
        <f t="shared" si="4"/>
        <v>8.8000000000000007</v>
      </c>
      <c r="AD11" s="110">
        <f t="shared" si="5"/>
        <v>8.148148148148147</v>
      </c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</row>
    <row r="12" spans="2:67" ht="31.5">
      <c r="B12" s="309"/>
      <c r="D12" s="35">
        <v>3</v>
      </c>
      <c r="E12" s="35" t="s">
        <v>86</v>
      </c>
      <c r="F12" s="35" t="s">
        <v>96</v>
      </c>
      <c r="G12" s="35" t="s">
        <v>88</v>
      </c>
      <c r="H12" s="35" t="s">
        <v>92</v>
      </c>
      <c r="I12" s="35"/>
      <c r="J12" s="12" t="str">
        <f t="shared" si="2"/>
        <v xml:space="preserve">Пески средней крупности водонасыщенные средней плотности </v>
      </c>
      <c r="K12" s="35">
        <v>0.67300000000000004</v>
      </c>
      <c r="L12" s="35">
        <v>1.92</v>
      </c>
      <c r="M12" s="35">
        <v>1.91</v>
      </c>
      <c r="N12" s="35">
        <v>1.91</v>
      </c>
      <c r="O12" s="41">
        <f t="shared" si="9"/>
        <v>18.827519999999996</v>
      </c>
      <c r="P12" s="41">
        <f t="shared" si="10"/>
        <v>18.729459999999996</v>
      </c>
      <c r="Q12" s="41">
        <f t="shared" si="11"/>
        <v>18.729459999999996</v>
      </c>
      <c r="R12" s="35">
        <v>32</v>
      </c>
      <c r="S12" s="35">
        <v>31</v>
      </c>
      <c r="T12" s="35">
        <v>32</v>
      </c>
      <c r="U12" s="35">
        <v>0</v>
      </c>
      <c r="V12" s="35">
        <v>0</v>
      </c>
      <c r="W12" s="35">
        <v>0</v>
      </c>
      <c r="X12" s="35">
        <v>25.8</v>
      </c>
      <c r="Y12" s="35"/>
      <c r="Z12" s="84">
        <f t="shared" si="8"/>
        <v>8.9234599999999968</v>
      </c>
      <c r="AA12" s="35">
        <v>0.35</v>
      </c>
      <c r="AB12" s="35">
        <v>4360</v>
      </c>
      <c r="AC12" s="110">
        <f t="shared" si="4"/>
        <v>10.32</v>
      </c>
      <c r="AD12" s="110">
        <f t="shared" si="5"/>
        <v>9.5555555555555554</v>
      </c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</row>
    <row r="13" spans="2:67">
      <c r="B13" s="309"/>
      <c r="D13" s="35" t="s">
        <v>40</v>
      </c>
      <c r="E13" s="35" t="s">
        <v>86</v>
      </c>
      <c r="F13" s="35" t="s">
        <v>97</v>
      </c>
      <c r="G13" s="35" t="s">
        <v>88</v>
      </c>
      <c r="H13" s="35" t="s">
        <v>89</v>
      </c>
      <c r="I13" s="35"/>
      <c r="J13" s="12" t="str">
        <f t="shared" si="2"/>
        <v xml:space="preserve">Пески крупные водонасыщенные рыхлые </v>
      </c>
      <c r="K13" s="35">
        <v>0.72799999999999998</v>
      </c>
      <c r="L13" s="35">
        <v>1.88</v>
      </c>
      <c r="M13" s="35">
        <v>1.87</v>
      </c>
      <c r="N13" s="35">
        <v>1.87</v>
      </c>
      <c r="O13" s="41">
        <f t="shared" si="9"/>
        <v>18.435279999999999</v>
      </c>
      <c r="P13" s="41">
        <f t="shared" si="10"/>
        <v>18.337219999999999</v>
      </c>
      <c r="Q13" s="41">
        <f t="shared" si="11"/>
        <v>18.337219999999999</v>
      </c>
      <c r="R13" s="35">
        <v>28</v>
      </c>
      <c r="S13" s="35">
        <v>27</v>
      </c>
      <c r="T13" s="35">
        <v>27</v>
      </c>
      <c r="U13" s="35">
        <v>0</v>
      </c>
      <c r="V13" s="35">
        <v>0</v>
      </c>
      <c r="W13" s="35">
        <v>0</v>
      </c>
      <c r="X13" s="35">
        <v>17.8</v>
      </c>
      <c r="Y13" s="35"/>
      <c r="Z13" s="84">
        <f t="shared" si="8"/>
        <v>8.5312199999999994</v>
      </c>
      <c r="AA13" s="35">
        <v>0.35</v>
      </c>
      <c r="AB13" s="35">
        <v>6000</v>
      </c>
      <c r="AC13" s="110">
        <f t="shared" si="4"/>
        <v>7.120000000000001</v>
      </c>
      <c r="AD13" s="110">
        <f t="shared" si="5"/>
        <v>6.5925925925925926</v>
      </c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</row>
    <row r="14" spans="2:67">
      <c r="B14" s="309"/>
      <c r="D14" s="35">
        <v>4</v>
      </c>
      <c r="E14" s="35" t="s">
        <v>98</v>
      </c>
      <c r="F14" s="35" t="s">
        <v>99</v>
      </c>
      <c r="G14" s="35"/>
      <c r="H14" s="35"/>
      <c r="I14" s="35"/>
      <c r="J14" s="12" t="str">
        <f t="shared" si="2"/>
        <v xml:space="preserve">Суглинки полутвердые   </v>
      </c>
      <c r="K14" s="35">
        <v>0.68700000000000006</v>
      </c>
      <c r="L14" s="35">
        <v>2.0099999999999998</v>
      </c>
      <c r="M14" s="35">
        <v>2.0099999999999998</v>
      </c>
      <c r="N14" s="35">
        <v>2</v>
      </c>
      <c r="O14" s="41">
        <f t="shared" si="9"/>
        <v>19.710059999999995</v>
      </c>
      <c r="P14" s="41">
        <f t="shared" si="10"/>
        <v>19.710059999999995</v>
      </c>
      <c r="Q14" s="41">
        <f t="shared" si="11"/>
        <v>19.611999999999998</v>
      </c>
      <c r="R14" s="35">
        <v>23</v>
      </c>
      <c r="S14" s="35">
        <v>22</v>
      </c>
      <c r="T14" s="35">
        <v>22</v>
      </c>
      <c r="U14" s="35">
        <v>27</v>
      </c>
      <c r="V14" s="35">
        <v>26</v>
      </c>
      <c r="W14" s="35">
        <v>26</v>
      </c>
      <c r="X14" s="35">
        <v>16</v>
      </c>
      <c r="Y14" s="35">
        <v>4</v>
      </c>
      <c r="Z14" s="84">
        <f t="shared" si="8"/>
        <v>19.710059999999995</v>
      </c>
      <c r="AA14" s="35">
        <v>0.37</v>
      </c>
      <c r="AB14" s="35">
        <v>10000</v>
      </c>
      <c r="AC14" s="110">
        <f t="shared" si="4"/>
        <v>6.4</v>
      </c>
      <c r="AD14" s="110">
        <f t="shared" si="5"/>
        <v>5.8394160583941606</v>
      </c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</row>
    <row r="15" spans="2:67" ht="57.75" customHeight="1">
      <c r="B15" s="309"/>
      <c r="D15" s="35" t="s">
        <v>104</v>
      </c>
      <c r="E15" s="35" t="s">
        <v>98</v>
      </c>
      <c r="F15" s="35" t="s">
        <v>99</v>
      </c>
      <c r="G15" s="35"/>
      <c r="H15" s="35"/>
      <c r="I15" s="35" t="s">
        <v>112</v>
      </c>
      <c r="J15" s="12" t="str">
        <f t="shared" si="2"/>
        <v>Суглинки полутвердые   с примесью органики, слабозаторфованные, с прослоями суглинка и глины тугопластичной</v>
      </c>
      <c r="K15" s="35">
        <v>0.93600000000000005</v>
      </c>
      <c r="L15" s="35">
        <v>1.79</v>
      </c>
      <c r="M15" s="35">
        <v>1.79</v>
      </c>
      <c r="N15" s="35">
        <v>1.79</v>
      </c>
      <c r="O15" s="41">
        <f t="shared" si="9"/>
        <v>17.55274</v>
      </c>
      <c r="P15" s="41">
        <f t="shared" si="10"/>
        <v>17.55274</v>
      </c>
      <c r="Q15" s="41">
        <f t="shared" si="11"/>
        <v>17.55274</v>
      </c>
      <c r="R15" s="35">
        <v>21</v>
      </c>
      <c r="S15" s="35">
        <v>20</v>
      </c>
      <c r="T15" s="35">
        <v>21</v>
      </c>
      <c r="U15" s="35">
        <v>25</v>
      </c>
      <c r="V15" s="35">
        <v>24</v>
      </c>
      <c r="W15" s="35">
        <v>24</v>
      </c>
      <c r="X15" s="35">
        <v>3.97</v>
      </c>
      <c r="Y15" s="35">
        <v>0.15</v>
      </c>
      <c r="Z15" s="84">
        <f t="shared" si="8"/>
        <v>17.55274</v>
      </c>
      <c r="AA15" s="35">
        <v>0.37</v>
      </c>
      <c r="AB15" s="35">
        <v>10000</v>
      </c>
      <c r="AC15" s="110">
        <f t="shared" si="4"/>
        <v>1.5880000000000001</v>
      </c>
      <c r="AD15" s="110">
        <f t="shared" si="5"/>
        <v>1.448905109489051</v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</row>
    <row r="16" spans="2:67">
      <c r="B16" s="309"/>
      <c r="D16" s="35">
        <v>5</v>
      </c>
      <c r="E16" s="35" t="s">
        <v>105</v>
      </c>
      <c r="F16" s="35" t="s">
        <v>106</v>
      </c>
      <c r="G16" s="35"/>
      <c r="H16" s="35"/>
      <c r="I16" s="35"/>
      <c r="J16" s="12" t="str">
        <f t="shared" si="2"/>
        <v xml:space="preserve">Супеси твердые   </v>
      </c>
      <c r="K16" s="35">
        <v>0.66200000000000003</v>
      </c>
      <c r="L16" s="35">
        <v>2.0099999999999998</v>
      </c>
      <c r="M16" s="35">
        <v>2</v>
      </c>
      <c r="N16" s="35">
        <v>2</v>
      </c>
      <c r="O16" s="41">
        <f t="shared" si="9"/>
        <v>19.710059999999995</v>
      </c>
      <c r="P16" s="41">
        <f t="shared" si="10"/>
        <v>19.611999999999998</v>
      </c>
      <c r="Q16" s="41">
        <f t="shared" si="11"/>
        <v>19.611999999999998</v>
      </c>
      <c r="R16" s="35">
        <v>14</v>
      </c>
      <c r="S16" s="35">
        <v>12</v>
      </c>
      <c r="T16" s="35">
        <v>13</v>
      </c>
      <c r="U16" s="35">
        <v>15</v>
      </c>
      <c r="V16" s="35">
        <v>14</v>
      </c>
      <c r="W16" s="35">
        <v>14</v>
      </c>
      <c r="X16" s="35">
        <v>21</v>
      </c>
      <c r="Y16" s="35">
        <v>-0.09</v>
      </c>
      <c r="Z16" s="84">
        <f t="shared" si="8"/>
        <v>19.611999999999998</v>
      </c>
      <c r="AA16" s="35">
        <v>0.3</v>
      </c>
      <c r="AB16" s="35">
        <v>6000</v>
      </c>
      <c r="AC16" s="110">
        <f t="shared" si="4"/>
        <v>8.4</v>
      </c>
      <c r="AD16" s="110">
        <f t="shared" si="5"/>
        <v>8.0769230769230766</v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</row>
    <row r="17" spans="2:65">
      <c r="B17" s="309"/>
      <c r="D17" s="35" t="s">
        <v>107</v>
      </c>
      <c r="E17" s="35" t="s">
        <v>105</v>
      </c>
      <c r="F17" s="35" t="s">
        <v>108</v>
      </c>
      <c r="G17" s="35"/>
      <c r="H17" s="35"/>
      <c r="I17" s="35"/>
      <c r="J17" s="12" t="str">
        <f t="shared" si="2"/>
        <v xml:space="preserve">Супеси пластичные   </v>
      </c>
      <c r="K17" s="35">
        <v>0.66700000000000004</v>
      </c>
      <c r="L17" s="35">
        <v>2</v>
      </c>
      <c r="M17" s="35">
        <v>2</v>
      </c>
      <c r="N17" s="35">
        <v>1.99</v>
      </c>
      <c r="O17" s="41">
        <f t="shared" si="9"/>
        <v>19.611999999999998</v>
      </c>
      <c r="P17" s="41">
        <f t="shared" si="10"/>
        <v>19.611999999999998</v>
      </c>
      <c r="Q17" s="41">
        <f t="shared" si="11"/>
        <v>19.513939999999998</v>
      </c>
      <c r="R17" s="35">
        <v>24</v>
      </c>
      <c r="S17" s="35">
        <v>23</v>
      </c>
      <c r="T17" s="35">
        <v>23</v>
      </c>
      <c r="U17" s="35">
        <v>15</v>
      </c>
      <c r="V17" s="35">
        <v>14</v>
      </c>
      <c r="W17" s="35">
        <v>14</v>
      </c>
      <c r="X17" s="35">
        <v>14</v>
      </c>
      <c r="Y17" s="35">
        <v>0.21</v>
      </c>
      <c r="Z17" s="84">
        <f t="shared" si="8"/>
        <v>19.611999999999998</v>
      </c>
      <c r="AA17" s="35">
        <v>0.3</v>
      </c>
      <c r="AB17" s="35">
        <v>2900</v>
      </c>
      <c r="AC17" s="110">
        <f t="shared" si="4"/>
        <v>5.6000000000000005</v>
      </c>
      <c r="AD17" s="110">
        <f t="shared" si="5"/>
        <v>5.3846153846153841</v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</row>
    <row r="18" spans="2:65" ht="31.5">
      <c r="B18" s="309"/>
      <c r="D18" s="35">
        <v>6</v>
      </c>
      <c r="E18" s="35" t="s">
        <v>98</v>
      </c>
      <c r="F18" s="35" t="s">
        <v>99</v>
      </c>
      <c r="G18" s="35"/>
      <c r="H18" s="35"/>
      <c r="I18" s="35" t="s">
        <v>113</v>
      </c>
      <c r="J18" s="12" t="str">
        <f t="shared" si="2"/>
        <v>Суглинки полутвердые   с прослоями твердых глин</v>
      </c>
      <c r="K18" s="35">
        <v>0.65</v>
      </c>
      <c r="L18" s="35">
        <v>2.04</v>
      </c>
      <c r="M18" s="35">
        <v>2.04</v>
      </c>
      <c r="N18" s="35">
        <v>2.04</v>
      </c>
      <c r="O18" s="41">
        <f t="shared" si="9"/>
        <v>20.004239999999999</v>
      </c>
      <c r="P18" s="41">
        <f t="shared" si="10"/>
        <v>20.004239999999999</v>
      </c>
      <c r="Q18" s="41">
        <f t="shared" si="11"/>
        <v>20.004239999999999</v>
      </c>
      <c r="R18" s="35">
        <v>23</v>
      </c>
      <c r="S18" s="35">
        <v>23</v>
      </c>
      <c r="T18" s="35">
        <v>23</v>
      </c>
      <c r="U18" s="35">
        <v>44</v>
      </c>
      <c r="V18" s="35">
        <v>42</v>
      </c>
      <c r="W18" s="35">
        <v>43</v>
      </c>
      <c r="X18" s="35">
        <v>22</v>
      </c>
      <c r="Y18" s="35">
        <v>0.09</v>
      </c>
      <c r="Z18" s="84">
        <f t="shared" si="8"/>
        <v>20.004239999999999</v>
      </c>
      <c r="AA18" s="35">
        <v>0.37</v>
      </c>
      <c r="AB18" s="35">
        <v>10000</v>
      </c>
      <c r="AC18" s="110">
        <f t="shared" si="4"/>
        <v>8.8000000000000007</v>
      </c>
      <c r="AD18" s="110">
        <f t="shared" si="5"/>
        <v>8.0291970802919703</v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</row>
    <row r="19" spans="2:65" ht="47.25">
      <c r="B19" s="309"/>
      <c r="D19" s="35">
        <v>7</v>
      </c>
      <c r="E19" s="35" t="s">
        <v>110</v>
      </c>
      <c r="F19" s="35" t="s">
        <v>106</v>
      </c>
      <c r="G19" s="35"/>
      <c r="H19" s="35"/>
      <c r="I19" s="35" t="s">
        <v>114</v>
      </c>
      <c r="J19" s="12" t="str">
        <f t="shared" si="2"/>
        <v>Глины твердые   с прослоями полутвердых, суглинков и супесей</v>
      </c>
      <c r="K19" s="35">
        <v>0.76500000000000001</v>
      </c>
      <c r="L19" s="35">
        <v>1.96</v>
      </c>
      <c r="M19" s="35">
        <v>1.95</v>
      </c>
      <c r="N19" s="35">
        <v>1.95</v>
      </c>
      <c r="O19" s="41">
        <f t="shared" si="9"/>
        <v>19.219759999999997</v>
      </c>
      <c r="P19" s="41">
        <f t="shared" si="10"/>
        <v>19.121699999999997</v>
      </c>
      <c r="Q19" s="41">
        <f t="shared" si="11"/>
        <v>19.121699999999997</v>
      </c>
      <c r="R19" s="35">
        <v>19</v>
      </c>
      <c r="S19" s="35">
        <v>18</v>
      </c>
      <c r="T19" s="35">
        <v>19</v>
      </c>
      <c r="U19" s="35">
        <v>71</v>
      </c>
      <c r="V19" s="35">
        <v>68</v>
      </c>
      <c r="W19" s="35">
        <v>69</v>
      </c>
      <c r="X19" s="35">
        <v>23</v>
      </c>
      <c r="Y19" s="35">
        <v>-0.08</v>
      </c>
      <c r="Z19" s="84">
        <f t="shared" si="8"/>
        <v>19.121699999999997</v>
      </c>
      <c r="AA19" s="35">
        <v>0.25</v>
      </c>
      <c r="AB19" s="35">
        <v>8000</v>
      </c>
      <c r="AC19" s="110">
        <f t="shared" si="4"/>
        <v>9.2000000000000011</v>
      </c>
      <c r="AD19" s="110">
        <f t="shared" si="5"/>
        <v>9.1999999999999993</v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</row>
    <row r="20" spans="2:65">
      <c r="D20" s="35"/>
      <c r="E20" s="35"/>
      <c r="F20" s="35"/>
      <c r="G20" s="35"/>
      <c r="H20" s="35"/>
      <c r="I20" s="35"/>
      <c r="J20" s="12" t="str">
        <f t="shared" si="2"/>
        <v xml:space="preserve">    </v>
      </c>
      <c r="K20" s="35"/>
      <c r="L20" s="35"/>
      <c r="M20" s="35"/>
      <c r="N20" s="35"/>
      <c r="O20" s="41">
        <f t="shared" si="9"/>
        <v>0</v>
      </c>
      <c r="P20" s="41">
        <f t="shared" si="10"/>
        <v>0</v>
      </c>
      <c r="Q20" s="41">
        <f t="shared" si="11"/>
        <v>0</v>
      </c>
      <c r="R20" s="35"/>
      <c r="S20" s="35"/>
      <c r="T20" s="35"/>
      <c r="U20" s="35"/>
      <c r="V20" s="35"/>
      <c r="W20" s="35"/>
      <c r="X20" s="35"/>
      <c r="Y20" s="35"/>
      <c r="Z20" s="84">
        <f t="shared" si="8"/>
        <v>0</v>
      </c>
      <c r="AA20" s="35"/>
      <c r="AB20" s="35"/>
      <c r="AC20" s="110">
        <f t="shared" si="4"/>
        <v>0</v>
      </c>
      <c r="AD20" s="110">
        <f t="shared" si="5"/>
        <v>0</v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</row>
    <row r="21" spans="2:65">
      <c r="D21" s="35"/>
      <c r="E21" s="35"/>
      <c r="F21" s="35"/>
      <c r="G21" s="35"/>
      <c r="H21" s="35"/>
      <c r="I21" s="35"/>
      <c r="J21" s="12" t="str">
        <f t="shared" si="2"/>
        <v xml:space="preserve">    </v>
      </c>
      <c r="K21" s="35"/>
      <c r="L21" s="35"/>
      <c r="M21" s="35"/>
      <c r="N21" s="35"/>
      <c r="O21" s="41">
        <f t="shared" si="9"/>
        <v>0</v>
      </c>
      <c r="P21" s="41">
        <f t="shared" si="10"/>
        <v>0</v>
      </c>
      <c r="Q21" s="41">
        <f t="shared" si="11"/>
        <v>0</v>
      </c>
      <c r="R21" s="35"/>
      <c r="S21" s="35"/>
      <c r="T21" s="35"/>
      <c r="U21" s="35"/>
      <c r="V21" s="35"/>
      <c r="W21" s="35"/>
      <c r="X21" s="35"/>
      <c r="Y21" s="35"/>
      <c r="Z21" s="84">
        <f t="shared" si="8"/>
        <v>0</v>
      </c>
      <c r="AA21" s="35"/>
      <c r="AB21" s="35"/>
      <c r="AC21" s="110">
        <f t="shared" si="4"/>
        <v>0</v>
      </c>
      <c r="AD21" s="110">
        <f t="shared" si="5"/>
        <v>0</v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</row>
    <row r="22" spans="2:65">
      <c r="D22" s="35"/>
      <c r="E22" s="35"/>
      <c r="F22" s="35"/>
      <c r="G22" s="35"/>
      <c r="H22" s="35"/>
      <c r="I22" s="35"/>
      <c r="J22" s="12" t="str">
        <f t="shared" si="2"/>
        <v xml:space="preserve">    </v>
      </c>
      <c r="K22" s="35"/>
      <c r="L22" s="35"/>
      <c r="M22" s="35"/>
      <c r="N22" s="35"/>
      <c r="O22" s="41">
        <f t="shared" si="9"/>
        <v>0</v>
      </c>
      <c r="P22" s="41">
        <f t="shared" si="10"/>
        <v>0</v>
      </c>
      <c r="Q22" s="41">
        <f t="shared" si="11"/>
        <v>0</v>
      </c>
      <c r="R22" s="35"/>
      <c r="S22" s="35"/>
      <c r="T22" s="35"/>
      <c r="U22" s="35"/>
      <c r="V22" s="35"/>
      <c r="W22" s="35"/>
      <c r="X22" s="35"/>
      <c r="Y22" s="35"/>
      <c r="Z22" s="84">
        <f t="shared" si="8"/>
        <v>0</v>
      </c>
      <c r="AA22" s="35"/>
      <c r="AB22" s="35"/>
      <c r="AC22" s="110">
        <f t="shared" si="4"/>
        <v>0</v>
      </c>
      <c r="AD22" s="110">
        <f t="shared" si="5"/>
        <v>0</v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</row>
    <row r="23" spans="2:65">
      <c r="D23" s="35"/>
      <c r="E23" s="35"/>
      <c r="F23" s="35"/>
      <c r="G23" s="35"/>
      <c r="H23" s="35"/>
      <c r="I23" s="35"/>
      <c r="J23" s="12" t="str">
        <f t="shared" si="2"/>
        <v xml:space="preserve">    </v>
      </c>
      <c r="K23" s="35"/>
      <c r="L23" s="35"/>
      <c r="M23" s="35"/>
      <c r="N23" s="35"/>
      <c r="O23" s="41">
        <f t="shared" si="9"/>
        <v>0</v>
      </c>
      <c r="P23" s="41">
        <f t="shared" si="10"/>
        <v>0</v>
      </c>
      <c r="Q23" s="41">
        <f t="shared" si="11"/>
        <v>0</v>
      </c>
      <c r="R23" s="35"/>
      <c r="S23" s="35"/>
      <c r="T23" s="35"/>
      <c r="U23" s="35"/>
      <c r="V23" s="35"/>
      <c r="W23" s="35"/>
      <c r="X23" s="35"/>
      <c r="Y23" s="35"/>
      <c r="Z23" s="84">
        <f t="shared" si="8"/>
        <v>0</v>
      </c>
      <c r="AA23" s="35"/>
      <c r="AB23" s="35"/>
      <c r="AC23" s="110">
        <f t="shared" si="4"/>
        <v>0</v>
      </c>
      <c r="AD23" s="110">
        <f t="shared" si="5"/>
        <v>0</v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</row>
    <row r="24" spans="2:65">
      <c r="D24" s="35"/>
      <c r="E24" s="35"/>
      <c r="F24" s="35"/>
      <c r="G24" s="35"/>
      <c r="H24" s="35"/>
      <c r="I24" s="35"/>
      <c r="J24" s="12" t="str">
        <f t="shared" si="2"/>
        <v xml:space="preserve">    </v>
      </c>
      <c r="K24" s="35"/>
      <c r="L24" s="35"/>
      <c r="M24" s="35"/>
      <c r="N24" s="35"/>
      <c r="O24" s="41">
        <f t="shared" si="9"/>
        <v>0</v>
      </c>
      <c r="P24" s="41">
        <f t="shared" si="10"/>
        <v>0</v>
      </c>
      <c r="Q24" s="41">
        <f t="shared" si="11"/>
        <v>0</v>
      </c>
      <c r="R24" s="35"/>
      <c r="S24" s="35"/>
      <c r="T24" s="35"/>
      <c r="U24" s="35"/>
      <c r="V24" s="35"/>
      <c r="W24" s="35"/>
      <c r="X24" s="35"/>
      <c r="Y24" s="35"/>
      <c r="Z24" s="84">
        <f t="shared" si="8"/>
        <v>0</v>
      </c>
      <c r="AA24" s="35"/>
      <c r="AB24" s="35"/>
      <c r="AC24" s="110">
        <f t="shared" si="4"/>
        <v>0</v>
      </c>
      <c r="AD24" s="110">
        <f t="shared" si="5"/>
        <v>0</v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</row>
    <row r="25" spans="2:65">
      <c r="D25" s="35"/>
      <c r="E25" s="35"/>
      <c r="F25" s="35"/>
      <c r="G25" s="35"/>
      <c r="H25" s="35"/>
      <c r="I25" s="35"/>
      <c r="J25" s="12" t="str">
        <f t="shared" si="2"/>
        <v xml:space="preserve">    </v>
      </c>
      <c r="K25" s="35"/>
      <c r="L25" s="35"/>
      <c r="M25" s="35"/>
      <c r="N25" s="35"/>
      <c r="O25" s="41">
        <f t="shared" si="9"/>
        <v>0</v>
      </c>
      <c r="P25" s="41">
        <f t="shared" si="10"/>
        <v>0</v>
      </c>
      <c r="Q25" s="41">
        <f t="shared" si="11"/>
        <v>0</v>
      </c>
      <c r="R25" s="35"/>
      <c r="S25" s="35"/>
      <c r="T25" s="35"/>
      <c r="U25" s="35"/>
      <c r="V25" s="35"/>
      <c r="W25" s="35"/>
      <c r="X25" s="35"/>
      <c r="Y25" s="35"/>
      <c r="Z25" s="84">
        <f t="shared" si="8"/>
        <v>0</v>
      </c>
      <c r="AA25" s="35"/>
      <c r="AB25" s="35"/>
      <c r="AC25" s="110">
        <f t="shared" si="4"/>
        <v>0</v>
      </c>
      <c r="AD25" s="110">
        <f t="shared" si="5"/>
        <v>0</v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</row>
    <row r="26" spans="2:65">
      <c r="D26" s="35"/>
      <c r="E26" s="35"/>
      <c r="F26" s="35"/>
      <c r="G26" s="35"/>
      <c r="H26" s="35"/>
      <c r="I26" s="35"/>
      <c r="J26" s="12" t="str">
        <f t="shared" si="2"/>
        <v xml:space="preserve">    </v>
      </c>
      <c r="K26" s="35"/>
      <c r="L26" s="35"/>
      <c r="M26" s="35"/>
      <c r="N26" s="35"/>
      <c r="O26" s="41">
        <f t="shared" si="9"/>
        <v>0</v>
      </c>
      <c r="P26" s="41">
        <f t="shared" si="10"/>
        <v>0</v>
      </c>
      <c r="Q26" s="41">
        <f t="shared" si="11"/>
        <v>0</v>
      </c>
      <c r="R26" s="35"/>
      <c r="S26" s="35"/>
      <c r="T26" s="35"/>
      <c r="U26" s="35"/>
      <c r="V26" s="35"/>
      <c r="W26" s="35"/>
      <c r="X26" s="35"/>
      <c r="Y26" s="35"/>
      <c r="Z26" s="84">
        <f t="shared" si="8"/>
        <v>0</v>
      </c>
      <c r="AA26" s="35"/>
      <c r="AB26" s="35"/>
      <c r="AC26" s="110">
        <f t="shared" si="4"/>
        <v>0</v>
      </c>
      <c r="AD26" s="110">
        <f t="shared" si="5"/>
        <v>0</v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</row>
    <row r="27" spans="2:65">
      <c r="D27" s="35"/>
      <c r="E27" s="35"/>
      <c r="F27" s="35"/>
      <c r="G27" s="35"/>
      <c r="H27" s="35"/>
      <c r="I27" s="35"/>
      <c r="J27" s="12" t="str">
        <f t="shared" si="2"/>
        <v xml:space="preserve">    </v>
      </c>
      <c r="K27" s="35"/>
      <c r="L27" s="35"/>
      <c r="M27" s="35"/>
      <c r="N27" s="35"/>
      <c r="O27" s="41">
        <f t="shared" si="9"/>
        <v>0</v>
      </c>
      <c r="P27" s="41">
        <f t="shared" si="10"/>
        <v>0</v>
      </c>
      <c r="Q27" s="41">
        <f t="shared" si="11"/>
        <v>0</v>
      </c>
      <c r="R27" s="35"/>
      <c r="S27" s="35"/>
      <c r="T27" s="35"/>
      <c r="U27" s="35"/>
      <c r="V27" s="35"/>
      <c r="W27" s="35"/>
      <c r="X27" s="35"/>
      <c r="Y27" s="35"/>
      <c r="Z27" s="84">
        <f t="shared" si="8"/>
        <v>0</v>
      </c>
      <c r="AA27" s="35"/>
      <c r="AB27" s="35"/>
      <c r="AC27" s="110">
        <f t="shared" si="4"/>
        <v>0</v>
      </c>
      <c r="AD27" s="110">
        <f t="shared" si="5"/>
        <v>0</v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</row>
    <row r="28" spans="2:65">
      <c r="D28" s="35"/>
      <c r="E28" s="35"/>
      <c r="F28" s="35"/>
      <c r="G28" s="35"/>
      <c r="H28" s="35"/>
      <c r="I28" s="35"/>
      <c r="J28" s="12" t="str">
        <f t="shared" si="2"/>
        <v xml:space="preserve">    </v>
      </c>
      <c r="K28" s="35"/>
      <c r="L28" s="35"/>
      <c r="M28" s="35"/>
      <c r="N28" s="35"/>
      <c r="O28" s="41">
        <f t="shared" si="9"/>
        <v>0</v>
      </c>
      <c r="P28" s="41">
        <f t="shared" si="10"/>
        <v>0</v>
      </c>
      <c r="Q28" s="41">
        <f t="shared" si="11"/>
        <v>0</v>
      </c>
      <c r="R28" s="35"/>
      <c r="S28" s="35"/>
      <c r="T28" s="35"/>
      <c r="U28" s="35"/>
      <c r="V28" s="35"/>
      <c r="W28" s="35"/>
      <c r="X28" s="35"/>
      <c r="Y28" s="35"/>
      <c r="Z28" s="84">
        <f t="shared" si="8"/>
        <v>0</v>
      </c>
      <c r="AA28" s="35"/>
      <c r="AB28" s="35"/>
      <c r="AC28" s="110">
        <f t="shared" si="4"/>
        <v>0</v>
      </c>
      <c r="AD28" s="110">
        <f t="shared" si="5"/>
        <v>0</v>
      </c>
      <c r="AE28" s="35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5"/>
      <c r="BM28" s="35"/>
    </row>
    <row r="29" spans="2:65">
      <c r="D29" s="35"/>
      <c r="E29" s="35"/>
      <c r="F29" s="35"/>
      <c r="G29" s="35"/>
      <c r="H29" s="35"/>
      <c r="I29" s="35"/>
      <c r="J29" s="12" t="str">
        <f t="shared" si="2"/>
        <v xml:space="preserve">    </v>
      </c>
      <c r="K29" s="35"/>
      <c r="L29" s="35"/>
      <c r="M29" s="35"/>
      <c r="N29" s="35"/>
      <c r="O29" s="41">
        <f t="shared" si="9"/>
        <v>0</v>
      </c>
      <c r="P29" s="41">
        <f t="shared" si="10"/>
        <v>0</v>
      </c>
      <c r="Q29" s="41">
        <f t="shared" si="11"/>
        <v>0</v>
      </c>
      <c r="R29" s="35"/>
      <c r="S29" s="35"/>
      <c r="T29" s="35"/>
      <c r="U29" s="35"/>
      <c r="V29" s="35"/>
      <c r="W29" s="35"/>
      <c r="X29" s="35"/>
      <c r="Y29" s="35"/>
      <c r="Z29" s="84">
        <f t="shared" si="8"/>
        <v>0</v>
      </c>
      <c r="AA29" s="35"/>
      <c r="AB29" s="35"/>
      <c r="AC29" s="110">
        <f t="shared" si="4"/>
        <v>0</v>
      </c>
      <c r="AD29" s="110">
        <f t="shared" si="5"/>
        <v>0</v>
      </c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</row>
    <row r="30" spans="2:65">
      <c r="D30" s="35"/>
      <c r="E30" s="35"/>
      <c r="F30" s="35"/>
      <c r="G30" s="35"/>
      <c r="H30" s="35"/>
      <c r="I30" s="35"/>
      <c r="J30" s="12" t="str">
        <f t="shared" si="2"/>
        <v xml:space="preserve">    </v>
      </c>
      <c r="K30" s="35"/>
      <c r="L30" s="35"/>
      <c r="M30" s="35"/>
      <c r="N30" s="35"/>
      <c r="O30" s="41">
        <f t="shared" si="9"/>
        <v>0</v>
      </c>
      <c r="P30" s="41">
        <f t="shared" si="10"/>
        <v>0</v>
      </c>
      <c r="Q30" s="41">
        <f t="shared" si="11"/>
        <v>0</v>
      </c>
      <c r="R30" s="35"/>
      <c r="S30" s="35"/>
      <c r="T30" s="35"/>
      <c r="U30" s="35"/>
      <c r="V30" s="35"/>
      <c r="W30" s="35"/>
      <c r="X30" s="35"/>
      <c r="Y30" s="35"/>
      <c r="Z30" s="84">
        <f t="shared" si="8"/>
        <v>0</v>
      </c>
      <c r="AA30" s="35"/>
      <c r="AB30" s="35"/>
      <c r="AC30" s="110">
        <f t="shared" si="4"/>
        <v>0</v>
      </c>
      <c r="AD30" s="110">
        <f t="shared" si="5"/>
        <v>0</v>
      </c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</row>
    <row r="31" spans="2:65">
      <c r="D31" s="35"/>
      <c r="E31" s="35"/>
      <c r="F31" s="35"/>
      <c r="G31" s="35"/>
      <c r="H31" s="35"/>
      <c r="I31" s="35"/>
      <c r="J31" s="12" t="str">
        <f t="shared" si="2"/>
        <v xml:space="preserve">    </v>
      </c>
      <c r="K31" s="35"/>
      <c r="L31" s="35"/>
      <c r="M31" s="35"/>
      <c r="N31" s="35"/>
      <c r="O31" s="41">
        <f t="shared" si="9"/>
        <v>0</v>
      </c>
      <c r="P31" s="41">
        <f t="shared" si="10"/>
        <v>0</v>
      </c>
      <c r="Q31" s="41">
        <f t="shared" si="11"/>
        <v>0</v>
      </c>
      <c r="R31" s="35"/>
      <c r="S31" s="35"/>
      <c r="T31" s="35"/>
      <c r="U31" s="35"/>
      <c r="V31" s="35"/>
      <c r="W31" s="35"/>
      <c r="X31" s="35"/>
      <c r="Y31" s="35"/>
      <c r="Z31" s="84">
        <f t="shared" si="8"/>
        <v>0</v>
      </c>
      <c r="AA31" s="35"/>
      <c r="AB31" s="35"/>
      <c r="AC31" s="110">
        <f t="shared" si="4"/>
        <v>0</v>
      </c>
      <c r="AD31" s="110">
        <f t="shared" si="5"/>
        <v>0</v>
      </c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</row>
    <row r="32" spans="2:65">
      <c r="D32" s="35"/>
      <c r="E32" s="35"/>
      <c r="F32" s="35"/>
      <c r="G32" s="35"/>
      <c r="H32" s="35"/>
      <c r="I32" s="35"/>
      <c r="J32" s="12" t="str">
        <f t="shared" si="2"/>
        <v xml:space="preserve">    </v>
      </c>
      <c r="K32" s="35"/>
      <c r="L32" s="35"/>
      <c r="M32" s="35"/>
      <c r="N32" s="35"/>
      <c r="O32" s="41">
        <f t="shared" si="9"/>
        <v>0</v>
      </c>
      <c r="P32" s="41">
        <f t="shared" si="10"/>
        <v>0</v>
      </c>
      <c r="Q32" s="41">
        <f t="shared" si="11"/>
        <v>0</v>
      </c>
      <c r="R32" s="35"/>
      <c r="S32" s="35"/>
      <c r="T32" s="35"/>
      <c r="U32" s="35"/>
      <c r="V32" s="35"/>
      <c r="W32" s="35"/>
      <c r="X32" s="35"/>
      <c r="Y32" s="35"/>
      <c r="Z32" s="84">
        <f t="shared" si="8"/>
        <v>0</v>
      </c>
      <c r="AA32" s="35"/>
      <c r="AB32" s="35"/>
      <c r="AC32" s="110">
        <f t="shared" si="4"/>
        <v>0</v>
      </c>
      <c r="AD32" s="110">
        <f t="shared" si="5"/>
        <v>0</v>
      </c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</row>
    <row r="33" spans="4:65">
      <c r="D33" s="35"/>
      <c r="E33" s="35"/>
      <c r="F33" s="35"/>
      <c r="G33" s="35"/>
      <c r="H33" s="35"/>
      <c r="I33" s="35"/>
      <c r="J33" s="12" t="str">
        <f t="shared" si="2"/>
        <v xml:space="preserve">    </v>
      </c>
      <c r="K33" s="35"/>
      <c r="L33" s="35"/>
      <c r="M33" s="35"/>
      <c r="N33" s="35"/>
      <c r="O33" s="41">
        <f t="shared" si="9"/>
        <v>0</v>
      </c>
      <c r="P33" s="41">
        <f t="shared" si="10"/>
        <v>0</v>
      </c>
      <c r="Q33" s="41">
        <f t="shared" si="11"/>
        <v>0</v>
      </c>
      <c r="R33" s="35"/>
      <c r="S33" s="35"/>
      <c r="T33" s="35"/>
      <c r="U33" s="35"/>
      <c r="V33" s="35"/>
      <c r="W33" s="35"/>
      <c r="X33" s="35"/>
      <c r="Y33" s="35"/>
      <c r="Z33" s="84">
        <f t="shared" si="8"/>
        <v>0</v>
      </c>
      <c r="AA33" s="35"/>
      <c r="AB33" s="35"/>
      <c r="AC33" s="110">
        <f t="shared" si="4"/>
        <v>0</v>
      </c>
      <c r="AD33" s="110">
        <f t="shared" si="5"/>
        <v>0</v>
      </c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</row>
    <row r="34" spans="4:65">
      <c r="D34" s="35"/>
      <c r="E34" s="35"/>
      <c r="F34" s="35"/>
      <c r="G34" s="35"/>
      <c r="H34" s="35"/>
      <c r="I34" s="35"/>
      <c r="J34" s="12" t="str">
        <f t="shared" si="2"/>
        <v xml:space="preserve">    </v>
      </c>
      <c r="K34" s="35"/>
      <c r="L34" s="35"/>
      <c r="M34" s="35"/>
      <c r="N34" s="35"/>
      <c r="O34" s="41">
        <f t="shared" si="9"/>
        <v>0</v>
      </c>
      <c r="P34" s="41">
        <f t="shared" si="10"/>
        <v>0</v>
      </c>
      <c r="Q34" s="41">
        <f t="shared" si="11"/>
        <v>0</v>
      </c>
      <c r="R34" s="35"/>
      <c r="S34" s="35"/>
      <c r="T34" s="35"/>
      <c r="U34" s="35"/>
      <c r="V34" s="35"/>
      <c r="W34" s="35"/>
      <c r="X34" s="35"/>
      <c r="Y34" s="35"/>
      <c r="Z34" s="84">
        <f t="shared" si="8"/>
        <v>0</v>
      </c>
      <c r="AA34" s="35"/>
      <c r="AB34" s="35"/>
      <c r="AC34" s="110">
        <f t="shared" si="4"/>
        <v>0</v>
      </c>
      <c r="AD34" s="110">
        <f t="shared" si="5"/>
        <v>0</v>
      </c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</row>
    <row r="35" spans="4:65">
      <c r="D35" s="35"/>
      <c r="E35" s="35"/>
      <c r="F35" s="35"/>
      <c r="G35" s="35"/>
      <c r="H35" s="35"/>
      <c r="I35" s="35"/>
      <c r="J35" s="12" t="str">
        <f t="shared" si="2"/>
        <v xml:space="preserve">    </v>
      </c>
      <c r="K35" s="35"/>
      <c r="L35" s="35"/>
      <c r="M35" s="35"/>
      <c r="N35" s="35"/>
      <c r="O35" s="41">
        <f t="shared" si="9"/>
        <v>0</v>
      </c>
      <c r="P35" s="41">
        <f t="shared" si="10"/>
        <v>0</v>
      </c>
      <c r="Q35" s="41">
        <f t="shared" si="11"/>
        <v>0</v>
      </c>
      <c r="R35" s="35"/>
      <c r="S35" s="35"/>
      <c r="T35" s="35"/>
      <c r="U35" s="35"/>
      <c r="V35" s="35"/>
      <c r="W35" s="35"/>
      <c r="X35" s="35"/>
      <c r="Y35" s="35"/>
      <c r="Z35" s="84">
        <f t="shared" si="8"/>
        <v>0</v>
      </c>
      <c r="AA35" s="35"/>
      <c r="AB35" s="35"/>
      <c r="AC35" s="110">
        <f t="shared" si="4"/>
        <v>0</v>
      </c>
      <c r="AD35" s="110">
        <f t="shared" si="5"/>
        <v>0</v>
      </c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4:65">
      <c r="D36" s="35"/>
      <c r="E36" s="35"/>
      <c r="F36" s="35"/>
      <c r="G36" s="35"/>
      <c r="H36" s="35"/>
      <c r="I36" s="35"/>
      <c r="J36" s="12" t="str">
        <f t="shared" si="2"/>
        <v xml:space="preserve">    </v>
      </c>
      <c r="K36" s="35"/>
      <c r="L36" s="35"/>
      <c r="M36" s="35"/>
      <c r="N36" s="35"/>
      <c r="O36" s="41">
        <f t="shared" si="9"/>
        <v>0</v>
      </c>
      <c r="P36" s="41">
        <f t="shared" si="10"/>
        <v>0</v>
      </c>
      <c r="Q36" s="41">
        <f t="shared" si="11"/>
        <v>0</v>
      </c>
      <c r="R36" s="35"/>
      <c r="S36" s="35"/>
      <c r="T36" s="35"/>
      <c r="U36" s="35"/>
      <c r="V36" s="35"/>
      <c r="W36" s="35"/>
      <c r="X36" s="35"/>
      <c r="Y36" s="35"/>
      <c r="Z36" s="84">
        <f t="shared" si="8"/>
        <v>0</v>
      </c>
      <c r="AA36" s="35"/>
      <c r="AB36" s="35"/>
      <c r="AC36" s="110">
        <f t="shared" si="4"/>
        <v>0</v>
      </c>
      <c r="AD36" s="110">
        <f t="shared" si="5"/>
        <v>0</v>
      </c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</row>
    <row r="37" spans="4:65">
      <c r="D37" s="35"/>
      <c r="E37" s="35"/>
      <c r="F37" s="35"/>
      <c r="G37" s="35"/>
      <c r="H37" s="35"/>
      <c r="I37" s="35"/>
      <c r="J37" s="12" t="str">
        <f t="shared" si="2"/>
        <v xml:space="preserve">    </v>
      </c>
      <c r="K37" s="35"/>
      <c r="L37" s="35"/>
      <c r="M37" s="35"/>
      <c r="N37" s="35"/>
      <c r="O37" s="41">
        <f t="shared" si="9"/>
        <v>0</v>
      </c>
      <c r="P37" s="41">
        <f t="shared" si="10"/>
        <v>0</v>
      </c>
      <c r="Q37" s="41">
        <f t="shared" si="11"/>
        <v>0</v>
      </c>
      <c r="R37" s="35"/>
      <c r="S37" s="35"/>
      <c r="T37" s="35"/>
      <c r="U37" s="35"/>
      <c r="V37" s="35"/>
      <c r="W37" s="35"/>
      <c r="X37" s="35"/>
      <c r="Y37" s="35"/>
      <c r="Z37" s="84">
        <f t="shared" si="8"/>
        <v>0</v>
      </c>
      <c r="AA37" s="35"/>
      <c r="AB37" s="35"/>
      <c r="AC37" s="110">
        <f t="shared" si="4"/>
        <v>0</v>
      </c>
      <c r="AD37" s="110">
        <f t="shared" si="5"/>
        <v>0</v>
      </c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</row>
    <row r="38" spans="4:65">
      <c r="D38" s="35"/>
      <c r="E38" s="35"/>
      <c r="F38" s="35"/>
      <c r="G38" s="35"/>
      <c r="H38" s="35"/>
      <c r="I38" s="35"/>
      <c r="J38" s="12" t="str">
        <f t="shared" si="2"/>
        <v xml:space="preserve">    </v>
      </c>
      <c r="K38" s="35"/>
      <c r="L38" s="35"/>
      <c r="M38" s="35"/>
      <c r="N38" s="35"/>
      <c r="O38" s="41">
        <f t="shared" si="9"/>
        <v>0</v>
      </c>
      <c r="P38" s="41">
        <f t="shared" si="10"/>
        <v>0</v>
      </c>
      <c r="Q38" s="41">
        <f t="shared" si="11"/>
        <v>0</v>
      </c>
      <c r="R38" s="35"/>
      <c r="S38" s="35"/>
      <c r="T38" s="35"/>
      <c r="U38" s="35"/>
      <c r="V38" s="35"/>
      <c r="W38" s="35"/>
      <c r="X38" s="35"/>
      <c r="Y38" s="35"/>
      <c r="Z38" s="84">
        <f t="shared" si="8"/>
        <v>0</v>
      </c>
      <c r="AA38" s="35"/>
      <c r="AB38" s="35"/>
      <c r="AC38" s="110">
        <f t="shared" si="4"/>
        <v>0</v>
      </c>
      <c r="AD38" s="110">
        <f t="shared" si="5"/>
        <v>0</v>
      </c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</row>
    <row r="39" spans="4:65">
      <c r="D39" s="35"/>
      <c r="E39" s="35"/>
      <c r="F39" s="35"/>
      <c r="G39" s="35"/>
      <c r="H39" s="35"/>
      <c r="I39" s="35"/>
      <c r="J39" s="12" t="str">
        <f t="shared" si="2"/>
        <v xml:space="preserve">    </v>
      </c>
      <c r="K39" s="35"/>
      <c r="L39" s="35"/>
      <c r="M39" s="35"/>
      <c r="N39" s="35"/>
      <c r="O39" s="41">
        <f t="shared" si="9"/>
        <v>0</v>
      </c>
      <c r="P39" s="41">
        <f t="shared" si="10"/>
        <v>0</v>
      </c>
      <c r="Q39" s="41">
        <f t="shared" si="11"/>
        <v>0</v>
      </c>
      <c r="R39" s="35"/>
      <c r="S39" s="35"/>
      <c r="T39" s="35"/>
      <c r="U39" s="35"/>
      <c r="V39" s="35"/>
      <c r="W39" s="35"/>
      <c r="X39" s="35"/>
      <c r="Y39" s="35"/>
      <c r="Z39" s="84">
        <f t="shared" si="8"/>
        <v>0</v>
      </c>
      <c r="AA39" s="35"/>
      <c r="AB39" s="35"/>
      <c r="AC39" s="110">
        <f t="shared" si="4"/>
        <v>0</v>
      </c>
      <c r="AD39" s="110">
        <f t="shared" si="5"/>
        <v>0</v>
      </c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</row>
    <row r="40" spans="4:65">
      <c r="D40" s="35"/>
      <c r="E40" s="35"/>
      <c r="F40" s="35"/>
      <c r="G40" s="35"/>
      <c r="H40" s="35"/>
      <c r="I40" s="35"/>
      <c r="J40" s="12" t="str">
        <f t="shared" si="2"/>
        <v xml:space="preserve">    </v>
      </c>
      <c r="K40" s="35"/>
      <c r="L40" s="35"/>
      <c r="M40" s="35"/>
      <c r="N40" s="35"/>
      <c r="O40" s="41">
        <f t="shared" si="9"/>
        <v>0</v>
      </c>
      <c r="P40" s="41">
        <f t="shared" si="10"/>
        <v>0</v>
      </c>
      <c r="Q40" s="41">
        <f t="shared" si="11"/>
        <v>0</v>
      </c>
      <c r="R40" s="35"/>
      <c r="S40" s="35"/>
      <c r="T40" s="35"/>
      <c r="U40" s="35"/>
      <c r="V40" s="35"/>
      <c r="W40" s="35"/>
      <c r="X40" s="35"/>
      <c r="Y40" s="35"/>
      <c r="Z40" s="84">
        <f t="shared" si="8"/>
        <v>0</v>
      </c>
      <c r="AA40" s="35"/>
      <c r="AB40" s="35"/>
      <c r="AC40" s="110">
        <f t="shared" si="4"/>
        <v>0</v>
      </c>
      <c r="AD40" s="110">
        <f t="shared" si="5"/>
        <v>0</v>
      </c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</row>
    <row r="41" spans="4:65">
      <c r="D41" s="35"/>
      <c r="E41" s="35"/>
      <c r="F41" s="35"/>
      <c r="G41" s="35"/>
      <c r="H41" s="35"/>
      <c r="I41" s="35"/>
      <c r="J41" s="12" t="str">
        <f t="shared" si="2"/>
        <v xml:space="preserve">    </v>
      </c>
      <c r="K41" s="35"/>
      <c r="L41" s="35"/>
      <c r="M41" s="35"/>
      <c r="N41" s="35"/>
      <c r="O41" s="41">
        <f t="shared" si="9"/>
        <v>0</v>
      </c>
      <c r="P41" s="41">
        <f t="shared" si="10"/>
        <v>0</v>
      </c>
      <c r="Q41" s="41">
        <f t="shared" si="11"/>
        <v>0</v>
      </c>
      <c r="R41" s="35"/>
      <c r="S41" s="35"/>
      <c r="T41" s="35"/>
      <c r="U41" s="35"/>
      <c r="V41" s="35"/>
      <c r="W41" s="35"/>
      <c r="X41" s="35"/>
      <c r="Y41" s="35"/>
      <c r="Z41" s="84">
        <f t="shared" si="8"/>
        <v>0</v>
      </c>
      <c r="AA41" s="35"/>
      <c r="AB41" s="35"/>
      <c r="AC41" s="110">
        <f t="shared" si="4"/>
        <v>0</v>
      </c>
      <c r="AD41" s="110">
        <f t="shared" si="5"/>
        <v>0</v>
      </c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</row>
    <row r="42" spans="4:65">
      <c r="D42" s="35"/>
      <c r="E42" s="35"/>
      <c r="F42" s="35"/>
      <c r="G42" s="35"/>
      <c r="H42" s="35"/>
      <c r="I42" s="35"/>
      <c r="J42" s="12" t="str">
        <f t="shared" si="2"/>
        <v xml:space="preserve">    </v>
      </c>
      <c r="K42" s="35"/>
      <c r="L42" s="35"/>
      <c r="M42" s="35"/>
      <c r="N42" s="35"/>
      <c r="O42" s="41">
        <f t="shared" si="9"/>
        <v>0</v>
      </c>
      <c r="P42" s="41">
        <f t="shared" si="10"/>
        <v>0</v>
      </c>
      <c r="Q42" s="41">
        <f t="shared" si="11"/>
        <v>0</v>
      </c>
      <c r="R42" s="35"/>
      <c r="S42" s="35"/>
      <c r="T42" s="35"/>
      <c r="U42" s="35"/>
      <c r="V42" s="35"/>
      <c r="W42" s="35"/>
      <c r="X42" s="35"/>
      <c r="Y42" s="35"/>
      <c r="Z42" s="84">
        <f t="shared" si="8"/>
        <v>0</v>
      </c>
      <c r="AA42" s="35"/>
      <c r="AB42" s="35"/>
      <c r="AC42" s="110">
        <f t="shared" si="4"/>
        <v>0</v>
      </c>
      <c r="AD42" s="110">
        <f t="shared" si="5"/>
        <v>0</v>
      </c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</row>
    <row r="43" spans="4:65">
      <c r="D43" s="35"/>
      <c r="E43" s="35"/>
      <c r="F43" s="35"/>
      <c r="G43" s="35"/>
      <c r="H43" s="35"/>
      <c r="I43" s="35"/>
      <c r="J43" s="12" t="str">
        <f t="shared" si="2"/>
        <v xml:space="preserve">    </v>
      </c>
      <c r="K43" s="35"/>
      <c r="L43" s="35"/>
      <c r="M43" s="35"/>
      <c r="N43" s="35"/>
      <c r="O43" s="41">
        <f t="shared" si="9"/>
        <v>0</v>
      </c>
      <c r="P43" s="41">
        <f t="shared" si="10"/>
        <v>0</v>
      </c>
      <c r="Q43" s="41">
        <f t="shared" si="11"/>
        <v>0</v>
      </c>
      <c r="R43" s="35"/>
      <c r="S43" s="35"/>
      <c r="T43" s="35"/>
      <c r="U43" s="35"/>
      <c r="V43" s="35"/>
      <c r="W43" s="35"/>
      <c r="X43" s="35"/>
      <c r="Y43" s="35"/>
      <c r="Z43" s="84">
        <f t="shared" si="8"/>
        <v>0</v>
      </c>
      <c r="AA43" s="35"/>
      <c r="AB43" s="35"/>
      <c r="AC43" s="110">
        <f t="shared" si="4"/>
        <v>0</v>
      </c>
      <c r="AD43" s="110">
        <f t="shared" si="5"/>
        <v>0</v>
      </c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</row>
    <row r="44" spans="4:65">
      <c r="D44" s="35"/>
      <c r="E44" s="35"/>
      <c r="F44" s="35"/>
      <c r="G44" s="35"/>
      <c r="H44" s="35"/>
      <c r="I44" s="35"/>
      <c r="J44" s="12" t="str">
        <f t="shared" si="2"/>
        <v xml:space="preserve">    </v>
      </c>
      <c r="K44" s="35"/>
      <c r="L44" s="35"/>
      <c r="M44" s="35"/>
      <c r="N44" s="35"/>
      <c r="O44" s="41">
        <f t="shared" si="9"/>
        <v>0</v>
      </c>
      <c r="P44" s="41">
        <f t="shared" si="10"/>
        <v>0</v>
      </c>
      <c r="Q44" s="41">
        <f t="shared" si="11"/>
        <v>0</v>
      </c>
      <c r="R44" s="35"/>
      <c r="S44" s="35"/>
      <c r="T44" s="35"/>
      <c r="U44" s="35"/>
      <c r="V44" s="35"/>
      <c r="W44" s="35"/>
      <c r="X44" s="35"/>
      <c r="Y44" s="35"/>
      <c r="Z44" s="84">
        <f t="shared" si="8"/>
        <v>0</v>
      </c>
      <c r="AA44" s="35"/>
      <c r="AB44" s="35"/>
      <c r="AC44" s="110">
        <f t="shared" si="4"/>
        <v>0</v>
      </c>
      <c r="AD44" s="110">
        <f t="shared" si="5"/>
        <v>0</v>
      </c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</row>
    <row r="45" spans="4:65">
      <c r="D45" s="35"/>
      <c r="E45" s="35"/>
      <c r="F45" s="35"/>
      <c r="G45" s="35"/>
      <c r="H45" s="35"/>
      <c r="I45" s="35"/>
      <c r="J45" s="12" t="str">
        <f t="shared" si="2"/>
        <v xml:space="preserve">    </v>
      </c>
      <c r="K45" s="35"/>
      <c r="L45" s="35"/>
      <c r="M45" s="35"/>
      <c r="N45" s="35"/>
      <c r="O45" s="41">
        <f t="shared" si="9"/>
        <v>0</v>
      </c>
      <c r="P45" s="41">
        <f t="shared" si="10"/>
        <v>0</v>
      </c>
      <c r="Q45" s="41">
        <f t="shared" si="11"/>
        <v>0</v>
      </c>
      <c r="R45" s="35"/>
      <c r="S45" s="35"/>
      <c r="T45" s="35"/>
      <c r="U45" s="35"/>
      <c r="V45" s="35"/>
      <c r="W45" s="35"/>
      <c r="X45" s="35"/>
      <c r="Y45" s="35"/>
      <c r="Z45" s="84">
        <f t="shared" si="8"/>
        <v>0</v>
      </c>
      <c r="AA45" s="35"/>
      <c r="AB45" s="35"/>
      <c r="AC45" s="110">
        <f t="shared" si="4"/>
        <v>0</v>
      </c>
      <c r="AD45" s="110">
        <f t="shared" si="5"/>
        <v>0</v>
      </c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</row>
    <row r="46" spans="4:65">
      <c r="D46" s="35"/>
      <c r="E46" s="35"/>
      <c r="F46" s="35"/>
      <c r="G46" s="35"/>
      <c r="H46" s="35"/>
      <c r="I46" s="35"/>
      <c r="J46" s="12" t="str">
        <f t="shared" si="2"/>
        <v xml:space="preserve">    </v>
      </c>
      <c r="K46" s="35"/>
      <c r="L46" s="35"/>
      <c r="M46" s="35"/>
      <c r="N46" s="35"/>
      <c r="O46" s="41">
        <f t="shared" si="9"/>
        <v>0</v>
      </c>
      <c r="P46" s="41">
        <f t="shared" si="10"/>
        <v>0</v>
      </c>
      <c r="Q46" s="41">
        <f t="shared" si="11"/>
        <v>0</v>
      </c>
      <c r="R46" s="35"/>
      <c r="S46" s="35"/>
      <c r="T46" s="35"/>
      <c r="U46" s="35"/>
      <c r="V46" s="35"/>
      <c r="W46" s="35"/>
      <c r="X46" s="35"/>
      <c r="Y46" s="35"/>
      <c r="Z46" s="84">
        <f t="shared" si="8"/>
        <v>0</v>
      </c>
      <c r="AA46" s="35"/>
      <c r="AB46" s="35"/>
      <c r="AC46" s="110">
        <f t="shared" si="4"/>
        <v>0</v>
      </c>
      <c r="AD46" s="110">
        <f t="shared" si="5"/>
        <v>0</v>
      </c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</row>
    <row r="47" spans="4:65">
      <c r="D47" s="35"/>
      <c r="E47" s="35"/>
      <c r="F47" s="35"/>
      <c r="G47" s="35"/>
      <c r="H47" s="35"/>
      <c r="I47" s="35"/>
      <c r="J47" s="12"/>
      <c r="K47" s="35"/>
      <c r="L47" s="35"/>
      <c r="M47" s="35"/>
      <c r="N47" s="35"/>
      <c r="O47" s="41">
        <f t="shared" ref="O47:O49" si="12">L47*9.806</f>
        <v>0</v>
      </c>
      <c r="P47" s="41">
        <f t="shared" ref="P47:P49" si="13">M47*9.806</f>
        <v>0</v>
      </c>
      <c r="Q47" s="41">
        <f t="shared" ref="Q47:Q49" si="14">N47*9.806</f>
        <v>0</v>
      </c>
      <c r="R47" s="35"/>
      <c r="S47" s="35"/>
      <c r="T47" s="35"/>
      <c r="U47" s="35"/>
      <c r="V47" s="35"/>
      <c r="W47" s="35"/>
      <c r="X47" s="35"/>
      <c r="Y47" s="35"/>
      <c r="Z47" s="84">
        <f t="shared" si="8"/>
        <v>0</v>
      </c>
      <c r="AA47" s="35"/>
      <c r="AB47" s="35"/>
      <c r="AC47" s="110">
        <f t="shared" si="4"/>
        <v>0</v>
      </c>
      <c r="AD47" s="110">
        <f t="shared" si="5"/>
        <v>0</v>
      </c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</row>
    <row r="48" spans="4:65">
      <c r="D48" s="35"/>
      <c r="E48" s="35"/>
      <c r="F48" s="35"/>
      <c r="G48" s="35"/>
      <c r="H48" s="35"/>
      <c r="I48" s="35"/>
      <c r="J48" s="12"/>
      <c r="K48" s="35"/>
      <c r="L48" s="35"/>
      <c r="M48" s="35"/>
      <c r="N48" s="35"/>
      <c r="O48" s="41">
        <f t="shared" si="12"/>
        <v>0</v>
      </c>
      <c r="P48" s="41">
        <f t="shared" si="13"/>
        <v>0</v>
      </c>
      <c r="Q48" s="41">
        <f t="shared" si="14"/>
        <v>0</v>
      </c>
      <c r="R48" s="35"/>
      <c r="S48" s="35"/>
      <c r="T48" s="35"/>
      <c r="U48" s="35"/>
      <c r="V48" s="35"/>
      <c r="W48" s="35"/>
      <c r="X48" s="35"/>
      <c r="Y48" s="35"/>
      <c r="Z48" s="84">
        <f t="shared" si="8"/>
        <v>0</v>
      </c>
      <c r="AA48" s="35"/>
      <c r="AB48" s="35"/>
      <c r="AC48" s="110">
        <f t="shared" si="4"/>
        <v>0</v>
      </c>
      <c r="AD48" s="110">
        <f t="shared" si="5"/>
        <v>0</v>
      </c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</row>
    <row r="49" spans="4:65">
      <c r="D49" s="35"/>
      <c r="E49" s="35"/>
      <c r="F49" s="35"/>
      <c r="G49" s="35"/>
      <c r="H49" s="35"/>
      <c r="I49" s="35"/>
      <c r="J49" s="12"/>
      <c r="K49" s="35"/>
      <c r="L49" s="35"/>
      <c r="M49" s="35"/>
      <c r="N49" s="35"/>
      <c r="O49" s="41">
        <f t="shared" si="12"/>
        <v>0</v>
      </c>
      <c r="P49" s="41">
        <f t="shared" si="13"/>
        <v>0</v>
      </c>
      <c r="Q49" s="41">
        <f t="shared" si="14"/>
        <v>0</v>
      </c>
      <c r="R49" s="35"/>
      <c r="S49" s="35"/>
      <c r="T49" s="35"/>
      <c r="U49" s="35"/>
      <c r="V49" s="35"/>
      <c r="W49" s="35"/>
      <c r="X49" s="35"/>
      <c r="Y49" s="35"/>
      <c r="Z49" s="84">
        <f t="shared" si="8"/>
        <v>0</v>
      </c>
      <c r="AA49" s="35"/>
      <c r="AB49" s="35"/>
      <c r="AC49" s="110">
        <f t="shared" si="4"/>
        <v>0</v>
      </c>
      <c r="AD49" s="110">
        <f t="shared" si="5"/>
        <v>0</v>
      </c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</row>
    <row r="4970" spans="6:6">
      <c r="F4970" s="35"/>
    </row>
    <row r="4971" spans="6:6">
      <c r="F4971" s="35"/>
    </row>
    <row r="4972" spans="6:6">
      <c r="F4972" s="35"/>
    </row>
    <row r="4973" spans="6:6">
      <c r="F4973" s="35"/>
    </row>
    <row r="4974" spans="6:6">
      <c r="F4974" s="35"/>
    </row>
    <row r="4975" spans="6:6">
      <c r="F4975" s="35"/>
    </row>
    <row r="4976" spans="6:6">
      <c r="F4976" s="35"/>
    </row>
    <row r="4977" spans="6:6">
      <c r="F4977" s="35"/>
    </row>
    <row r="4978" spans="6:6">
      <c r="F4978" s="35"/>
    </row>
    <row r="4979" spans="6:6">
      <c r="F4979" s="35"/>
    </row>
    <row r="4980" spans="6:6">
      <c r="F4980" s="35"/>
    </row>
    <row r="4981" spans="6:6">
      <c r="F4981" s="35"/>
    </row>
    <row r="4982" spans="6:6">
      <c r="F4982" s="35"/>
    </row>
    <row r="4983" spans="6:6">
      <c r="F4983" s="35"/>
    </row>
    <row r="4984" spans="6:6">
      <c r="F4984" s="35"/>
    </row>
    <row r="4985" spans="6:6">
      <c r="F4985" s="35"/>
    </row>
    <row r="4986" spans="6:6">
      <c r="F4986" s="35"/>
    </row>
    <row r="4987" spans="6:6">
      <c r="F4987" s="35"/>
    </row>
    <row r="4988" spans="6:6">
      <c r="F4988" s="35"/>
    </row>
    <row r="4989" spans="6:6">
      <c r="F4989" s="35"/>
    </row>
    <row r="4990" spans="6:6">
      <c r="F4990" s="35"/>
    </row>
    <row r="4991" spans="6:6">
      <c r="F4991" s="35"/>
    </row>
    <row r="4992" spans="6:6">
      <c r="F4992" s="35"/>
    </row>
    <row r="4993" spans="6:6">
      <c r="F4993" s="35"/>
    </row>
    <row r="4994" spans="6:6">
      <c r="F4994" s="35"/>
    </row>
    <row r="4995" spans="6:6">
      <c r="F4995" s="35"/>
    </row>
    <row r="4996" spans="6:6">
      <c r="F4996" s="35"/>
    </row>
    <row r="4997" spans="6:6">
      <c r="F4997" s="35"/>
    </row>
    <row r="4998" spans="6:6">
      <c r="F4998" s="35"/>
    </row>
    <row r="4999" spans="6:6">
      <c r="F4999" s="35"/>
    </row>
    <row r="5000" spans="6:6">
      <c r="F5000" s="35"/>
    </row>
    <row r="5001" spans="6:6">
      <c r="F5001" s="35"/>
    </row>
    <row r="5002" spans="6:6">
      <c r="F5002" s="35"/>
    </row>
    <row r="5003" spans="6:6">
      <c r="F5003" s="35"/>
    </row>
    <row r="5004" spans="6:6">
      <c r="F5004" s="35"/>
    </row>
    <row r="5005" spans="6:6">
      <c r="F5005" s="35"/>
    </row>
    <row r="5006" spans="6:6">
      <c r="F5006" s="35"/>
    </row>
    <row r="5007" spans="6:6">
      <c r="F5007" s="35"/>
    </row>
    <row r="5008" spans="6:6">
      <c r="F5008" s="35"/>
    </row>
    <row r="5009" spans="6:6">
      <c r="F5009" s="35"/>
    </row>
    <row r="5010" spans="6:6">
      <c r="F5010" s="35"/>
    </row>
    <row r="5011" spans="6:6">
      <c r="F5011" s="35"/>
    </row>
    <row r="5012" spans="6:6">
      <c r="F5012" s="35"/>
    </row>
    <row r="5013" spans="6:6">
      <c r="F5013" s="35"/>
    </row>
    <row r="5014" spans="6:6">
      <c r="F5014" s="35"/>
    </row>
    <row r="5015" spans="6:6">
      <c r="F5015" s="35"/>
    </row>
    <row r="5016" spans="6:6">
      <c r="F5016" s="35"/>
    </row>
    <row r="5017" spans="6:6">
      <c r="F5017" s="35"/>
    </row>
    <row r="5018" spans="6:6">
      <c r="F5018" s="35"/>
    </row>
    <row r="5019" spans="6:6">
      <c r="F5019" s="35"/>
    </row>
    <row r="5020" spans="6:6">
      <c r="F5020" s="35"/>
    </row>
    <row r="5021" spans="6:6">
      <c r="F5021" s="35"/>
    </row>
    <row r="5022" spans="6:6">
      <c r="F5022" s="35"/>
    </row>
    <row r="5023" spans="6:6">
      <c r="F5023" s="35"/>
    </row>
    <row r="5024" spans="6:6">
      <c r="F5024" s="35"/>
    </row>
    <row r="5025" spans="6:6">
      <c r="F5025" s="35"/>
    </row>
    <row r="5026" spans="6:6">
      <c r="F5026" s="35"/>
    </row>
    <row r="5027" spans="6:6">
      <c r="F5027" s="35"/>
    </row>
    <row r="5028" spans="6:6">
      <c r="F5028" s="35"/>
    </row>
    <row r="5029" spans="6:6">
      <c r="F5029" s="35"/>
    </row>
    <row r="5030" spans="6:6">
      <c r="F5030" s="35"/>
    </row>
    <row r="5031" spans="6:6">
      <c r="F5031" s="35"/>
    </row>
    <row r="5032" spans="6:6">
      <c r="F5032" s="35"/>
    </row>
    <row r="5033" spans="6:6">
      <c r="F5033" s="35"/>
    </row>
    <row r="5034" spans="6:6">
      <c r="F5034" s="35"/>
    </row>
    <row r="5035" spans="6:6">
      <c r="F5035" s="35"/>
    </row>
    <row r="5036" spans="6:6">
      <c r="F5036" s="35"/>
    </row>
    <row r="5037" spans="6:6">
      <c r="F5037" s="35"/>
    </row>
    <row r="5038" spans="6:6">
      <c r="F5038" s="35"/>
    </row>
    <row r="5039" spans="6:6">
      <c r="F5039" s="35"/>
    </row>
    <row r="5040" spans="6:6">
      <c r="F5040" s="35"/>
    </row>
    <row r="5041" spans="6:6">
      <c r="F5041" s="35"/>
    </row>
    <row r="5042" spans="6:6">
      <c r="F5042" s="35"/>
    </row>
    <row r="5043" spans="6:6">
      <c r="F5043" s="35"/>
    </row>
    <row r="5044" spans="6:6">
      <c r="F5044" s="35"/>
    </row>
    <row r="5045" spans="6:6">
      <c r="F5045" s="35"/>
    </row>
    <row r="5046" spans="6:6">
      <c r="F5046" s="35"/>
    </row>
    <row r="5047" spans="6:6">
      <c r="F5047" s="35"/>
    </row>
    <row r="5048" spans="6:6">
      <c r="F5048" s="35"/>
    </row>
    <row r="5049" spans="6:6">
      <c r="F5049" s="35"/>
    </row>
    <row r="5050" spans="6:6">
      <c r="F5050" s="35"/>
    </row>
    <row r="5051" spans="6:6">
      <c r="F5051" s="35"/>
    </row>
    <row r="5052" spans="6:6">
      <c r="F5052" s="35"/>
    </row>
    <row r="5053" spans="6:6">
      <c r="F5053" s="35"/>
    </row>
    <row r="5054" spans="6:6">
      <c r="F5054" s="35"/>
    </row>
    <row r="5055" spans="6:6">
      <c r="F5055" s="35"/>
    </row>
    <row r="5056" spans="6:6">
      <c r="F5056" s="35"/>
    </row>
    <row r="5057" spans="6:6">
      <c r="F5057" s="35"/>
    </row>
    <row r="5058" spans="6:6">
      <c r="F5058" s="35"/>
    </row>
    <row r="5059" spans="6:6">
      <c r="F5059" s="35"/>
    </row>
    <row r="5060" spans="6:6">
      <c r="F5060" s="35"/>
    </row>
    <row r="5061" spans="6:6">
      <c r="F5061" s="35"/>
    </row>
    <row r="5062" spans="6:6">
      <c r="F5062" s="35"/>
    </row>
    <row r="5063" spans="6:6">
      <c r="F5063" s="35"/>
    </row>
    <row r="5064" spans="6:6">
      <c r="F5064" s="35"/>
    </row>
    <row r="5065" spans="6:6">
      <c r="F5065" s="35"/>
    </row>
    <row r="5066" spans="6:6">
      <c r="F5066" s="35"/>
    </row>
    <row r="5067" spans="6:6">
      <c r="F5067" s="35"/>
    </row>
    <row r="5068" spans="6:6">
      <c r="F5068" s="35"/>
    </row>
    <row r="5069" spans="6:6">
      <c r="F5069" s="35"/>
    </row>
    <row r="5070" spans="6:6">
      <c r="F5070" s="35"/>
    </row>
    <row r="5071" spans="6:6">
      <c r="F5071" s="35"/>
    </row>
    <row r="5072" spans="6:6">
      <c r="F5072" s="35"/>
    </row>
    <row r="5073" spans="6:6">
      <c r="F5073" s="35"/>
    </row>
    <row r="5074" spans="6:6">
      <c r="F5074" s="35"/>
    </row>
    <row r="5075" spans="6:6">
      <c r="F5075" s="35"/>
    </row>
    <row r="5076" spans="6:6">
      <c r="F5076" s="35"/>
    </row>
    <row r="5077" spans="6:6">
      <c r="F5077" s="35"/>
    </row>
    <row r="5078" spans="6:6">
      <c r="F5078" s="35"/>
    </row>
    <row r="5079" spans="6:6">
      <c r="F5079" s="35"/>
    </row>
    <row r="5080" spans="6:6">
      <c r="F5080" s="35"/>
    </row>
    <row r="5081" spans="6:6">
      <c r="F5081" s="35"/>
    </row>
    <row r="5082" spans="6:6">
      <c r="F5082" s="35"/>
    </row>
    <row r="5083" spans="6:6">
      <c r="F5083" s="35"/>
    </row>
    <row r="5084" spans="6:6">
      <c r="F5084" s="35"/>
    </row>
    <row r="5085" spans="6:6">
      <c r="F5085" s="35"/>
    </row>
    <row r="5086" spans="6:6">
      <c r="F5086" s="35"/>
    </row>
    <row r="5087" spans="6:6">
      <c r="F5087" s="35"/>
    </row>
    <row r="5088" spans="6:6">
      <c r="F5088" s="35"/>
    </row>
    <row r="5089" spans="6:6">
      <c r="F5089" s="35"/>
    </row>
    <row r="5090" spans="6:6">
      <c r="F5090" s="35"/>
    </row>
    <row r="5091" spans="6:6">
      <c r="F5091" s="35"/>
    </row>
    <row r="5092" spans="6:6">
      <c r="F5092" s="35"/>
    </row>
    <row r="5093" spans="6:6">
      <c r="F5093" s="35"/>
    </row>
    <row r="5094" spans="6:6">
      <c r="F5094" s="35"/>
    </row>
    <row r="5095" spans="6:6">
      <c r="F5095" s="35"/>
    </row>
    <row r="5096" spans="6:6">
      <c r="F5096" s="35"/>
    </row>
    <row r="5097" spans="6:6">
      <c r="F5097" s="35"/>
    </row>
    <row r="5098" spans="6:6">
      <c r="F5098" s="35"/>
    </row>
    <row r="5099" spans="6:6">
      <c r="F5099" s="35"/>
    </row>
    <row r="5100" spans="6:6">
      <c r="F5100" s="35"/>
    </row>
    <row r="5101" spans="6:6">
      <c r="F5101" s="35"/>
    </row>
    <row r="5102" spans="6:6">
      <c r="F5102" s="35"/>
    </row>
    <row r="5103" spans="6:6">
      <c r="F5103" s="35"/>
    </row>
    <row r="5104" spans="6:6">
      <c r="F5104" s="35"/>
    </row>
    <row r="5105" spans="6:6">
      <c r="F5105" s="35"/>
    </row>
    <row r="5106" spans="6:6">
      <c r="F5106" s="35"/>
    </row>
    <row r="5107" spans="6:6">
      <c r="F5107" s="35"/>
    </row>
    <row r="5108" spans="6:6">
      <c r="F5108" s="35"/>
    </row>
    <row r="5109" spans="6:6">
      <c r="F5109" s="35"/>
    </row>
    <row r="5110" spans="6:6">
      <c r="F5110" s="35"/>
    </row>
    <row r="5111" spans="6:6">
      <c r="F5111" s="35"/>
    </row>
    <row r="5112" spans="6:6">
      <c r="F5112" s="35"/>
    </row>
    <row r="5113" spans="6:6">
      <c r="F5113" s="35"/>
    </row>
    <row r="5114" spans="6:6">
      <c r="F5114" s="35"/>
    </row>
    <row r="5115" spans="6:6">
      <c r="F5115" s="35"/>
    </row>
    <row r="5116" spans="6:6">
      <c r="F5116" s="35"/>
    </row>
    <row r="5117" spans="6:6">
      <c r="F5117" s="35"/>
    </row>
    <row r="5118" spans="6:6">
      <c r="F5118" s="35"/>
    </row>
    <row r="5119" spans="6:6">
      <c r="F5119" s="35"/>
    </row>
    <row r="5120" spans="6:6">
      <c r="F5120" s="35"/>
    </row>
    <row r="5121" spans="6:6">
      <c r="F5121" s="35"/>
    </row>
    <row r="5122" spans="6:6">
      <c r="F5122" s="35"/>
    </row>
    <row r="5123" spans="6:6">
      <c r="F5123" s="35"/>
    </row>
    <row r="5124" spans="6:6">
      <c r="F5124" s="35"/>
    </row>
    <row r="5125" spans="6:6">
      <c r="F5125" s="35"/>
    </row>
    <row r="5126" spans="6:6">
      <c r="F5126" s="35"/>
    </row>
    <row r="5127" spans="6:6">
      <c r="F5127" s="35"/>
    </row>
    <row r="5128" spans="6:6">
      <c r="F5128" s="35"/>
    </row>
    <row r="5129" spans="6:6">
      <c r="F5129" s="35"/>
    </row>
    <row r="5130" spans="6:6">
      <c r="F5130" s="35"/>
    </row>
    <row r="5131" spans="6:6">
      <c r="F5131" s="35"/>
    </row>
    <row r="5132" spans="6:6">
      <c r="F5132" s="35"/>
    </row>
    <row r="5133" spans="6:6">
      <c r="F5133" s="35"/>
    </row>
    <row r="5134" spans="6:6">
      <c r="F5134" s="35"/>
    </row>
    <row r="5135" spans="6:6">
      <c r="F5135" s="35"/>
    </row>
    <row r="5136" spans="6:6">
      <c r="F5136" s="35"/>
    </row>
    <row r="5137" spans="6:6">
      <c r="F5137" s="35"/>
    </row>
    <row r="5138" spans="6:6">
      <c r="F5138" s="35"/>
    </row>
    <row r="5139" spans="6:6">
      <c r="F5139" s="35"/>
    </row>
    <row r="5140" spans="6:6">
      <c r="F5140" s="35"/>
    </row>
    <row r="5141" spans="6:6">
      <c r="F5141" s="35"/>
    </row>
    <row r="5142" spans="6:6">
      <c r="F5142" s="35"/>
    </row>
    <row r="5143" spans="6:6">
      <c r="F5143" s="35"/>
    </row>
    <row r="5144" spans="6:6">
      <c r="F5144" s="35"/>
    </row>
    <row r="5145" spans="6:6">
      <c r="F5145" s="35"/>
    </row>
    <row r="5146" spans="6:6">
      <c r="F5146" s="35"/>
    </row>
    <row r="5147" spans="6:6">
      <c r="F5147" s="35"/>
    </row>
    <row r="5148" spans="6:6">
      <c r="F5148" s="35"/>
    </row>
    <row r="5149" spans="6:6">
      <c r="F5149" s="35"/>
    </row>
    <row r="5150" spans="6:6">
      <c r="F5150" s="35"/>
    </row>
    <row r="5151" spans="6:6">
      <c r="F5151" s="35"/>
    </row>
    <row r="5152" spans="6:6">
      <c r="F5152" s="35"/>
    </row>
    <row r="5153" spans="6:6">
      <c r="F5153" s="35"/>
    </row>
    <row r="5154" spans="6:6">
      <c r="F5154" s="35"/>
    </row>
    <row r="5155" spans="6:6">
      <c r="F5155" s="35"/>
    </row>
    <row r="5156" spans="6:6">
      <c r="F5156" s="35"/>
    </row>
    <row r="5157" spans="6:6">
      <c r="F5157" s="35"/>
    </row>
    <row r="5158" spans="6:6">
      <c r="F5158" s="35"/>
    </row>
    <row r="5159" spans="6:6">
      <c r="F5159" s="35"/>
    </row>
    <row r="5160" spans="6:6">
      <c r="F5160" s="35"/>
    </row>
    <row r="5161" spans="6:6">
      <c r="F5161" s="35"/>
    </row>
    <row r="5162" spans="6:6">
      <c r="F5162" s="35"/>
    </row>
    <row r="5163" spans="6:6">
      <c r="F5163" s="35"/>
    </row>
    <row r="5164" spans="6:6">
      <c r="F5164" s="35"/>
    </row>
    <row r="5165" spans="6:6">
      <c r="F5165" s="35"/>
    </row>
    <row r="5166" spans="6:6">
      <c r="F5166" s="35"/>
    </row>
    <row r="5167" spans="6:6">
      <c r="F5167" s="35"/>
    </row>
    <row r="5168" spans="6:6">
      <c r="F5168" s="35"/>
    </row>
    <row r="5169" spans="6:6">
      <c r="F5169" s="35"/>
    </row>
    <row r="5170" spans="6:6">
      <c r="F5170" s="35"/>
    </row>
    <row r="5171" spans="6:6">
      <c r="F5171" s="35"/>
    </row>
    <row r="5172" spans="6:6">
      <c r="F5172" s="35"/>
    </row>
    <row r="5173" spans="6:6">
      <c r="F5173" s="35"/>
    </row>
    <row r="5174" spans="6:6">
      <c r="F5174" s="35"/>
    </row>
    <row r="5175" spans="6:6">
      <c r="F5175" s="35"/>
    </row>
    <row r="5176" spans="6:6">
      <c r="F5176" s="35"/>
    </row>
    <row r="5177" spans="6:6">
      <c r="F5177" s="35"/>
    </row>
    <row r="5178" spans="6:6">
      <c r="F5178" s="35"/>
    </row>
    <row r="5179" spans="6:6">
      <c r="F5179" s="35"/>
    </row>
    <row r="5180" spans="6:6">
      <c r="F5180" s="35"/>
    </row>
    <row r="5181" spans="6:6">
      <c r="F5181" s="35"/>
    </row>
    <row r="5182" spans="6:6">
      <c r="F5182" s="35"/>
    </row>
    <row r="5183" spans="6:6">
      <c r="F5183" s="35"/>
    </row>
    <row r="5184" spans="6:6">
      <c r="F5184" s="35"/>
    </row>
    <row r="5185" spans="6:6">
      <c r="F5185" s="35"/>
    </row>
    <row r="5186" spans="6:6">
      <c r="F5186" s="35"/>
    </row>
    <row r="5187" spans="6:6">
      <c r="F5187" s="35"/>
    </row>
    <row r="5188" spans="6:6">
      <c r="F5188" s="35"/>
    </row>
    <row r="5189" spans="6:6">
      <c r="F5189" s="35"/>
    </row>
    <row r="5190" spans="6:6">
      <c r="F5190" s="35"/>
    </row>
    <row r="5191" spans="6:6">
      <c r="F5191" s="35"/>
    </row>
    <row r="5192" spans="6:6">
      <c r="F5192" s="35"/>
    </row>
    <row r="5193" spans="6:6">
      <c r="F5193" s="35"/>
    </row>
    <row r="5194" spans="6:6">
      <c r="F5194" s="35"/>
    </row>
    <row r="5195" spans="6:6">
      <c r="F5195" s="35"/>
    </row>
    <row r="5196" spans="6:6">
      <c r="F5196" s="35"/>
    </row>
    <row r="5197" spans="6:6">
      <c r="F5197" s="35"/>
    </row>
    <row r="5198" spans="6:6">
      <c r="F5198" s="35"/>
    </row>
    <row r="5199" spans="6:6">
      <c r="F5199" s="35"/>
    </row>
    <row r="5200" spans="6:6">
      <c r="F5200" s="35"/>
    </row>
    <row r="5201" spans="6:6">
      <c r="F5201" s="35"/>
    </row>
    <row r="5202" spans="6:6">
      <c r="F5202" s="35"/>
    </row>
    <row r="5203" spans="6:6">
      <c r="F5203" s="35"/>
    </row>
    <row r="5204" spans="6:6">
      <c r="F5204" s="35"/>
    </row>
    <row r="5205" spans="6:6">
      <c r="F5205" s="35"/>
    </row>
    <row r="5206" spans="6:6">
      <c r="F5206" s="35"/>
    </row>
    <row r="5207" spans="6:6">
      <c r="F5207" s="35"/>
    </row>
    <row r="5208" spans="6:6">
      <c r="F5208" s="35"/>
    </row>
    <row r="5209" spans="6:6">
      <c r="F5209" s="35"/>
    </row>
    <row r="5210" spans="6:6">
      <c r="F5210" s="35"/>
    </row>
    <row r="5211" spans="6:6">
      <c r="F5211" s="35"/>
    </row>
    <row r="5212" spans="6:6">
      <c r="F5212" s="35"/>
    </row>
    <row r="5213" spans="6:6">
      <c r="F5213" s="35"/>
    </row>
    <row r="5214" spans="6:6">
      <c r="F5214" s="35"/>
    </row>
    <row r="5215" spans="6:6">
      <c r="F5215" s="35"/>
    </row>
    <row r="5216" spans="6:6">
      <c r="F5216" s="35"/>
    </row>
    <row r="5217" spans="6:6">
      <c r="F5217" s="35"/>
    </row>
    <row r="5218" spans="6:6">
      <c r="F5218" s="35"/>
    </row>
    <row r="5219" spans="6:6">
      <c r="F5219" s="35"/>
    </row>
    <row r="5220" spans="6:6">
      <c r="F5220" s="35"/>
    </row>
    <row r="5221" spans="6:6">
      <c r="F5221" s="35"/>
    </row>
    <row r="5222" spans="6:6">
      <c r="F5222" s="35"/>
    </row>
    <row r="5223" spans="6:6">
      <c r="F5223" s="35"/>
    </row>
    <row r="5224" spans="6:6">
      <c r="F5224" s="35"/>
    </row>
    <row r="5225" spans="6:6">
      <c r="F5225" s="35"/>
    </row>
    <row r="5226" spans="6:6">
      <c r="F5226" s="35"/>
    </row>
    <row r="5227" spans="6:6">
      <c r="F5227" s="35"/>
    </row>
    <row r="5228" spans="6:6">
      <c r="F5228" s="35"/>
    </row>
    <row r="5229" spans="6:6">
      <c r="F5229" s="35"/>
    </row>
    <row r="5230" spans="6:6">
      <c r="F5230" s="35"/>
    </row>
    <row r="5231" spans="6:6">
      <c r="F5231" s="35"/>
    </row>
    <row r="5232" spans="6:6">
      <c r="F5232" s="35"/>
    </row>
    <row r="5233" spans="6:6">
      <c r="F5233" s="35"/>
    </row>
    <row r="5234" spans="6:6">
      <c r="F5234" s="35"/>
    </row>
    <row r="5235" spans="6:6">
      <c r="F5235" s="35"/>
    </row>
    <row r="5236" spans="6:6">
      <c r="F5236" s="35"/>
    </row>
    <row r="5237" spans="6:6">
      <c r="F5237" s="35"/>
    </row>
    <row r="5238" spans="6:6">
      <c r="F5238" s="35"/>
    </row>
    <row r="5239" spans="6:6">
      <c r="F5239" s="35"/>
    </row>
    <row r="5240" spans="6:6">
      <c r="F5240" s="35"/>
    </row>
    <row r="5241" spans="6:6">
      <c r="F5241" s="35"/>
    </row>
    <row r="5242" spans="6:6">
      <c r="F5242" s="35"/>
    </row>
    <row r="5243" spans="6:6">
      <c r="F5243" s="35"/>
    </row>
    <row r="5244" spans="6:6">
      <c r="F5244" s="35"/>
    </row>
    <row r="5245" spans="6:6">
      <c r="F5245" s="35"/>
    </row>
    <row r="5246" spans="6:6">
      <c r="F5246" s="35"/>
    </row>
    <row r="5247" spans="6:6">
      <c r="F5247" s="35"/>
    </row>
    <row r="5248" spans="6:6">
      <c r="F5248" s="35"/>
    </row>
    <row r="5249" spans="6:6">
      <c r="F5249" s="35"/>
    </row>
    <row r="5250" spans="6:6">
      <c r="F5250" s="35"/>
    </row>
    <row r="5251" spans="6:6">
      <c r="F5251" s="35"/>
    </row>
    <row r="5252" spans="6:6">
      <c r="F5252" s="35"/>
    </row>
    <row r="5253" spans="6:6">
      <c r="F5253" s="35"/>
    </row>
    <row r="5254" spans="6:6">
      <c r="F5254" s="35"/>
    </row>
    <row r="5255" spans="6:6">
      <c r="F5255" s="35"/>
    </row>
    <row r="5256" spans="6:6">
      <c r="F5256" s="35"/>
    </row>
    <row r="5257" spans="6:6">
      <c r="F5257" s="35"/>
    </row>
    <row r="5258" spans="6:6">
      <c r="F5258" s="35"/>
    </row>
    <row r="5259" spans="6:6">
      <c r="F5259" s="35"/>
    </row>
    <row r="5260" spans="6:6">
      <c r="F5260" s="35"/>
    </row>
    <row r="5261" spans="6:6">
      <c r="F5261" s="35"/>
    </row>
    <row r="5262" spans="6:6">
      <c r="F5262" s="35"/>
    </row>
    <row r="5263" spans="6:6">
      <c r="F5263" s="35"/>
    </row>
    <row r="5264" spans="6:6">
      <c r="F5264" s="35"/>
    </row>
    <row r="5265" spans="6:6">
      <c r="F5265" s="35"/>
    </row>
    <row r="5266" spans="6:6">
      <c r="F5266" s="35"/>
    </row>
    <row r="5267" spans="6:6">
      <c r="F5267" s="35"/>
    </row>
    <row r="5268" spans="6:6">
      <c r="F5268" s="35"/>
    </row>
    <row r="5269" spans="6:6">
      <c r="F5269" s="35"/>
    </row>
    <row r="5270" spans="6:6">
      <c r="F5270" s="35"/>
    </row>
    <row r="5271" spans="6:6">
      <c r="F5271" s="35"/>
    </row>
    <row r="5272" spans="6:6">
      <c r="F5272" s="35"/>
    </row>
    <row r="5273" spans="6:6">
      <c r="F5273" s="35"/>
    </row>
    <row r="5274" spans="6:6">
      <c r="F5274" s="35"/>
    </row>
    <row r="5275" spans="6:6">
      <c r="F5275" s="35"/>
    </row>
    <row r="5276" spans="6:6">
      <c r="F5276" s="35"/>
    </row>
    <row r="5277" spans="6:6">
      <c r="F5277" s="35"/>
    </row>
    <row r="5278" spans="6:6">
      <c r="F5278" s="35"/>
    </row>
    <row r="5279" spans="6:6">
      <c r="F5279" s="35"/>
    </row>
    <row r="5280" spans="6:6">
      <c r="F5280" s="35"/>
    </row>
    <row r="5281" spans="6:6">
      <c r="F5281" s="35"/>
    </row>
    <row r="5282" spans="6:6">
      <c r="F5282" s="35"/>
    </row>
    <row r="5283" spans="6:6">
      <c r="F5283" s="35"/>
    </row>
    <row r="5284" spans="6:6">
      <c r="F5284" s="35"/>
    </row>
    <row r="5285" spans="6:6">
      <c r="F5285" s="35"/>
    </row>
    <row r="5286" spans="6:6">
      <c r="F5286" s="35"/>
    </row>
    <row r="5287" spans="6:6">
      <c r="F5287" s="35"/>
    </row>
    <row r="5288" spans="6:6">
      <c r="F5288" s="35"/>
    </row>
    <row r="5289" spans="6:6">
      <c r="F5289" s="35"/>
    </row>
    <row r="5290" spans="6:6">
      <c r="F5290" s="35"/>
    </row>
    <row r="5291" spans="6:6">
      <c r="F5291" s="35"/>
    </row>
    <row r="5292" spans="6:6">
      <c r="F5292" s="35"/>
    </row>
    <row r="5293" spans="6:6">
      <c r="F5293" s="35"/>
    </row>
    <row r="5294" spans="6:6">
      <c r="F5294" s="35"/>
    </row>
    <row r="5295" spans="6:6">
      <c r="F5295" s="35"/>
    </row>
    <row r="5296" spans="6:6">
      <c r="F5296" s="35"/>
    </row>
    <row r="5297" spans="6:6">
      <c r="F5297" s="35"/>
    </row>
    <row r="5298" spans="6:6">
      <c r="F5298" s="35"/>
    </row>
    <row r="5299" spans="6:6">
      <c r="F5299" s="35"/>
    </row>
    <row r="5300" spans="6:6">
      <c r="F5300" s="35"/>
    </row>
    <row r="5301" spans="6:6">
      <c r="F5301" s="35"/>
    </row>
    <row r="5302" spans="6:6">
      <c r="F5302" s="35"/>
    </row>
    <row r="5303" spans="6:6">
      <c r="F5303" s="35"/>
    </row>
    <row r="5304" spans="6:6">
      <c r="F5304" s="35"/>
    </row>
    <row r="5305" spans="6:6">
      <c r="F5305" s="35"/>
    </row>
    <row r="5306" spans="6:6">
      <c r="F5306" s="35"/>
    </row>
    <row r="5307" spans="6:6">
      <c r="F5307" s="35"/>
    </row>
    <row r="5308" spans="6:6">
      <c r="F5308" s="35"/>
    </row>
    <row r="5309" spans="6:6">
      <c r="F5309" s="35"/>
    </row>
    <row r="5310" spans="6:6">
      <c r="F5310" s="35"/>
    </row>
    <row r="5311" spans="6:6">
      <c r="F5311" s="35"/>
    </row>
    <row r="5312" spans="6:6">
      <c r="F5312" s="35"/>
    </row>
    <row r="5313" spans="6:6">
      <c r="F5313" s="35"/>
    </row>
    <row r="5314" spans="6:6">
      <c r="F5314" s="35"/>
    </row>
    <row r="5315" spans="6:6">
      <c r="F5315" s="35"/>
    </row>
    <row r="5316" spans="6:6">
      <c r="F5316" s="35"/>
    </row>
    <row r="5317" spans="6:6">
      <c r="F5317" s="35"/>
    </row>
    <row r="5318" spans="6:6">
      <c r="F5318" s="35"/>
    </row>
    <row r="5319" spans="6:6">
      <c r="F5319" s="35"/>
    </row>
    <row r="5320" spans="6:6">
      <c r="F5320" s="35"/>
    </row>
    <row r="5321" spans="6:6">
      <c r="F5321" s="35"/>
    </row>
    <row r="5322" spans="6:6">
      <c r="F5322" s="35"/>
    </row>
    <row r="5323" spans="6:6">
      <c r="F5323" s="35"/>
    </row>
    <row r="5324" spans="6:6">
      <c r="F5324" s="35"/>
    </row>
    <row r="5325" spans="6:6">
      <c r="F5325" s="35"/>
    </row>
    <row r="5326" spans="6:6">
      <c r="F5326" s="35"/>
    </row>
    <row r="5327" spans="6:6">
      <c r="F5327" s="35"/>
    </row>
    <row r="5328" spans="6:6">
      <c r="F5328" s="35"/>
    </row>
    <row r="5329" spans="6:6">
      <c r="F5329" s="35"/>
    </row>
    <row r="5330" spans="6:6">
      <c r="F5330" s="35"/>
    </row>
    <row r="5331" spans="6:6">
      <c r="F5331" s="35"/>
    </row>
    <row r="5332" spans="6:6">
      <c r="F5332" s="35"/>
    </row>
    <row r="5333" spans="6:6">
      <c r="F5333" s="35"/>
    </row>
    <row r="5334" spans="6:6">
      <c r="F5334" s="35"/>
    </row>
    <row r="5335" spans="6:6">
      <c r="F5335" s="35"/>
    </row>
    <row r="5336" spans="6:6">
      <c r="F5336" s="35"/>
    </row>
    <row r="5337" spans="6:6">
      <c r="F5337" s="35"/>
    </row>
    <row r="5338" spans="6:6">
      <c r="F5338" s="35"/>
    </row>
    <row r="5339" spans="6:6">
      <c r="F5339" s="35"/>
    </row>
    <row r="5340" spans="6:6">
      <c r="F5340" s="35"/>
    </row>
    <row r="5341" spans="6:6">
      <c r="F5341" s="35"/>
    </row>
    <row r="5342" spans="6:6">
      <c r="F5342" s="35"/>
    </row>
    <row r="5343" spans="6:6">
      <c r="F5343" s="35"/>
    </row>
    <row r="5344" spans="6:6">
      <c r="F5344" s="35"/>
    </row>
    <row r="5345" spans="6:6">
      <c r="F5345" s="35"/>
    </row>
    <row r="5346" spans="6:6">
      <c r="F5346" s="35"/>
    </row>
    <row r="5347" spans="6:6">
      <c r="F5347" s="35"/>
    </row>
    <row r="5348" spans="6:6">
      <c r="F5348" s="35"/>
    </row>
    <row r="5349" spans="6:6">
      <c r="F5349" s="35"/>
    </row>
    <row r="5350" spans="6:6">
      <c r="F5350" s="35"/>
    </row>
    <row r="5351" spans="6:6">
      <c r="F5351" s="35"/>
    </row>
    <row r="5352" spans="6:6">
      <c r="F5352" s="35"/>
    </row>
    <row r="5353" spans="6:6">
      <c r="F5353" s="35"/>
    </row>
    <row r="5354" spans="6:6">
      <c r="F5354" s="35"/>
    </row>
    <row r="5355" spans="6:6">
      <c r="F5355" s="35"/>
    </row>
    <row r="5356" spans="6:6">
      <c r="F5356" s="35"/>
    </row>
    <row r="5357" spans="6:6">
      <c r="F5357" s="35"/>
    </row>
    <row r="5358" spans="6:6">
      <c r="F5358" s="35"/>
    </row>
    <row r="5359" spans="6:6">
      <c r="F5359" s="35"/>
    </row>
    <row r="5360" spans="6:6">
      <c r="F5360" s="35"/>
    </row>
    <row r="5361" spans="6:6">
      <c r="F5361" s="35"/>
    </row>
    <row r="5362" spans="6:6">
      <c r="F5362" s="35"/>
    </row>
    <row r="5363" spans="6:6">
      <c r="F5363" s="35"/>
    </row>
    <row r="5364" spans="6:6">
      <c r="F5364" s="35"/>
    </row>
    <row r="5365" spans="6:6">
      <c r="F5365" s="35"/>
    </row>
    <row r="5366" spans="6:6">
      <c r="F5366" s="35"/>
    </row>
    <row r="5367" spans="6:6">
      <c r="F5367" s="35"/>
    </row>
    <row r="5368" spans="6:6">
      <c r="F5368" s="35"/>
    </row>
    <row r="5369" spans="6:6">
      <c r="F5369" s="35"/>
    </row>
    <row r="5370" spans="6:6">
      <c r="F5370" s="35"/>
    </row>
    <row r="5371" spans="6:6">
      <c r="F5371" s="35"/>
    </row>
    <row r="5372" spans="6:6">
      <c r="F5372" s="35"/>
    </row>
    <row r="5373" spans="6:6">
      <c r="F5373" s="35"/>
    </row>
    <row r="5374" spans="6:6">
      <c r="F5374" s="35"/>
    </row>
    <row r="5375" spans="6:6">
      <c r="F5375" s="35"/>
    </row>
    <row r="5376" spans="6:6">
      <c r="F5376" s="35"/>
    </row>
    <row r="5377" spans="6:6">
      <c r="F5377" s="35"/>
    </row>
    <row r="5378" spans="6:6">
      <c r="F5378" s="35"/>
    </row>
    <row r="5379" spans="6:6">
      <c r="F5379" s="35"/>
    </row>
    <row r="5380" spans="6:6">
      <c r="F5380" s="35"/>
    </row>
    <row r="5381" spans="6:6">
      <c r="F5381" s="35"/>
    </row>
    <row r="5382" spans="6:6">
      <c r="F5382" s="35"/>
    </row>
    <row r="5383" spans="6:6">
      <c r="F5383" s="35"/>
    </row>
    <row r="5384" spans="6:6">
      <c r="F5384" s="35"/>
    </row>
    <row r="5385" spans="6:6">
      <c r="F5385" s="35"/>
    </row>
    <row r="5386" spans="6:6">
      <c r="F5386" s="35"/>
    </row>
    <row r="5387" spans="6:6">
      <c r="F5387" s="35"/>
    </row>
    <row r="5388" spans="6:6">
      <c r="F5388" s="35"/>
    </row>
    <row r="5389" spans="6:6">
      <c r="F5389" s="35"/>
    </row>
    <row r="5390" spans="6:6">
      <c r="F5390" s="35"/>
    </row>
    <row r="5391" spans="6:6">
      <c r="F5391" s="35"/>
    </row>
    <row r="5392" spans="6:6">
      <c r="F5392" s="35"/>
    </row>
    <row r="5393" spans="6:6">
      <c r="F5393" s="35"/>
    </row>
    <row r="5394" spans="6:6">
      <c r="F5394" s="35"/>
    </row>
    <row r="5395" spans="6:6">
      <c r="F5395" s="35"/>
    </row>
    <row r="5396" spans="6:6">
      <c r="F5396" s="35"/>
    </row>
    <row r="5397" spans="6:6">
      <c r="F5397" s="35"/>
    </row>
    <row r="5398" spans="6:6">
      <c r="F5398" s="35"/>
    </row>
    <row r="5399" spans="6:6">
      <c r="F5399" s="35"/>
    </row>
    <row r="5400" spans="6:6">
      <c r="F5400" s="35"/>
    </row>
    <row r="5401" spans="6:6">
      <c r="F5401" s="35"/>
    </row>
    <row r="5402" spans="6:6">
      <c r="F5402" s="35"/>
    </row>
    <row r="5403" spans="6:6">
      <c r="F5403" s="35"/>
    </row>
    <row r="5404" spans="6:6">
      <c r="F5404" s="35"/>
    </row>
    <row r="5405" spans="6:6">
      <c r="F5405" s="35"/>
    </row>
    <row r="5406" spans="6:6">
      <c r="F5406" s="35"/>
    </row>
    <row r="5407" spans="6:6">
      <c r="F5407" s="35"/>
    </row>
    <row r="5408" spans="6:6">
      <c r="F5408" s="35"/>
    </row>
    <row r="5409" spans="6:6">
      <c r="F5409" s="35"/>
    </row>
    <row r="5410" spans="6:6">
      <c r="F5410" s="35"/>
    </row>
    <row r="5411" spans="6:6">
      <c r="F5411" s="35"/>
    </row>
    <row r="5412" spans="6:6">
      <c r="F5412" s="35"/>
    </row>
    <row r="5413" spans="6:6">
      <c r="F5413" s="35"/>
    </row>
    <row r="5414" spans="6:6">
      <c r="F5414" s="35"/>
    </row>
    <row r="5415" spans="6:6">
      <c r="F5415" s="35"/>
    </row>
    <row r="5416" spans="6:6">
      <c r="F5416" s="35"/>
    </row>
    <row r="5417" spans="6:6">
      <c r="F5417" s="35"/>
    </row>
    <row r="5418" spans="6:6">
      <c r="F5418" s="35"/>
    </row>
    <row r="5419" spans="6:6">
      <c r="F5419" s="35"/>
    </row>
    <row r="5420" spans="6:6">
      <c r="F5420" s="35"/>
    </row>
    <row r="5421" spans="6:6">
      <c r="F5421" s="35"/>
    </row>
    <row r="5422" spans="6:6">
      <c r="F5422" s="35"/>
    </row>
    <row r="5423" spans="6:6">
      <c r="F5423" s="35"/>
    </row>
    <row r="5424" spans="6:6">
      <c r="F5424" s="35"/>
    </row>
    <row r="5425" spans="6:6">
      <c r="F5425" s="35"/>
    </row>
    <row r="5426" spans="6:6">
      <c r="F5426" s="35"/>
    </row>
    <row r="5427" spans="6:6">
      <c r="F5427" s="35"/>
    </row>
    <row r="5428" spans="6:6">
      <c r="F5428" s="35"/>
    </row>
    <row r="5429" spans="6:6">
      <c r="F5429" s="35"/>
    </row>
    <row r="5430" spans="6:6">
      <c r="F5430" s="35"/>
    </row>
    <row r="5431" spans="6:6">
      <c r="F5431" s="35"/>
    </row>
    <row r="5432" spans="6:6">
      <c r="F5432" s="35"/>
    </row>
    <row r="5433" spans="6:6">
      <c r="F5433" s="35"/>
    </row>
    <row r="5434" spans="6:6">
      <c r="F5434" s="35"/>
    </row>
    <row r="5435" spans="6:6">
      <c r="F5435" s="35"/>
    </row>
    <row r="5436" spans="6:6">
      <c r="F5436" s="35"/>
    </row>
    <row r="5437" spans="6:6">
      <c r="F5437" s="35"/>
    </row>
    <row r="5438" spans="6:6">
      <c r="F5438" s="35"/>
    </row>
    <row r="5439" spans="6:6">
      <c r="F5439" s="35"/>
    </row>
    <row r="5440" spans="6:6">
      <c r="F5440" s="35"/>
    </row>
    <row r="5441" spans="6:6">
      <c r="F5441" s="35"/>
    </row>
    <row r="5442" spans="6:6">
      <c r="F5442" s="35"/>
    </row>
    <row r="5443" spans="6:6">
      <c r="F5443" s="35"/>
    </row>
    <row r="5444" spans="6:6">
      <c r="F5444" s="35"/>
    </row>
    <row r="5445" spans="6:6">
      <c r="F5445" s="35"/>
    </row>
    <row r="5446" spans="6:6">
      <c r="F5446" s="35"/>
    </row>
    <row r="5447" spans="6:6">
      <c r="F5447" s="35"/>
    </row>
    <row r="5448" spans="6:6">
      <c r="F5448" s="35"/>
    </row>
    <row r="5449" spans="6:6">
      <c r="F5449" s="35"/>
    </row>
    <row r="5450" spans="6:6">
      <c r="F5450" s="35"/>
    </row>
    <row r="5451" spans="6:6">
      <c r="F5451" s="35"/>
    </row>
    <row r="5452" spans="6:6">
      <c r="F5452" s="35"/>
    </row>
    <row r="5453" spans="6:6">
      <c r="F5453" s="35"/>
    </row>
    <row r="5454" spans="6:6">
      <c r="F5454" s="35"/>
    </row>
    <row r="5455" spans="6:6">
      <c r="F5455" s="35"/>
    </row>
    <row r="5456" spans="6:6">
      <c r="F5456" s="35"/>
    </row>
    <row r="5457" spans="6:6">
      <c r="F5457" s="35"/>
    </row>
    <row r="5458" spans="6:6">
      <c r="F5458" s="35"/>
    </row>
    <row r="5459" spans="6:6">
      <c r="F5459" s="35"/>
    </row>
    <row r="5460" spans="6:6">
      <c r="F5460" s="35"/>
    </row>
    <row r="5461" spans="6:6">
      <c r="F5461" s="35"/>
    </row>
    <row r="5462" spans="6:6">
      <c r="F5462" s="35"/>
    </row>
    <row r="5463" spans="6:6">
      <c r="F5463" s="35"/>
    </row>
    <row r="5464" spans="6:6">
      <c r="F5464" s="35"/>
    </row>
    <row r="5465" spans="6:6">
      <c r="F5465" s="35"/>
    </row>
    <row r="5466" spans="6:6">
      <c r="F5466" s="35"/>
    </row>
    <row r="5467" spans="6:6">
      <c r="F5467" s="35"/>
    </row>
    <row r="5468" spans="6:6">
      <c r="F5468" s="35"/>
    </row>
    <row r="5469" spans="6:6">
      <c r="F5469" s="35"/>
    </row>
    <row r="5470" spans="6:6">
      <c r="F5470" s="35"/>
    </row>
    <row r="5471" spans="6:6">
      <c r="F5471" s="35"/>
    </row>
    <row r="5472" spans="6:6">
      <c r="F5472" s="35"/>
    </row>
    <row r="5473" spans="6:6">
      <c r="F5473" s="35"/>
    </row>
    <row r="5474" spans="6:6">
      <c r="F5474" s="35"/>
    </row>
    <row r="5475" spans="6:6">
      <c r="F5475" s="35"/>
    </row>
    <row r="5476" spans="6:6">
      <c r="F5476" s="35"/>
    </row>
    <row r="5477" spans="6:6">
      <c r="F5477" s="35"/>
    </row>
    <row r="5478" spans="6:6">
      <c r="F5478" s="35"/>
    </row>
    <row r="5479" spans="6:6">
      <c r="F5479" s="35"/>
    </row>
    <row r="5480" spans="6:6">
      <c r="F5480" s="35"/>
    </row>
    <row r="5481" spans="6:6">
      <c r="F5481" s="35"/>
    </row>
    <row r="5482" spans="6:6">
      <c r="F5482" s="35"/>
    </row>
    <row r="5483" spans="6:6">
      <c r="F5483" s="35"/>
    </row>
    <row r="5484" spans="6:6">
      <c r="F5484" s="35"/>
    </row>
    <row r="5485" spans="6:6">
      <c r="F5485" s="35"/>
    </row>
    <row r="5486" spans="6:6">
      <c r="F5486" s="35"/>
    </row>
    <row r="5487" spans="6:6">
      <c r="F5487" s="35"/>
    </row>
    <row r="5488" spans="6:6">
      <c r="F5488" s="35"/>
    </row>
    <row r="5489" spans="6:6">
      <c r="F5489" s="35"/>
    </row>
    <row r="5490" spans="6:6">
      <c r="F5490" s="35"/>
    </row>
    <row r="5491" spans="6:6">
      <c r="F5491" s="35"/>
    </row>
    <row r="5492" spans="6:6">
      <c r="F5492" s="35"/>
    </row>
    <row r="5493" spans="6:6">
      <c r="F5493" s="35"/>
    </row>
    <row r="5494" spans="6:6">
      <c r="F5494" s="35"/>
    </row>
    <row r="5495" spans="6:6">
      <c r="F5495" s="35"/>
    </row>
    <row r="5496" spans="6:6">
      <c r="F5496" s="35"/>
    </row>
    <row r="5497" spans="6:6">
      <c r="F5497" s="35"/>
    </row>
    <row r="5498" spans="6:6">
      <c r="F5498" s="35"/>
    </row>
    <row r="5499" spans="6:6">
      <c r="F5499" s="35"/>
    </row>
    <row r="5500" spans="6:6">
      <c r="F5500" s="35"/>
    </row>
    <row r="5501" spans="6:6">
      <c r="F5501" s="35"/>
    </row>
    <row r="5502" spans="6:6">
      <c r="F5502" s="35"/>
    </row>
    <row r="5503" spans="6:6">
      <c r="F5503" s="35"/>
    </row>
    <row r="5504" spans="6:6">
      <c r="F5504" s="35"/>
    </row>
    <row r="5505" spans="6:6">
      <c r="F5505" s="35"/>
    </row>
    <row r="5506" spans="6:6">
      <c r="F5506" s="35"/>
    </row>
    <row r="5507" spans="6:6">
      <c r="F5507" s="35"/>
    </row>
    <row r="5508" spans="6:6">
      <c r="F5508" s="35"/>
    </row>
    <row r="5509" spans="6:6">
      <c r="F5509" s="35"/>
    </row>
    <row r="5510" spans="6:6">
      <c r="F5510" s="35"/>
    </row>
    <row r="5511" spans="6:6">
      <c r="F5511" s="35"/>
    </row>
    <row r="5512" spans="6:6">
      <c r="F5512" s="35"/>
    </row>
    <row r="5513" spans="6:6">
      <c r="F5513" s="35"/>
    </row>
    <row r="5514" spans="6:6">
      <c r="F5514" s="35"/>
    </row>
    <row r="5515" spans="6:6">
      <c r="F5515" s="35"/>
    </row>
    <row r="5516" spans="6:6">
      <c r="F5516" s="35"/>
    </row>
    <row r="5517" spans="6:6">
      <c r="F5517" s="35"/>
    </row>
    <row r="5518" spans="6:6">
      <c r="F5518" s="35"/>
    </row>
    <row r="5519" spans="6:6">
      <c r="F5519" s="35"/>
    </row>
    <row r="5520" spans="6:6">
      <c r="F5520" s="35"/>
    </row>
    <row r="5521" spans="6:6">
      <c r="F5521" s="35"/>
    </row>
    <row r="5522" spans="6:6">
      <c r="F5522" s="35"/>
    </row>
    <row r="5523" spans="6:6">
      <c r="F5523" s="35"/>
    </row>
    <row r="5524" spans="6:6">
      <c r="F5524" s="35"/>
    </row>
    <row r="5525" spans="6:6">
      <c r="F5525" s="35"/>
    </row>
    <row r="5526" spans="6:6">
      <c r="F5526" s="35"/>
    </row>
    <row r="5527" spans="6:6">
      <c r="F5527" s="35"/>
    </row>
    <row r="5528" spans="6:6">
      <c r="F5528" s="35"/>
    </row>
    <row r="5529" spans="6:6">
      <c r="F5529" s="35"/>
    </row>
    <row r="5530" spans="6:6">
      <c r="F5530" s="35"/>
    </row>
    <row r="5531" spans="6:6">
      <c r="F5531" s="35"/>
    </row>
    <row r="5532" spans="6:6">
      <c r="F5532" s="35"/>
    </row>
    <row r="5533" spans="6:6">
      <c r="F5533" s="35"/>
    </row>
    <row r="5534" spans="6:6">
      <c r="F5534" s="35"/>
    </row>
    <row r="5535" spans="6:6">
      <c r="F5535" s="35"/>
    </row>
    <row r="5536" spans="6:6">
      <c r="F5536" s="35"/>
    </row>
    <row r="5537" spans="6:6">
      <c r="F5537" s="35"/>
    </row>
    <row r="5538" spans="6:6">
      <c r="F5538" s="35"/>
    </row>
    <row r="5539" spans="6:6">
      <c r="F5539" s="35"/>
    </row>
    <row r="5540" spans="6:6">
      <c r="F5540" s="35"/>
    </row>
    <row r="5541" spans="6:6">
      <c r="F5541" s="35"/>
    </row>
    <row r="5542" spans="6:6">
      <c r="F5542" s="35"/>
    </row>
    <row r="5543" spans="6:6">
      <c r="F5543" s="35"/>
    </row>
    <row r="5544" spans="6:6">
      <c r="F5544" s="35"/>
    </row>
    <row r="5545" spans="6:6">
      <c r="F5545" s="35"/>
    </row>
    <row r="5546" spans="6:6">
      <c r="F5546" s="35"/>
    </row>
    <row r="5547" spans="6:6">
      <c r="F5547" s="35"/>
    </row>
    <row r="5548" spans="6:6">
      <c r="F5548" s="35"/>
    </row>
    <row r="5549" spans="6:6">
      <c r="F5549" s="35"/>
    </row>
    <row r="5550" spans="6:6">
      <c r="F5550" s="35"/>
    </row>
    <row r="5551" spans="6:6">
      <c r="F5551" s="35"/>
    </row>
    <row r="5552" spans="6:6">
      <c r="F5552" s="35"/>
    </row>
    <row r="5553" spans="6:6">
      <c r="F5553" s="35"/>
    </row>
    <row r="5554" spans="6:6">
      <c r="F5554" s="35"/>
    </row>
    <row r="5555" spans="6:6">
      <c r="F5555" s="35"/>
    </row>
    <row r="5556" spans="6:6">
      <c r="F5556" s="35"/>
    </row>
    <row r="5557" spans="6:6">
      <c r="F5557" s="35"/>
    </row>
    <row r="5558" spans="6:6">
      <c r="F5558" s="35"/>
    </row>
    <row r="5559" spans="6:6">
      <c r="F5559" s="35"/>
    </row>
    <row r="5560" spans="6:6">
      <c r="F5560" s="35"/>
    </row>
    <row r="5561" spans="6:6">
      <c r="F5561" s="35"/>
    </row>
    <row r="5562" spans="6:6">
      <c r="F5562" s="35"/>
    </row>
    <row r="5563" spans="6:6">
      <c r="F5563" s="35"/>
    </row>
    <row r="5564" spans="6:6">
      <c r="F5564" s="35"/>
    </row>
    <row r="5565" spans="6:6">
      <c r="F5565" s="35"/>
    </row>
    <row r="5566" spans="6:6">
      <c r="F5566" s="35"/>
    </row>
    <row r="5567" spans="6:6">
      <c r="F5567" s="35"/>
    </row>
    <row r="5568" spans="6:6">
      <c r="F5568" s="35"/>
    </row>
    <row r="5569" spans="6:6">
      <c r="F5569" s="35"/>
    </row>
    <row r="5570" spans="6:6">
      <c r="F5570" s="35"/>
    </row>
    <row r="5571" spans="6:6">
      <c r="F5571" s="35"/>
    </row>
    <row r="5572" spans="6:6">
      <c r="F5572" s="35"/>
    </row>
    <row r="5573" spans="6:6">
      <c r="F5573" s="35"/>
    </row>
    <row r="5574" spans="6:6">
      <c r="F5574" s="35"/>
    </row>
    <row r="5575" spans="6:6">
      <c r="F5575" s="35"/>
    </row>
    <row r="5576" spans="6:6">
      <c r="F5576" s="35"/>
    </row>
    <row r="5577" spans="6:6">
      <c r="F5577" s="35"/>
    </row>
    <row r="5578" spans="6:6">
      <c r="F5578" s="35"/>
    </row>
    <row r="5579" spans="6:6">
      <c r="F5579" s="35"/>
    </row>
    <row r="5580" spans="6:6">
      <c r="F5580" s="35"/>
    </row>
    <row r="5581" spans="6:6">
      <c r="F5581" s="35"/>
    </row>
    <row r="5582" spans="6:6">
      <c r="F5582" s="35"/>
    </row>
    <row r="5583" spans="6:6">
      <c r="F5583" s="35"/>
    </row>
    <row r="5584" spans="6:6">
      <c r="F5584" s="35"/>
    </row>
    <row r="5585" spans="6:6">
      <c r="F5585" s="35"/>
    </row>
    <row r="5586" spans="6:6">
      <c r="F5586" s="35"/>
    </row>
    <row r="5587" spans="6:6">
      <c r="F5587" s="35"/>
    </row>
    <row r="5588" spans="6:6">
      <c r="F5588" s="35"/>
    </row>
    <row r="5589" spans="6:6">
      <c r="F5589" s="35"/>
    </row>
    <row r="5590" spans="6:6">
      <c r="F5590" s="35"/>
    </row>
    <row r="5591" spans="6:6">
      <c r="F5591" s="35"/>
    </row>
    <row r="5592" spans="6:6">
      <c r="F5592" s="35"/>
    </row>
    <row r="5593" spans="6:6">
      <c r="F5593" s="35"/>
    </row>
    <row r="5594" spans="6:6">
      <c r="F5594" s="35"/>
    </row>
    <row r="5595" spans="6:6">
      <c r="F5595" s="35"/>
    </row>
    <row r="5596" spans="6:6">
      <c r="F5596" s="35"/>
    </row>
    <row r="5597" spans="6:6">
      <c r="F5597" s="35"/>
    </row>
    <row r="5598" spans="6:6">
      <c r="F5598" s="35"/>
    </row>
    <row r="5599" spans="6:6">
      <c r="F5599" s="35"/>
    </row>
    <row r="5600" spans="6:6">
      <c r="F5600" s="35"/>
    </row>
    <row r="5601" spans="6:6">
      <c r="F5601" s="35"/>
    </row>
    <row r="5602" spans="6:6">
      <c r="F5602" s="35"/>
    </row>
    <row r="5603" spans="6:6">
      <c r="F5603" s="35"/>
    </row>
    <row r="5604" spans="6:6">
      <c r="F5604" s="35"/>
    </row>
    <row r="5605" spans="6:6">
      <c r="F5605" s="35"/>
    </row>
    <row r="5606" spans="6:6">
      <c r="F5606" s="35"/>
    </row>
    <row r="5607" spans="6:6">
      <c r="F5607" s="35"/>
    </row>
    <row r="5608" spans="6:6">
      <c r="F5608" s="35"/>
    </row>
    <row r="5609" spans="6:6">
      <c r="F5609" s="35"/>
    </row>
    <row r="5610" spans="6:6">
      <c r="F5610" s="35"/>
    </row>
    <row r="5611" spans="6:6">
      <c r="F5611" s="35"/>
    </row>
    <row r="5612" spans="6:6">
      <c r="F5612" s="35"/>
    </row>
    <row r="5613" spans="6:6">
      <c r="F5613" s="35"/>
    </row>
    <row r="5614" spans="6:6">
      <c r="F5614" s="35"/>
    </row>
    <row r="5615" spans="6:6">
      <c r="F5615" s="35"/>
    </row>
    <row r="5616" spans="6:6">
      <c r="F5616" s="35"/>
    </row>
    <row r="5617" spans="6:6">
      <c r="F5617" s="35"/>
    </row>
    <row r="5618" spans="6:6">
      <c r="F5618" s="35"/>
    </row>
    <row r="5619" spans="6:6">
      <c r="F5619" s="35"/>
    </row>
    <row r="5620" spans="6:6">
      <c r="F5620" s="35"/>
    </row>
    <row r="5621" spans="6:6">
      <c r="F5621" s="35"/>
    </row>
    <row r="5622" spans="6:6">
      <c r="F5622" s="35"/>
    </row>
    <row r="5623" spans="6:6">
      <c r="F5623" s="35"/>
    </row>
    <row r="5624" spans="6:6">
      <c r="F5624" s="35"/>
    </row>
    <row r="5625" spans="6:6">
      <c r="F5625" s="35"/>
    </row>
    <row r="5626" spans="6:6">
      <c r="F5626" s="35"/>
    </row>
    <row r="5627" spans="6:6">
      <c r="F5627" s="35"/>
    </row>
    <row r="5628" spans="6:6">
      <c r="F5628" s="35"/>
    </row>
    <row r="5629" spans="6:6">
      <c r="F5629" s="35"/>
    </row>
    <row r="5630" spans="6:6">
      <c r="F5630" s="35"/>
    </row>
    <row r="5631" spans="6:6">
      <c r="F5631" s="35"/>
    </row>
    <row r="5632" spans="6:6">
      <c r="F5632" s="35"/>
    </row>
    <row r="5633" spans="6:6">
      <c r="F5633" s="35"/>
    </row>
    <row r="5634" spans="6:6">
      <c r="F5634" s="35"/>
    </row>
    <row r="5635" spans="6:6">
      <c r="F5635" s="35"/>
    </row>
    <row r="5636" spans="6:6">
      <c r="F5636" s="35"/>
    </row>
    <row r="5637" spans="6:6">
      <c r="F5637" s="35"/>
    </row>
    <row r="5638" spans="6:6">
      <c r="F5638" s="35"/>
    </row>
    <row r="5639" spans="6:6">
      <c r="F5639" s="35"/>
    </row>
    <row r="5640" spans="6:6">
      <c r="F5640" s="35"/>
    </row>
    <row r="5641" spans="6:6">
      <c r="F5641" s="35"/>
    </row>
    <row r="5642" spans="6:6">
      <c r="F5642" s="35"/>
    </row>
    <row r="5643" spans="6:6">
      <c r="F5643" s="35"/>
    </row>
    <row r="5644" spans="6:6">
      <c r="F5644" s="35"/>
    </row>
    <row r="5645" spans="6:6">
      <c r="F5645" s="35"/>
    </row>
    <row r="5646" spans="6:6">
      <c r="F5646" s="35"/>
    </row>
    <row r="5647" spans="6:6">
      <c r="F5647" s="35"/>
    </row>
    <row r="5648" spans="6:6">
      <c r="F5648" s="35"/>
    </row>
    <row r="5649" spans="6:6">
      <c r="F5649" s="35"/>
    </row>
    <row r="5650" spans="6:6">
      <c r="F5650" s="35"/>
    </row>
    <row r="5651" spans="6:6">
      <c r="F5651" s="35"/>
    </row>
    <row r="5652" spans="6:6">
      <c r="F5652" s="35"/>
    </row>
    <row r="5653" spans="6:6">
      <c r="F5653" s="35"/>
    </row>
    <row r="5654" spans="6:6">
      <c r="F5654" s="35"/>
    </row>
    <row r="5655" spans="6:6">
      <c r="F5655" s="35"/>
    </row>
    <row r="5656" spans="6:6">
      <c r="F5656" s="35"/>
    </row>
    <row r="5657" spans="6:6">
      <c r="F5657" s="35"/>
    </row>
    <row r="5658" spans="6:6">
      <c r="F5658" s="35"/>
    </row>
    <row r="5659" spans="6:6">
      <c r="F5659" s="35"/>
    </row>
    <row r="5660" spans="6:6">
      <c r="F5660" s="35"/>
    </row>
    <row r="5661" spans="6:6">
      <c r="F5661" s="35"/>
    </row>
    <row r="5662" spans="6:6">
      <c r="F5662" s="35"/>
    </row>
    <row r="5663" spans="6:6">
      <c r="F5663" s="35"/>
    </row>
    <row r="5664" spans="6:6">
      <c r="F5664" s="35"/>
    </row>
    <row r="5665" spans="6:6">
      <c r="F5665" s="35"/>
    </row>
    <row r="5666" spans="6:6">
      <c r="F5666" s="35"/>
    </row>
    <row r="5667" spans="6:6">
      <c r="F5667" s="35"/>
    </row>
    <row r="5668" spans="6:6">
      <c r="F5668" s="35"/>
    </row>
    <row r="5669" spans="6:6">
      <c r="F5669" s="35"/>
    </row>
    <row r="5670" spans="6:6">
      <c r="F5670" s="35"/>
    </row>
    <row r="5671" spans="6:6">
      <c r="F5671" s="35"/>
    </row>
    <row r="5672" spans="6:6">
      <c r="F5672" s="35"/>
    </row>
    <row r="5673" spans="6:6">
      <c r="F5673" s="35"/>
    </row>
    <row r="5674" spans="6:6">
      <c r="F5674" s="35"/>
    </row>
    <row r="5675" spans="6:6">
      <c r="F5675" s="35"/>
    </row>
    <row r="5676" spans="6:6">
      <c r="F5676" s="35"/>
    </row>
    <row r="5677" spans="6:6">
      <c r="F5677" s="35"/>
    </row>
    <row r="5678" spans="6:6">
      <c r="F5678" s="35"/>
    </row>
    <row r="5679" spans="6:6">
      <c r="F5679" s="35"/>
    </row>
    <row r="5680" spans="6:6">
      <c r="F5680" s="35"/>
    </row>
    <row r="5681" spans="6:6">
      <c r="F5681" s="35"/>
    </row>
    <row r="5682" spans="6:6">
      <c r="F5682" s="35"/>
    </row>
    <row r="5683" spans="6:6">
      <c r="F5683" s="35"/>
    </row>
    <row r="5684" spans="6:6">
      <c r="F5684" s="35"/>
    </row>
    <row r="5685" spans="6:6">
      <c r="F5685" s="35"/>
    </row>
    <row r="5686" spans="6:6">
      <c r="F5686" s="35"/>
    </row>
    <row r="5687" spans="6:6">
      <c r="F5687" s="35"/>
    </row>
    <row r="5688" spans="6:6">
      <c r="F5688" s="35"/>
    </row>
    <row r="5689" spans="6:6">
      <c r="F5689" s="35"/>
    </row>
    <row r="5690" spans="6:6">
      <c r="F5690" s="35"/>
    </row>
    <row r="5691" spans="6:6">
      <c r="F5691" s="35"/>
    </row>
    <row r="5692" spans="6:6">
      <c r="F5692" s="35"/>
    </row>
    <row r="5693" spans="6:6">
      <c r="F5693" s="35"/>
    </row>
    <row r="5694" spans="6:6">
      <c r="F5694" s="35"/>
    </row>
    <row r="5695" spans="6:6">
      <c r="F5695" s="35"/>
    </row>
    <row r="5696" spans="6:6">
      <c r="F5696" s="35"/>
    </row>
    <row r="5697" spans="6:6">
      <c r="F5697" s="35"/>
    </row>
    <row r="5698" spans="6:6">
      <c r="F5698" s="35"/>
    </row>
    <row r="5699" spans="6:6">
      <c r="F5699" s="35"/>
    </row>
    <row r="5700" spans="6:6">
      <c r="F5700" s="35"/>
    </row>
    <row r="5701" spans="6:6">
      <c r="F5701" s="35"/>
    </row>
    <row r="5702" spans="6:6">
      <c r="F5702" s="35"/>
    </row>
    <row r="5703" spans="6:6">
      <c r="F5703" s="35"/>
    </row>
    <row r="5704" spans="6:6">
      <c r="F5704" s="35"/>
    </row>
    <row r="5705" spans="6:6">
      <c r="F5705" s="35"/>
    </row>
    <row r="5706" spans="6:6">
      <c r="F5706" s="35"/>
    </row>
    <row r="5707" spans="6:6">
      <c r="F5707" s="35"/>
    </row>
    <row r="5708" spans="6:6">
      <c r="F5708" s="35"/>
    </row>
    <row r="5709" spans="6:6">
      <c r="F5709" s="35"/>
    </row>
    <row r="5710" spans="6:6">
      <c r="F5710" s="35"/>
    </row>
    <row r="5711" spans="6:6">
      <c r="F5711" s="35"/>
    </row>
    <row r="5712" spans="6:6">
      <c r="F5712" s="35"/>
    </row>
    <row r="5713" spans="6:6">
      <c r="F5713" s="35"/>
    </row>
    <row r="5714" spans="6:6">
      <c r="F5714" s="35"/>
    </row>
    <row r="5715" spans="6:6">
      <c r="F5715" s="35"/>
    </row>
    <row r="5716" spans="6:6">
      <c r="F5716" s="35"/>
    </row>
    <row r="5717" spans="6:6">
      <c r="F5717" s="35"/>
    </row>
    <row r="5718" spans="6:6">
      <c r="F5718" s="35"/>
    </row>
    <row r="5719" spans="6:6">
      <c r="F5719" s="35"/>
    </row>
    <row r="5720" spans="6:6">
      <c r="F5720" s="35"/>
    </row>
    <row r="5721" spans="6:6">
      <c r="F5721" s="35"/>
    </row>
    <row r="5722" spans="6:6">
      <c r="F5722" s="35"/>
    </row>
    <row r="5723" spans="6:6">
      <c r="F5723" s="35"/>
    </row>
    <row r="5724" spans="6:6">
      <c r="F5724" s="35"/>
    </row>
    <row r="5725" spans="6:6">
      <c r="F5725" s="35"/>
    </row>
    <row r="5726" spans="6:6">
      <c r="F5726" s="35"/>
    </row>
    <row r="5727" spans="6:6">
      <c r="F5727" s="35"/>
    </row>
    <row r="5728" spans="6:6">
      <c r="F5728" s="35"/>
    </row>
    <row r="5729" spans="6:6">
      <c r="F5729" s="35"/>
    </row>
    <row r="5730" spans="6:6">
      <c r="F5730" s="35"/>
    </row>
    <row r="5731" spans="6:6">
      <c r="F5731" s="35"/>
    </row>
    <row r="5732" spans="6:6">
      <c r="F5732" s="35"/>
    </row>
    <row r="5733" spans="6:6">
      <c r="F5733" s="35"/>
    </row>
    <row r="5734" spans="6:6">
      <c r="F5734" s="35"/>
    </row>
    <row r="5735" spans="6:6">
      <c r="F5735" s="35"/>
    </row>
    <row r="5736" spans="6:6">
      <c r="F5736" s="35"/>
    </row>
    <row r="5737" spans="6:6">
      <c r="F5737" s="35"/>
    </row>
    <row r="5738" spans="6:6">
      <c r="F5738" s="35"/>
    </row>
    <row r="5739" spans="6:6">
      <c r="F5739" s="35"/>
    </row>
    <row r="5740" spans="6:6">
      <c r="F5740" s="35"/>
    </row>
    <row r="5741" spans="6:6">
      <c r="F5741" s="35"/>
    </row>
    <row r="5742" spans="6:6">
      <c r="F5742" s="35"/>
    </row>
    <row r="5743" spans="6:6">
      <c r="F5743" s="35"/>
    </row>
    <row r="5744" spans="6:6">
      <c r="F5744" s="35"/>
    </row>
    <row r="5745" spans="6:6">
      <c r="F5745" s="35"/>
    </row>
    <row r="5746" spans="6:6">
      <c r="F5746" s="35"/>
    </row>
    <row r="5747" spans="6:6">
      <c r="F5747" s="35"/>
    </row>
    <row r="5748" spans="6:6">
      <c r="F5748" s="35"/>
    </row>
    <row r="5749" spans="6:6">
      <c r="F5749" s="35"/>
    </row>
    <row r="5750" spans="6:6">
      <c r="F5750" s="35"/>
    </row>
    <row r="5751" spans="6:6">
      <c r="F5751" s="35"/>
    </row>
    <row r="5752" spans="6:6">
      <c r="F5752" s="35"/>
    </row>
    <row r="5753" spans="6:6">
      <c r="F5753" s="35"/>
    </row>
    <row r="5754" spans="6:6">
      <c r="F5754" s="35"/>
    </row>
    <row r="5755" spans="6:6">
      <c r="F5755" s="35"/>
    </row>
    <row r="5756" spans="6:6">
      <c r="F5756" s="35"/>
    </row>
    <row r="5757" spans="6:6">
      <c r="F5757" s="35"/>
    </row>
    <row r="5758" spans="6:6">
      <c r="F5758" s="35"/>
    </row>
    <row r="5759" spans="6:6">
      <c r="F5759" s="35"/>
    </row>
    <row r="5760" spans="6:6">
      <c r="F5760" s="35"/>
    </row>
    <row r="5761" spans="6:6">
      <c r="F5761" s="35"/>
    </row>
    <row r="5762" spans="6:6">
      <c r="F5762" s="35"/>
    </row>
    <row r="5763" spans="6:6">
      <c r="F5763" s="35"/>
    </row>
    <row r="5764" spans="6:6">
      <c r="F5764" s="35"/>
    </row>
    <row r="5765" spans="6:6">
      <c r="F5765" s="35"/>
    </row>
    <row r="5766" spans="6:6">
      <c r="F5766" s="35"/>
    </row>
    <row r="5767" spans="6:6">
      <c r="F5767" s="35"/>
    </row>
    <row r="5768" spans="6:6">
      <c r="F5768" s="35"/>
    </row>
    <row r="5769" spans="6:6">
      <c r="F5769" s="35"/>
    </row>
    <row r="5770" spans="6:6">
      <c r="F5770" s="35"/>
    </row>
    <row r="5771" spans="6:6">
      <c r="F5771" s="35"/>
    </row>
    <row r="5772" spans="6:6">
      <c r="F5772" s="35"/>
    </row>
    <row r="5773" spans="6:6">
      <c r="F5773" s="35"/>
    </row>
    <row r="5774" spans="6:6">
      <c r="F5774" s="35"/>
    </row>
    <row r="5775" spans="6:6">
      <c r="F5775" s="35"/>
    </row>
    <row r="5776" spans="6:6">
      <c r="F5776" s="35"/>
    </row>
    <row r="5777" spans="6:6">
      <c r="F5777" s="35"/>
    </row>
    <row r="5778" spans="6:6">
      <c r="F5778" s="35"/>
    </row>
    <row r="5779" spans="6:6">
      <c r="F5779" s="35"/>
    </row>
    <row r="5780" spans="6:6">
      <c r="F5780" s="35"/>
    </row>
    <row r="5781" spans="6:6">
      <c r="F5781" s="35"/>
    </row>
    <row r="5782" spans="6:6">
      <c r="F5782" s="35"/>
    </row>
    <row r="5783" spans="6:6">
      <c r="F5783" s="35"/>
    </row>
    <row r="5784" spans="6:6">
      <c r="F5784" s="35"/>
    </row>
    <row r="5785" spans="6:6">
      <c r="F5785" s="35"/>
    </row>
    <row r="5786" spans="6:6">
      <c r="F5786" s="35"/>
    </row>
    <row r="5787" spans="6:6">
      <c r="F5787" s="35"/>
    </row>
    <row r="5788" spans="6:6">
      <c r="F5788" s="35"/>
    </row>
    <row r="5789" spans="6:6">
      <c r="F5789" s="35"/>
    </row>
    <row r="5790" spans="6:6">
      <c r="F5790" s="35"/>
    </row>
    <row r="5791" spans="6:6">
      <c r="F5791" s="35"/>
    </row>
    <row r="5792" spans="6:6">
      <c r="F5792" s="35"/>
    </row>
    <row r="5793" spans="6:6">
      <c r="F5793" s="35"/>
    </row>
    <row r="5794" spans="6:6">
      <c r="F5794" s="35"/>
    </row>
    <row r="5795" spans="6:6">
      <c r="F5795" s="35"/>
    </row>
    <row r="5796" spans="6:6">
      <c r="F5796" s="35"/>
    </row>
    <row r="5797" spans="6:6">
      <c r="F5797" s="35"/>
    </row>
    <row r="5798" spans="6:6">
      <c r="F5798" s="35"/>
    </row>
    <row r="5799" spans="6:6">
      <c r="F5799" s="35"/>
    </row>
    <row r="5800" spans="6:6">
      <c r="F5800" s="35"/>
    </row>
    <row r="5801" spans="6:6">
      <c r="F5801" s="35"/>
    </row>
    <row r="5802" spans="6:6">
      <c r="F5802" s="35"/>
    </row>
    <row r="5803" spans="6:6">
      <c r="F5803" s="35"/>
    </row>
    <row r="5804" spans="6:6">
      <c r="F5804" s="35"/>
    </row>
    <row r="5805" spans="6:6">
      <c r="F5805" s="35"/>
    </row>
    <row r="5806" spans="6:6">
      <c r="F5806" s="35"/>
    </row>
    <row r="5807" spans="6:6">
      <c r="F5807" s="35"/>
    </row>
    <row r="5808" spans="6:6">
      <c r="F5808" s="35"/>
    </row>
    <row r="5809" spans="6:6">
      <c r="F5809" s="35"/>
    </row>
    <row r="5810" spans="6:6">
      <c r="F5810" s="35"/>
    </row>
    <row r="5811" spans="6:6">
      <c r="F5811" s="35"/>
    </row>
    <row r="5812" spans="6:6">
      <c r="F5812" s="35"/>
    </row>
    <row r="5813" spans="6:6">
      <c r="F5813" s="35"/>
    </row>
    <row r="5814" spans="6:6">
      <c r="F5814" s="35"/>
    </row>
    <row r="5815" spans="6:6">
      <c r="F5815" s="35"/>
    </row>
    <row r="5816" spans="6:6">
      <c r="F5816" s="35"/>
    </row>
    <row r="5817" spans="6:6">
      <c r="F5817" s="35"/>
    </row>
    <row r="5818" spans="6:6">
      <c r="F5818" s="35"/>
    </row>
    <row r="5819" spans="6:6">
      <c r="F5819" s="35"/>
    </row>
    <row r="5820" spans="6:6">
      <c r="F5820" s="35"/>
    </row>
    <row r="5821" spans="6:6">
      <c r="F5821" s="35"/>
    </row>
    <row r="5822" spans="6:6">
      <c r="F5822" s="35"/>
    </row>
    <row r="5823" spans="6:6">
      <c r="F5823" s="35"/>
    </row>
    <row r="5824" spans="6:6">
      <c r="F5824" s="35"/>
    </row>
    <row r="5825" spans="6:6">
      <c r="F5825" s="35"/>
    </row>
    <row r="5826" spans="6:6">
      <c r="F5826" s="35"/>
    </row>
    <row r="5827" spans="6:6">
      <c r="F5827" s="35"/>
    </row>
    <row r="5828" spans="6:6">
      <c r="F5828" s="35"/>
    </row>
    <row r="5829" spans="6:6">
      <c r="F5829" s="35"/>
    </row>
    <row r="5830" spans="6:6">
      <c r="F5830" s="35"/>
    </row>
    <row r="5831" spans="6:6">
      <c r="F5831" s="35"/>
    </row>
    <row r="5832" spans="6:6">
      <c r="F5832" s="35"/>
    </row>
    <row r="5833" spans="6:6">
      <c r="F5833" s="35"/>
    </row>
    <row r="5834" spans="6:6">
      <c r="F5834" s="35"/>
    </row>
    <row r="5835" spans="6:6">
      <c r="F5835" s="35"/>
    </row>
    <row r="5836" spans="6:6">
      <c r="F5836" s="35"/>
    </row>
    <row r="5837" spans="6:6">
      <c r="F5837" s="35"/>
    </row>
    <row r="5838" spans="6:6">
      <c r="F5838" s="35"/>
    </row>
    <row r="5839" spans="6:6">
      <c r="F5839" s="35"/>
    </row>
    <row r="5840" spans="6:6">
      <c r="F5840" s="35"/>
    </row>
    <row r="5841" spans="6:6">
      <c r="F5841" s="35"/>
    </row>
    <row r="5842" spans="6:6">
      <c r="F5842" s="35"/>
    </row>
    <row r="5843" spans="6:6">
      <c r="F5843" s="35"/>
    </row>
    <row r="5844" spans="6:6">
      <c r="F5844" s="35"/>
    </row>
    <row r="5845" spans="6:6">
      <c r="F5845" s="35"/>
    </row>
    <row r="5846" spans="6:6">
      <c r="F5846" s="35"/>
    </row>
    <row r="5847" spans="6:6">
      <c r="F5847" s="35"/>
    </row>
    <row r="5848" spans="6:6">
      <c r="F5848" s="35"/>
    </row>
    <row r="5849" spans="6:6">
      <c r="F5849" s="35"/>
    </row>
    <row r="5850" spans="6:6">
      <c r="F5850" s="35"/>
    </row>
    <row r="5851" spans="6:6">
      <c r="F5851" s="35"/>
    </row>
    <row r="5852" spans="6:6">
      <c r="F5852" s="35"/>
    </row>
    <row r="5853" spans="6:6">
      <c r="F5853" s="35"/>
    </row>
    <row r="5854" spans="6:6">
      <c r="F5854" s="35"/>
    </row>
    <row r="5855" spans="6:6">
      <c r="F5855" s="35"/>
    </row>
    <row r="5856" spans="6:6">
      <c r="F5856" s="35"/>
    </row>
    <row r="5857" spans="6:6">
      <c r="F5857" s="35"/>
    </row>
    <row r="5858" spans="6:6">
      <c r="F5858" s="35"/>
    </row>
    <row r="5859" spans="6:6">
      <c r="F5859" s="35"/>
    </row>
    <row r="5860" spans="6:6">
      <c r="F5860" s="35"/>
    </row>
    <row r="5861" spans="6:6">
      <c r="F5861" s="35"/>
    </row>
    <row r="5862" spans="6:6">
      <c r="F5862" s="35"/>
    </row>
    <row r="5863" spans="6:6">
      <c r="F5863" s="35"/>
    </row>
    <row r="5864" spans="6:6">
      <c r="F5864" s="35"/>
    </row>
    <row r="5865" spans="6:6">
      <c r="F5865" s="35"/>
    </row>
    <row r="5866" spans="6:6">
      <c r="F5866" s="35"/>
    </row>
    <row r="5867" spans="6:6">
      <c r="F5867" s="35"/>
    </row>
    <row r="5868" spans="6:6">
      <c r="F5868" s="35"/>
    </row>
    <row r="5869" spans="6:6">
      <c r="F5869" s="35"/>
    </row>
    <row r="5870" spans="6:6">
      <c r="F5870" s="35"/>
    </row>
    <row r="5871" spans="6:6">
      <c r="F5871" s="35"/>
    </row>
    <row r="5872" spans="6:6">
      <c r="F5872" s="35"/>
    </row>
    <row r="5873" spans="6:6">
      <c r="F5873" s="35"/>
    </row>
    <row r="5874" spans="6:6">
      <c r="F5874" s="35"/>
    </row>
    <row r="5875" spans="6:6">
      <c r="F5875" s="35"/>
    </row>
    <row r="5876" spans="6:6">
      <c r="F5876" s="35"/>
    </row>
    <row r="5877" spans="6:6">
      <c r="F5877" s="35"/>
    </row>
    <row r="5878" spans="6:6">
      <c r="F5878" s="35"/>
    </row>
    <row r="5879" spans="6:6">
      <c r="F5879" s="35"/>
    </row>
    <row r="5880" spans="6:6">
      <c r="F5880" s="35"/>
    </row>
    <row r="5881" spans="6:6">
      <c r="F5881" s="35"/>
    </row>
    <row r="5882" spans="6:6">
      <c r="F5882" s="35"/>
    </row>
    <row r="5883" spans="6:6">
      <c r="F5883" s="35"/>
    </row>
    <row r="5884" spans="6:6">
      <c r="F5884" s="35"/>
    </row>
    <row r="5885" spans="6:6">
      <c r="F5885" s="35"/>
    </row>
    <row r="5886" spans="6:6">
      <c r="F5886" s="35"/>
    </row>
    <row r="5887" spans="6:6">
      <c r="F5887" s="35"/>
    </row>
    <row r="5888" spans="6:6">
      <c r="F5888" s="35"/>
    </row>
    <row r="5889" spans="6:6">
      <c r="F5889" s="35"/>
    </row>
    <row r="5890" spans="6:6">
      <c r="F5890" s="35"/>
    </row>
    <row r="5891" spans="6:6">
      <c r="F5891" s="35"/>
    </row>
    <row r="5892" spans="6:6">
      <c r="F5892" s="35"/>
    </row>
    <row r="5893" spans="6:6">
      <c r="F5893" s="35"/>
    </row>
    <row r="5894" spans="6:6">
      <c r="F5894" s="35"/>
    </row>
    <row r="5895" spans="6:6">
      <c r="F5895" s="35"/>
    </row>
    <row r="5896" spans="6:6">
      <c r="F5896" s="35"/>
    </row>
    <row r="5897" spans="6:6">
      <c r="F5897" s="35"/>
    </row>
    <row r="5898" spans="6:6">
      <c r="F5898" s="35"/>
    </row>
    <row r="5899" spans="6:6">
      <c r="F5899" s="35"/>
    </row>
    <row r="5900" spans="6:6">
      <c r="F5900" s="35"/>
    </row>
    <row r="5901" spans="6:6">
      <c r="F5901" s="35"/>
    </row>
    <row r="5902" spans="6:6">
      <c r="F5902" s="35"/>
    </row>
    <row r="5903" spans="6:6">
      <c r="F5903" s="35"/>
    </row>
    <row r="5904" spans="6:6">
      <c r="F5904" s="35"/>
    </row>
    <row r="5905" spans="6:6">
      <c r="F5905" s="35"/>
    </row>
    <row r="5906" spans="6:6">
      <c r="F5906" s="35"/>
    </row>
    <row r="5907" spans="6:6">
      <c r="F5907" s="35"/>
    </row>
    <row r="5908" spans="6:6">
      <c r="F5908" s="35"/>
    </row>
    <row r="5909" spans="6:6">
      <c r="F5909" s="35"/>
    </row>
    <row r="5910" spans="6:6">
      <c r="F5910" s="35"/>
    </row>
    <row r="5911" spans="6:6">
      <c r="F5911" s="35"/>
    </row>
    <row r="5912" spans="6:6">
      <c r="F5912" s="35"/>
    </row>
    <row r="5913" spans="6:6">
      <c r="F5913" s="35"/>
    </row>
    <row r="5914" spans="6:6">
      <c r="F5914" s="35"/>
    </row>
    <row r="5915" spans="6:6">
      <c r="F5915" s="35"/>
    </row>
    <row r="5916" spans="6:6">
      <c r="F5916" s="35"/>
    </row>
    <row r="5917" spans="6:6">
      <c r="F5917" s="35"/>
    </row>
    <row r="5918" spans="6:6">
      <c r="F5918" s="35"/>
    </row>
    <row r="5919" spans="6:6">
      <c r="F5919" s="35"/>
    </row>
    <row r="5920" spans="6:6">
      <c r="F5920" s="35"/>
    </row>
    <row r="5921" spans="6:6">
      <c r="F5921" s="35"/>
    </row>
    <row r="5922" spans="6:6">
      <c r="F5922" s="35"/>
    </row>
    <row r="5923" spans="6:6">
      <c r="F5923" s="35"/>
    </row>
    <row r="5924" spans="6:6">
      <c r="F5924" s="35"/>
    </row>
    <row r="5925" spans="6:6">
      <c r="F5925" s="35"/>
    </row>
    <row r="5926" spans="6:6">
      <c r="F5926" s="35"/>
    </row>
    <row r="5927" spans="6:6">
      <c r="F5927" s="35"/>
    </row>
    <row r="5928" spans="6:6">
      <c r="F5928" s="35"/>
    </row>
    <row r="5929" spans="6:6">
      <c r="F5929" s="35"/>
    </row>
    <row r="5930" spans="6:6">
      <c r="F5930" s="35"/>
    </row>
    <row r="5931" spans="6:6">
      <c r="F5931" s="35"/>
    </row>
    <row r="5932" spans="6:6">
      <c r="F5932" s="35"/>
    </row>
    <row r="5933" spans="6:6">
      <c r="F5933" s="35"/>
    </row>
    <row r="5934" spans="6:6">
      <c r="F5934" s="35"/>
    </row>
    <row r="5935" spans="6:6">
      <c r="F5935" s="35"/>
    </row>
    <row r="5936" spans="6:6">
      <c r="F5936" s="35"/>
    </row>
    <row r="5937" spans="6:6">
      <c r="F5937" s="35"/>
    </row>
    <row r="5938" spans="6:6">
      <c r="F5938" s="35"/>
    </row>
    <row r="5939" spans="6:6">
      <c r="F5939" s="35"/>
    </row>
    <row r="5940" spans="6:6">
      <c r="F5940" s="35"/>
    </row>
    <row r="5941" spans="6:6">
      <c r="F5941" s="35"/>
    </row>
    <row r="5942" spans="6:6">
      <c r="F5942" s="35"/>
    </row>
    <row r="5943" spans="6:6">
      <c r="F5943" s="35"/>
    </row>
    <row r="5944" spans="6:6">
      <c r="F5944" s="35"/>
    </row>
    <row r="5945" spans="6:6">
      <c r="F5945" s="35"/>
    </row>
    <row r="5946" spans="6:6">
      <c r="F5946" s="35"/>
    </row>
    <row r="5947" spans="6:6">
      <c r="F5947" s="35"/>
    </row>
    <row r="5948" spans="6:6">
      <c r="F5948" s="35"/>
    </row>
    <row r="5949" spans="6:6">
      <c r="F5949" s="35"/>
    </row>
    <row r="5950" spans="6:6">
      <c r="F5950" s="35"/>
    </row>
    <row r="5951" spans="6:6">
      <c r="F5951" s="35"/>
    </row>
    <row r="5952" spans="6:6">
      <c r="F5952" s="35"/>
    </row>
    <row r="5953" spans="6:6">
      <c r="F5953" s="35"/>
    </row>
    <row r="5954" spans="6:6">
      <c r="F5954" s="35"/>
    </row>
    <row r="5955" spans="6:6">
      <c r="F5955" s="35"/>
    </row>
    <row r="5956" spans="6:6">
      <c r="F5956" s="35"/>
    </row>
    <row r="5957" spans="6:6">
      <c r="F5957" s="35"/>
    </row>
    <row r="5958" spans="6:6">
      <c r="F5958" s="35"/>
    </row>
    <row r="5959" spans="6:6">
      <c r="F5959" s="35"/>
    </row>
    <row r="5960" spans="6:6">
      <c r="F5960" s="35"/>
    </row>
    <row r="5961" spans="6:6">
      <c r="F5961" s="35"/>
    </row>
    <row r="5962" spans="6:6">
      <c r="F5962" s="35"/>
    </row>
    <row r="5963" spans="6:6">
      <c r="F5963" s="35"/>
    </row>
    <row r="5964" spans="6:6">
      <c r="F5964" s="35"/>
    </row>
    <row r="5965" spans="6:6">
      <c r="F5965" s="35"/>
    </row>
    <row r="5966" spans="6:6">
      <c r="F5966" s="35"/>
    </row>
    <row r="5967" spans="6:6">
      <c r="F5967" s="35"/>
    </row>
    <row r="5968" spans="6:6">
      <c r="F5968" s="35"/>
    </row>
    <row r="5969" spans="6:6">
      <c r="F5969" s="35"/>
    </row>
    <row r="5970" spans="6:6">
      <c r="F5970" s="35"/>
    </row>
    <row r="5971" spans="6:6">
      <c r="F5971" s="35"/>
    </row>
    <row r="5972" spans="6:6">
      <c r="F5972" s="35"/>
    </row>
    <row r="5973" spans="6:6">
      <c r="F5973" s="35"/>
    </row>
    <row r="5974" spans="6:6">
      <c r="F5974" s="35"/>
    </row>
    <row r="5975" spans="6:6">
      <c r="F5975" s="35"/>
    </row>
    <row r="5976" spans="6:6">
      <c r="F5976" s="35"/>
    </row>
    <row r="5977" spans="6:6">
      <c r="F5977" s="35"/>
    </row>
    <row r="5978" spans="6:6">
      <c r="F5978" s="35"/>
    </row>
    <row r="5979" spans="6:6">
      <c r="F5979" s="35"/>
    </row>
    <row r="5980" spans="6:6">
      <c r="F5980" s="35"/>
    </row>
    <row r="5981" spans="6:6">
      <c r="F5981" s="35"/>
    </row>
    <row r="5982" spans="6:6">
      <c r="F5982" s="35"/>
    </row>
    <row r="5983" spans="6:6">
      <c r="F5983" s="35"/>
    </row>
    <row r="5984" spans="6:6">
      <c r="F5984" s="35"/>
    </row>
    <row r="5985" spans="6:6">
      <c r="F5985" s="35"/>
    </row>
    <row r="5986" spans="6:6">
      <c r="F5986" s="35"/>
    </row>
    <row r="5987" spans="6:6">
      <c r="F5987" s="35"/>
    </row>
    <row r="5988" spans="6:6">
      <c r="F5988" s="35"/>
    </row>
    <row r="5989" spans="6:6">
      <c r="F5989" s="35"/>
    </row>
    <row r="5990" spans="6:6">
      <c r="F5990" s="35"/>
    </row>
    <row r="5991" spans="6:6">
      <c r="F5991" s="35"/>
    </row>
    <row r="5992" spans="6:6">
      <c r="F5992" s="35"/>
    </row>
    <row r="5993" spans="6:6">
      <c r="F5993" s="35"/>
    </row>
    <row r="5994" spans="6:6">
      <c r="F5994" s="35"/>
    </row>
    <row r="5995" spans="6:6">
      <c r="F5995" s="35"/>
    </row>
    <row r="5996" spans="6:6">
      <c r="F5996" s="35"/>
    </row>
    <row r="5997" spans="6:6">
      <c r="F5997" s="35"/>
    </row>
    <row r="5998" spans="6:6">
      <c r="F5998" s="35"/>
    </row>
    <row r="5999" spans="6:6">
      <c r="F5999" s="35"/>
    </row>
    <row r="6000" spans="6:6">
      <c r="F6000" s="35"/>
    </row>
    <row r="6001" spans="6:6">
      <c r="F6001" s="35"/>
    </row>
    <row r="6002" spans="6:6">
      <c r="F6002" s="35"/>
    </row>
    <row r="6003" spans="6:6">
      <c r="F6003" s="35"/>
    </row>
    <row r="6004" spans="6:6">
      <c r="F6004" s="35"/>
    </row>
    <row r="6005" spans="6:6">
      <c r="F6005" s="35"/>
    </row>
    <row r="6006" spans="6:6">
      <c r="F6006" s="35"/>
    </row>
    <row r="6007" spans="6:6">
      <c r="F6007" s="35"/>
    </row>
    <row r="6008" spans="6:6">
      <c r="F6008" s="35"/>
    </row>
    <row r="6009" spans="6:6">
      <c r="F6009" s="35"/>
    </row>
    <row r="6010" spans="6:6">
      <c r="F6010" s="35"/>
    </row>
    <row r="6011" spans="6:6">
      <c r="F6011" s="35"/>
    </row>
    <row r="6012" spans="6:6">
      <c r="F6012" s="35"/>
    </row>
    <row r="6013" spans="6:6">
      <c r="F6013" s="35"/>
    </row>
    <row r="6014" spans="6:6">
      <c r="F6014" s="35"/>
    </row>
    <row r="6015" spans="6:6">
      <c r="F6015" s="35"/>
    </row>
    <row r="6016" spans="6:6">
      <c r="F6016" s="35"/>
    </row>
    <row r="6017" spans="6:6">
      <c r="F6017" s="35"/>
    </row>
    <row r="6018" spans="6:6">
      <c r="F6018" s="35"/>
    </row>
    <row r="6019" spans="6:6">
      <c r="F6019" s="35"/>
    </row>
    <row r="6020" spans="6:6">
      <c r="F6020" s="35"/>
    </row>
    <row r="6021" spans="6:6">
      <c r="F6021" s="35"/>
    </row>
    <row r="6022" spans="6:6">
      <c r="F6022" s="35"/>
    </row>
    <row r="6023" spans="6:6">
      <c r="F6023" s="35"/>
    </row>
    <row r="6024" spans="6:6">
      <c r="F6024" s="35"/>
    </row>
    <row r="6025" spans="6:6">
      <c r="F6025" s="35"/>
    </row>
    <row r="6026" spans="6:6">
      <c r="F6026" s="35"/>
    </row>
    <row r="6027" spans="6:6">
      <c r="F6027" s="35"/>
    </row>
    <row r="6028" spans="6:6">
      <c r="F6028" s="35"/>
    </row>
    <row r="6029" spans="6:6">
      <c r="F6029" s="35"/>
    </row>
    <row r="6030" spans="6:6">
      <c r="F6030" s="35"/>
    </row>
    <row r="6031" spans="6:6">
      <c r="F6031" s="35"/>
    </row>
    <row r="6032" spans="6:6">
      <c r="F6032" s="35"/>
    </row>
    <row r="6033" spans="6:6">
      <c r="F6033" s="35"/>
    </row>
    <row r="6034" spans="6:6">
      <c r="F6034" s="35"/>
    </row>
    <row r="6035" spans="6:6">
      <c r="F6035" s="35"/>
    </row>
    <row r="6036" spans="6:6">
      <c r="F6036" s="35"/>
    </row>
    <row r="6037" spans="6:6">
      <c r="F6037" s="35"/>
    </row>
    <row r="6038" spans="6:6">
      <c r="F6038" s="35"/>
    </row>
    <row r="6039" spans="6:6">
      <c r="F6039" s="35"/>
    </row>
    <row r="6040" spans="6:6">
      <c r="F6040" s="35"/>
    </row>
    <row r="6041" spans="6:6">
      <c r="F6041" s="35"/>
    </row>
    <row r="6042" spans="6:6">
      <c r="F6042" s="35"/>
    </row>
    <row r="6043" spans="6:6">
      <c r="F6043" s="35"/>
    </row>
    <row r="6044" spans="6:6">
      <c r="F6044" s="35"/>
    </row>
    <row r="6045" spans="6:6">
      <c r="F6045" s="35"/>
    </row>
    <row r="6046" spans="6:6">
      <c r="F6046" s="35"/>
    </row>
    <row r="6047" spans="6:6">
      <c r="F6047" s="35"/>
    </row>
    <row r="6048" spans="6:6">
      <c r="F6048" s="35"/>
    </row>
    <row r="6049" spans="6:6">
      <c r="F6049" s="35"/>
    </row>
    <row r="6050" spans="6:6">
      <c r="F6050" s="35"/>
    </row>
    <row r="6051" spans="6:6">
      <c r="F6051" s="35"/>
    </row>
    <row r="6052" spans="6:6">
      <c r="F6052" s="35"/>
    </row>
    <row r="6053" spans="6:6">
      <c r="F6053" s="35"/>
    </row>
    <row r="6054" spans="6:6">
      <c r="F6054" s="35"/>
    </row>
    <row r="6055" spans="6:6">
      <c r="F6055" s="35"/>
    </row>
    <row r="6056" spans="6:6">
      <c r="F6056" s="35"/>
    </row>
    <row r="6057" spans="6:6">
      <c r="F6057" s="35"/>
    </row>
    <row r="6058" spans="6:6">
      <c r="F6058" s="35"/>
    </row>
    <row r="6059" spans="6:6">
      <c r="F6059" s="35"/>
    </row>
    <row r="6060" spans="6:6">
      <c r="F6060" s="35"/>
    </row>
    <row r="6061" spans="6:6">
      <c r="F6061" s="35"/>
    </row>
    <row r="6062" spans="6:6">
      <c r="F6062" s="35"/>
    </row>
    <row r="6063" spans="6:6">
      <c r="F6063" s="35"/>
    </row>
    <row r="6064" spans="6:6">
      <c r="F6064" s="35"/>
    </row>
    <row r="6065" spans="6:6">
      <c r="F6065" s="35"/>
    </row>
    <row r="6066" spans="6:6">
      <c r="F6066" s="35"/>
    </row>
    <row r="6067" spans="6:6">
      <c r="F6067" s="35"/>
    </row>
    <row r="6068" spans="6:6">
      <c r="F6068" s="35"/>
    </row>
    <row r="6069" spans="6:6">
      <c r="F6069" s="35"/>
    </row>
    <row r="6070" spans="6:6">
      <c r="F6070" s="35"/>
    </row>
    <row r="6071" spans="6:6">
      <c r="F6071" s="35"/>
    </row>
    <row r="6072" spans="6:6">
      <c r="F6072" s="35"/>
    </row>
    <row r="6073" spans="6:6">
      <c r="F6073" s="35"/>
    </row>
    <row r="6074" spans="6:6">
      <c r="F6074" s="35"/>
    </row>
    <row r="6075" spans="6:6">
      <c r="F6075" s="35"/>
    </row>
    <row r="6076" spans="6:6">
      <c r="F6076" s="35"/>
    </row>
    <row r="6077" spans="6:6">
      <c r="F6077" s="35"/>
    </row>
    <row r="6078" spans="6:6">
      <c r="F6078" s="35"/>
    </row>
    <row r="6079" spans="6:6">
      <c r="F6079" s="35"/>
    </row>
    <row r="6080" spans="6:6">
      <c r="F6080" s="35"/>
    </row>
    <row r="6081" spans="6:6">
      <c r="F6081" s="35"/>
    </row>
    <row r="6082" spans="6:6">
      <c r="F6082" s="35"/>
    </row>
    <row r="6083" spans="6:6">
      <c r="F6083" s="35"/>
    </row>
    <row r="6084" spans="6:6">
      <c r="F6084" s="35"/>
    </row>
    <row r="6085" spans="6:6">
      <c r="F6085" s="35"/>
    </row>
    <row r="6086" spans="6:6">
      <c r="F6086" s="35"/>
    </row>
    <row r="6087" spans="6:6">
      <c r="F6087" s="35"/>
    </row>
    <row r="6088" spans="6:6">
      <c r="F6088" s="35"/>
    </row>
    <row r="6089" spans="6:6">
      <c r="F6089" s="35"/>
    </row>
    <row r="6090" spans="6:6">
      <c r="F6090" s="35"/>
    </row>
    <row r="6091" spans="6:6">
      <c r="F6091" s="35"/>
    </row>
    <row r="6092" spans="6:6">
      <c r="F6092" s="35"/>
    </row>
    <row r="6093" spans="6:6">
      <c r="F6093" s="35"/>
    </row>
    <row r="6094" spans="6:6">
      <c r="F6094" s="35"/>
    </row>
    <row r="6095" spans="6:6">
      <c r="F6095" s="35"/>
    </row>
    <row r="6096" spans="6:6">
      <c r="F6096" s="35"/>
    </row>
    <row r="6097" spans="6:6">
      <c r="F6097" s="35"/>
    </row>
    <row r="6098" spans="6:6">
      <c r="F6098" s="35"/>
    </row>
    <row r="6099" spans="6:6">
      <c r="F6099" s="35"/>
    </row>
    <row r="6100" spans="6:6">
      <c r="F6100" s="35"/>
    </row>
    <row r="6101" spans="6:6">
      <c r="F6101" s="35"/>
    </row>
    <row r="6102" spans="6:6">
      <c r="F6102" s="35"/>
    </row>
    <row r="6103" spans="6:6">
      <c r="F6103" s="35"/>
    </row>
    <row r="6104" spans="6:6">
      <c r="F6104" s="35"/>
    </row>
    <row r="6105" spans="6:6">
      <c r="F6105" s="35"/>
    </row>
    <row r="6106" spans="6:6">
      <c r="F6106" s="35"/>
    </row>
    <row r="6107" spans="6:6">
      <c r="F6107" s="35"/>
    </row>
    <row r="6108" spans="6:6">
      <c r="F6108" s="35"/>
    </row>
    <row r="6109" spans="6:6">
      <c r="F6109" s="35"/>
    </row>
    <row r="6110" spans="6:6">
      <c r="F6110" s="35"/>
    </row>
    <row r="6111" spans="6:6">
      <c r="F6111" s="35"/>
    </row>
    <row r="6112" spans="6:6">
      <c r="F6112" s="35"/>
    </row>
    <row r="6113" spans="6:6">
      <c r="F6113" s="35"/>
    </row>
    <row r="6114" spans="6:6">
      <c r="F6114" s="35"/>
    </row>
    <row r="6115" spans="6:6">
      <c r="F6115" s="35"/>
    </row>
    <row r="6116" spans="6:6">
      <c r="F6116" s="35"/>
    </row>
    <row r="6117" spans="6:6">
      <c r="F6117" s="35"/>
    </row>
    <row r="6118" spans="6:6">
      <c r="F6118" s="35"/>
    </row>
    <row r="6119" spans="6:6">
      <c r="F6119" s="35"/>
    </row>
    <row r="6120" spans="6:6">
      <c r="F6120" s="35"/>
    </row>
    <row r="6121" spans="6:6">
      <c r="F6121" s="35"/>
    </row>
    <row r="6122" spans="6:6">
      <c r="F6122" s="35"/>
    </row>
    <row r="6123" spans="6:6">
      <c r="F6123" s="35"/>
    </row>
    <row r="6124" spans="6:6">
      <c r="F6124" s="35"/>
    </row>
    <row r="6125" spans="6:6">
      <c r="F6125" s="35"/>
    </row>
    <row r="6126" spans="6:6">
      <c r="F6126" s="35"/>
    </row>
    <row r="6127" spans="6:6">
      <c r="F6127" s="35"/>
    </row>
    <row r="6128" spans="6:6">
      <c r="F6128" s="35"/>
    </row>
    <row r="6129" spans="6:6">
      <c r="F6129" s="35"/>
    </row>
    <row r="6130" spans="6:6">
      <c r="F6130" s="35"/>
    </row>
    <row r="6131" spans="6:6">
      <c r="F6131" s="35"/>
    </row>
    <row r="6132" spans="6:6">
      <c r="F6132" s="35"/>
    </row>
    <row r="6133" spans="6:6">
      <c r="F6133" s="35"/>
    </row>
    <row r="6134" spans="6:6">
      <c r="F6134" s="35"/>
    </row>
    <row r="6135" spans="6:6">
      <c r="F6135" s="35"/>
    </row>
    <row r="6136" spans="6:6">
      <c r="F6136" s="35"/>
    </row>
    <row r="6137" spans="6:6">
      <c r="F6137" s="35"/>
    </row>
    <row r="6138" spans="6:6">
      <c r="F6138" s="35"/>
    </row>
    <row r="6139" spans="6:6">
      <c r="F6139" s="35"/>
    </row>
    <row r="6140" spans="6:6">
      <c r="F6140" s="35"/>
    </row>
    <row r="6141" spans="6:6">
      <c r="F6141" s="35"/>
    </row>
    <row r="6142" spans="6:6">
      <c r="F6142" s="35"/>
    </row>
    <row r="6143" spans="6:6">
      <c r="F6143" s="35"/>
    </row>
    <row r="6144" spans="6:6">
      <c r="F6144" s="35"/>
    </row>
    <row r="6145" spans="6:6">
      <c r="F6145" s="35"/>
    </row>
    <row r="6146" spans="6:6">
      <c r="F6146" s="35"/>
    </row>
    <row r="6147" spans="6:6">
      <c r="F6147" s="35"/>
    </row>
    <row r="6148" spans="6:6">
      <c r="F6148" s="35"/>
    </row>
    <row r="6149" spans="6:6">
      <c r="F6149" s="35"/>
    </row>
    <row r="6150" spans="6:6">
      <c r="F6150" s="35"/>
    </row>
    <row r="6151" spans="6:6">
      <c r="F6151" s="35"/>
    </row>
    <row r="6152" spans="6:6">
      <c r="F6152" s="35"/>
    </row>
    <row r="6153" spans="6:6">
      <c r="F6153" s="35"/>
    </row>
    <row r="6154" spans="6:6">
      <c r="F6154" s="35"/>
    </row>
    <row r="6155" spans="6:6">
      <c r="F6155" s="35"/>
    </row>
    <row r="6156" spans="6:6">
      <c r="F6156" s="35"/>
    </row>
    <row r="6157" spans="6:6">
      <c r="F6157" s="35"/>
    </row>
    <row r="6158" spans="6:6">
      <c r="F6158" s="35"/>
    </row>
    <row r="6159" spans="6:6">
      <c r="F6159" s="35"/>
    </row>
    <row r="6160" spans="6:6">
      <c r="F6160" s="35"/>
    </row>
    <row r="6161" spans="6:6">
      <c r="F6161" s="35"/>
    </row>
    <row r="6162" spans="6:6">
      <c r="F6162" s="35"/>
    </row>
    <row r="6163" spans="6:6">
      <c r="F6163" s="35"/>
    </row>
    <row r="6164" spans="6:6">
      <c r="F6164" s="35"/>
    </row>
    <row r="6165" spans="6:6">
      <c r="F6165" s="35"/>
    </row>
    <row r="6166" spans="6:6">
      <c r="F6166" s="35"/>
    </row>
    <row r="6167" spans="6:6">
      <c r="F6167" s="35"/>
    </row>
    <row r="6168" spans="6:6">
      <c r="F6168" s="35"/>
    </row>
    <row r="6169" spans="6:6">
      <c r="F6169" s="35"/>
    </row>
    <row r="6170" spans="6:6">
      <c r="F6170" s="35"/>
    </row>
    <row r="6171" spans="6:6">
      <c r="F6171" s="35"/>
    </row>
    <row r="6172" spans="6:6">
      <c r="F6172" s="35"/>
    </row>
    <row r="6173" spans="6:6">
      <c r="F6173" s="35"/>
    </row>
    <row r="6174" spans="6:6">
      <c r="F6174" s="35"/>
    </row>
    <row r="6175" spans="6:6">
      <c r="F6175" s="35"/>
    </row>
    <row r="6176" spans="6:6">
      <c r="F6176" s="35"/>
    </row>
    <row r="6177" spans="6:6">
      <c r="F6177" s="35"/>
    </row>
    <row r="6178" spans="6:6">
      <c r="F6178" s="35"/>
    </row>
    <row r="6179" spans="6:6">
      <c r="F6179" s="35"/>
    </row>
    <row r="6180" spans="6:6">
      <c r="F6180" s="35"/>
    </row>
    <row r="6181" spans="6:6">
      <c r="F6181" s="35"/>
    </row>
    <row r="6182" spans="6:6">
      <c r="F6182" s="35"/>
    </row>
    <row r="6183" spans="6:6">
      <c r="F6183" s="35"/>
    </row>
    <row r="6184" spans="6:6">
      <c r="F6184" s="35"/>
    </row>
    <row r="6185" spans="6:6">
      <c r="F6185" s="35"/>
    </row>
    <row r="6186" spans="6:6">
      <c r="F6186" s="35"/>
    </row>
    <row r="6187" spans="6:6">
      <c r="F6187" s="35"/>
    </row>
    <row r="6188" spans="6:6">
      <c r="F6188" s="35"/>
    </row>
    <row r="6189" spans="6:6">
      <c r="F6189" s="35"/>
    </row>
    <row r="6190" spans="6:6">
      <c r="F6190" s="35"/>
    </row>
    <row r="6191" spans="6:6">
      <c r="F6191" s="35"/>
    </row>
    <row r="6192" spans="6:6">
      <c r="F6192" s="35"/>
    </row>
    <row r="6193" spans="6:6">
      <c r="F6193" s="35"/>
    </row>
    <row r="6194" spans="6:6">
      <c r="F6194" s="35"/>
    </row>
    <row r="6195" spans="6:6">
      <c r="F6195" s="35"/>
    </row>
    <row r="6196" spans="6:6">
      <c r="F6196" s="35"/>
    </row>
    <row r="6197" spans="6:6">
      <c r="F6197" s="35"/>
    </row>
    <row r="6198" spans="6:6">
      <c r="F6198" s="35"/>
    </row>
    <row r="6199" spans="6:6">
      <c r="F6199" s="35"/>
    </row>
    <row r="6200" spans="6:6">
      <c r="F6200" s="35"/>
    </row>
    <row r="6201" spans="6:6">
      <c r="F6201" s="35"/>
    </row>
    <row r="6202" spans="6:6">
      <c r="F6202" s="35"/>
    </row>
    <row r="6203" spans="6:6">
      <c r="F6203" s="35"/>
    </row>
    <row r="6204" spans="6:6">
      <c r="F6204" s="35"/>
    </row>
    <row r="6205" spans="6:6">
      <c r="F6205" s="35"/>
    </row>
    <row r="6206" spans="6:6">
      <c r="F6206" s="35"/>
    </row>
    <row r="6207" spans="6:6">
      <c r="F6207" s="35"/>
    </row>
    <row r="6208" spans="6:6">
      <c r="F6208" s="35"/>
    </row>
    <row r="6209" spans="6:6">
      <c r="F6209" s="35"/>
    </row>
    <row r="6210" spans="6:6">
      <c r="F6210" s="35"/>
    </row>
    <row r="6211" spans="6:6">
      <c r="F6211" s="35"/>
    </row>
    <row r="6212" spans="6:6">
      <c r="F6212" s="35"/>
    </row>
    <row r="6213" spans="6:6">
      <c r="F6213" s="35"/>
    </row>
    <row r="6214" spans="6:6">
      <c r="F6214" s="35"/>
    </row>
    <row r="6215" spans="6:6">
      <c r="F6215" s="35"/>
    </row>
    <row r="6216" spans="6:6">
      <c r="F6216" s="35"/>
    </row>
    <row r="6217" spans="6:6">
      <c r="F6217" s="35"/>
    </row>
    <row r="6218" spans="6:6">
      <c r="F6218" s="35"/>
    </row>
    <row r="6219" spans="6:6">
      <c r="F6219" s="35"/>
    </row>
    <row r="6220" spans="6:6">
      <c r="F6220" s="35"/>
    </row>
    <row r="6221" spans="6:6">
      <c r="F6221" s="35"/>
    </row>
    <row r="6222" spans="6:6">
      <c r="F6222" s="35"/>
    </row>
    <row r="6223" spans="6:6">
      <c r="F6223" s="35"/>
    </row>
    <row r="6224" spans="6:6">
      <c r="F6224" s="35"/>
    </row>
    <row r="6225" spans="6:6">
      <c r="F6225" s="35"/>
    </row>
    <row r="6226" spans="6:6">
      <c r="F6226" s="35"/>
    </row>
    <row r="6227" spans="6:6">
      <c r="F6227" s="35"/>
    </row>
    <row r="6228" spans="6:6">
      <c r="F6228" s="35"/>
    </row>
    <row r="6229" spans="6:6">
      <c r="F6229" s="35"/>
    </row>
    <row r="6230" spans="6:6">
      <c r="F6230" s="35"/>
    </row>
    <row r="6231" spans="6:6">
      <c r="F6231" s="35"/>
    </row>
    <row r="6232" spans="6:6">
      <c r="F6232" s="35"/>
    </row>
    <row r="6233" spans="6:6">
      <c r="F6233" s="35"/>
    </row>
    <row r="6234" spans="6:6">
      <c r="F6234" s="35"/>
    </row>
    <row r="6235" spans="6:6">
      <c r="F6235" s="35"/>
    </row>
    <row r="6236" spans="6:6">
      <c r="F6236" s="35"/>
    </row>
    <row r="6237" spans="6:6">
      <c r="F6237" s="35"/>
    </row>
    <row r="6238" spans="6:6">
      <c r="F6238" s="35"/>
    </row>
    <row r="6239" spans="6:6">
      <c r="F6239" s="35"/>
    </row>
    <row r="6240" spans="6:6">
      <c r="F6240" s="35"/>
    </row>
    <row r="6241" spans="6:6">
      <c r="F6241" s="35"/>
    </row>
    <row r="6242" spans="6:6">
      <c r="F6242" s="35"/>
    </row>
    <row r="6243" spans="6:6">
      <c r="F6243" s="35"/>
    </row>
    <row r="6244" spans="6:6">
      <c r="F6244" s="35"/>
    </row>
    <row r="6245" spans="6:6">
      <c r="F6245" s="35"/>
    </row>
    <row r="6246" spans="6:6">
      <c r="F6246" s="35"/>
    </row>
    <row r="6247" spans="6:6">
      <c r="F6247" s="35"/>
    </row>
    <row r="6248" spans="6:6">
      <c r="F6248" s="35"/>
    </row>
    <row r="6249" spans="6:6">
      <c r="F6249" s="35"/>
    </row>
    <row r="6250" spans="6:6">
      <c r="F6250" s="35"/>
    </row>
    <row r="6251" spans="6:6">
      <c r="F6251" s="35"/>
    </row>
    <row r="6252" spans="6:6">
      <c r="F6252" s="35"/>
    </row>
    <row r="6253" spans="6:6">
      <c r="F6253" s="35"/>
    </row>
    <row r="6254" spans="6:6">
      <c r="F6254" s="35"/>
    </row>
    <row r="6255" spans="6:6">
      <c r="F6255" s="35"/>
    </row>
    <row r="6256" spans="6:6">
      <c r="F6256" s="35"/>
    </row>
    <row r="6257" spans="6:6">
      <c r="F6257" s="35"/>
    </row>
    <row r="6258" spans="6:6">
      <c r="F6258" s="35"/>
    </row>
    <row r="6259" spans="6:6">
      <c r="F6259" s="35"/>
    </row>
    <row r="6260" spans="6:6">
      <c r="F6260" s="35"/>
    </row>
    <row r="6261" spans="6:6">
      <c r="F6261" s="35"/>
    </row>
    <row r="6262" spans="6:6">
      <c r="F6262" s="35"/>
    </row>
    <row r="6263" spans="6:6">
      <c r="F6263" s="35"/>
    </row>
    <row r="6264" spans="6:6">
      <c r="F6264" s="35"/>
    </row>
    <row r="6265" spans="6:6">
      <c r="F6265" s="35"/>
    </row>
    <row r="6266" spans="6:6">
      <c r="F6266" s="35"/>
    </row>
    <row r="6267" spans="6:6">
      <c r="F6267" s="35"/>
    </row>
    <row r="6268" spans="6:6">
      <c r="F6268" s="35"/>
    </row>
    <row r="6269" spans="6:6">
      <c r="F6269" s="35"/>
    </row>
    <row r="6270" spans="6:6">
      <c r="F6270" s="35"/>
    </row>
    <row r="6271" spans="6:6">
      <c r="F6271" s="35"/>
    </row>
    <row r="6272" spans="6:6">
      <c r="F6272" s="35"/>
    </row>
    <row r="6273" spans="6:6">
      <c r="F6273" s="35"/>
    </row>
    <row r="6274" spans="6:6">
      <c r="F6274" s="35"/>
    </row>
    <row r="6275" spans="6:6">
      <c r="F6275" s="35"/>
    </row>
    <row r="6276" spans="6:6">
      <c r="F6276" s="35"/>
    </row>
    <row r="6277" spans="6:6">
      <c r="F6277" s="35"/>
    </row>
    <row r="6278" spans="6:6">
      <c r="F6278" s="35"/>
    </row>
    <row r="6279" spans="6:6">
      <c r="F6279" s="35"/>
    </row>
    <row r="6280" spans="6:6">
      <c r="F6280" s="35"/>
    </row>
    <row r="6281" spans="6:6">
      <c r="F6281" s="35"/>
    </row>
    <row r="6282" spans="6:6">
      <c r="F6282" s="35"/>
    </row>
    <row r="6283" spans="6:6">
      <c r="F6283" s="35"/>
    </row>
    <row r="6284" spans="6:6">
      <c r="F6284" s="35"/>
    </row>
    <row r="6285" spans="6:6">
      <c r="F6285" s="35"/>
    </row>
    <row r="6286" spans="6:6">
      <c r="F6286" s="35"/>
    </row>
    <row r="6287" spans="6:6">
      <c r="F6287" s="35"/>
    </row>
    <row r="6288" spans="6:6">
      <c r="F6288" s="35"/>
    </row>
    <row r="6289" spans="6:6">
      <c r="F6289" s="35"/>
    </row>
    <row r="6290" spans="6:6">
      <c r="F6290" s="35"/>
    </row>
    <row r="6291" spans="6:6">
      <c r="F6291" s="35"/>
    </row>
    <row r="6292" spans="6:6">
      <c r="F6292" s="35"/>
    </row>
    <row r="6293" spans="6:6">
      <c r="F6293" s="35"/>
    </row>
    <row r="6294" spans="6:6">
      <c r="F6294" s="35"/>
    </row>
    <row r="6295" spans="6:6">
      <c r="F6295" s="35"/>
    </row>
    <row r="6296" spans="6:6">
      <c r="F6296" s="35"/>
    </row>
    <row r="6297" spans="6:6">
      <c r="F6297" s="35"/>
    </row>
    <row r="6298" spans="6:6">
      <c r="F6298" s="35"/>
    </row>
    <row r="6299" spans="6:6">
      <c r="F6299" s="35"/>
    </row>
    <row r="6300" spans="6:6">
      <c r="F6300" s="35"/>
    </row>
    <row r="6301" spans="6:6">
      <c r="F6301" s="35"/>
    </row>
    <row r="6302" spans="6:6">
      <c r="F6302" s="35"/>
    </row>
    <row r="6303" spans="6:6">
      <c r="F6303" s="35"/>
    </row>
    <row r="6304" spans="6:6">
      <c r="F6304" s="35"/>
    </row>
    <row r="6305" spans="6:6">
      <c r="F6305" s="35"/>
    </row>
    <row r="6306" spans="6:6">
      <c r="F6306" s="35"/>
    </row>
    <row r="6307" spans="6:6">
      <c r="F6307" s="35"/>
    </row>
    <row r="6308" spans="6:6">
      <c r="F6308" s="35"/>
    </row>
    <row r="6309" spans="6:6">
      <c r="F6309" s="35"/>
    </row>
    <row r="6310" spans="6:6">
      <c r="F6310" s="35"/>
    </row>
    <row r="6311" spans="6:6">
      <c r="F6311" s="35"/>
    </row>
    <row r="6312" spans="6:6">
      <c r="F6312" s="35"/>
    </row>
    <row r="6313" spans="6:6">
      <c r="F6313" s="35"/>
    </row>
    <row r="6314" spans="6:6">
      <c r="F6314" s="35"/>
    </row>
    <row r="6315" spans="6:6">
      <c r="F6315" s="35"/>
    </row>
    <row r="6316" spans="6:6">
      <c r="F6316" s="35"/>
    </row>
    <row r="6317" spans="6:6">
      <c r="F6317" s="35"/>
    </row>
    <row r="6318" spans="6:6">
      <c r="F6318" s="35"/>
    </row>
    <row r="6319" spans="6:6">
      <c r="F6319" s="35"/>
    </row>
    <row r="6320" spans="6:6">
      <c r="F6320" s="35"/>
    </row>
    <row r="6321" spans="6:6">
      <c r="F6321" s="35"/>
    </row>
    <row r="6322" spans="6:6">
      <c r="F6322" s="35"/>
    </row>
    <row r="6323" spans="6:6">
      <c r="F6323" s="35"/>
    </row>
    <row r="6324" spans="6:6">
      <c r="F6324" s="35"/>
    </row>
    <row r="6325" spans="6:6">
      <c r="F6325" s="35"/>
    </row>
    <row r="6326" spans="6:6">
      <c r="F6326" s="35"/>
    </row>
    <row r="6327" spans="6:6">
      <c r="F6327" s="35"/>
    </row>
    <row r="6328" spans="6:6">
      <c r="F6328" s="35"/>
    </row>
    <row r="6329" spans="6:6">
      <c r="F6329" s="35"/>
    </row>
    <row r="6330" spans="6:6">
      <c r="F6330" s="35"/>
    </row>
    <row r="6331" spans="6:6">
      <c r="F6331" s="35"/>
    </row>
    <row r="6332" spans="6:6">
      <c r="F6332" s="35"/>
    </row>
    <row r="6333" spans="6:6">
      <c r="F6333" s="35"/>
    </row>
    <row r="6334" spans="6:6">
      <c r="F6334" s="35"/>
    </row>
    <row r="6335" spans="6:6">
      <c r="F6335" s="35"/>
    </row>
    <row r="6336" spans="6:6">
      <c r="F6336" s="35"/>
    </row>
    <row r="6337" spans="6:6">
      <c r="F6337" s="35"/>
    </row>
    <row r="6338" spans="6:6">
      <c r="F6338" s="35"/>
    </row>
    <row r="6339" spans="6:6">
      <c r="F6339" s="35"/>
    </row>
    <row r="6340" spans="6:6">
      <c r="F6340" s="35"/>
    </row>
    <row r="6341" spans="6:6">
      <c r="F6341" s="35"/>
    </row>
    <row r="6342" spans="6:6">
      <c r="F6342" s="35"/>
    </row>
    <row r="6343" spans="6:6">
      <c r="F6343" s="35"/>
    </row>
    <row r="6344" spans="6:6">
      <c r="F6344" s="35"/>
    </row>
    <row r="6345" spans="6:6">
      <c r="F6345" s="35"/>
    </row>
    <row r="6346" spans="6:6">
      <c r="F6346" s="35"/>
    </row>
    <row r="6347" spans="6:6">
      <c r="F6347" s="35"/>
    </row>
    <row r="6348" spans="6:6">
      <c r="F6348" s="35"/>
    </row>
    <row r="6349" spans="6:6">
      <c r="F6349" s="35"/>
    </row>
    <row r="6350" spans="6:6">
      <c r="F6350" s="35"/>
    </row>
    <row r="6351" spans="6:6">
      <c r="F6351" s="35"/>
    </row>
    <row r="6352" spans="6:6">
      <c r="F6352" s="35"/>
    </row>
    <row r="6353" spans="6:6">
      <c r="F6353" s="35"/>
    </row>
    <row r="6354" spans="6:6">
      <c r="F6354" s="35"/>
    </row>
    <row r="6355" spans="6:6">
      <c r="F6355" s="35"/>
    </row>
    <row r="6356" spans="6:6">
      <c r="F6356" s="35"/>
    </row>
    <row r="6357" spans="6:6">
      <c r="F6357" s="35"/>
    </row>
    <row r="6358" spans="6:6">
      <c r="F6358" s="35"/>
    </row>
    <row r="6359" spans="6:6">
      <c r="F6359" s="35"/>
    </row>
    <row r="6360" spans="6:6">
      <c r="F6360" s="35"/>
    </row>
    <row r="6361" spans="6:6">
      <c r="F6361" s="35"/>
    </row>
    <row r="6362" spans="6:6">
      <c r="F6362" s="35"/>
    </row>
    <row r="6363" spans="6:6">
      <c r="F6363" s="35"/>
    </row>
    <row r="6364" spans="6:6">
      <c r="F6364" s="35"/>
    </row>
    <row r="6365" spans="6:6">
      <c r="F6365" s="35"/>
    </row>
    <row r="6366" spans="6:6">
      <c r="F6366" s="35"/>
    </row>
    <row r="6367" spans="6:6">
      <c r="F6367" s="35"/>
    </row>
    <row r="6368" spans="6:6">
      <c r="F6368" s="35"/>
    </row>
    <row r="6369" spans="6:6">
      <c r="F6369" s="35"/>
    </row>
    <row r="6370" spans="6:6">
      <c r="F6370" s="35"/>
    </row>
    <row r="6371" spans="6:6">
      <c r="F6371" s="35"/>
    </row>
    <row r="6372" spans="6:6">
      <c r="F6372" s="35"/>
    </row>
    <row r="6373" spans="6:6">
      <c r="F6373" s="35"/>
    </row>
    <row r="6374" spans="6:6">
      <c r="F6374" s="35"/>
    </row>
    <row r="6375" spans="6:6">
      <c r="F6375" s="35"/>
    </row>
    <row r="6376" spans="6:6">
      <c r="F6376" s="35"/>
    </row>
    <row r="6377" spans="6:6">
      <c r="F6377" s="35"/>
    </row>
    <row r="6378" spans="6:6">
      <c r="F6378" s="35"/>
    </row>
    <row r="6379" spans="6:6">
      <c r="F6379" s="35"/>
    </row>
    <row r="6380" spans="6:6">
      <c r="F6380" s="35"/>
    </row>
    <row r="6381" spans="6:6">
      <c r="F6381" s="35"/>
    </row>
    <row r="6382" spans="6:6">
      <c r="F6382" s="35"/>
    </row>
    <row r="6383" spans="6:6">
      <c r="F6383" s="35"/>
    </row>
    <row r="6384" spans="6:6">
      <c r="F6384" s="35"/>
    </row>
    <row r="6385" spans="6:6">
      <c r="F6385" s="35"/>
    </row>
    <row r="6386" spans="6:6">
      <c r="F6386" s="35"/>
    </row>
    <row r="6387" spans="6:6">
      <c r="F6387" s="35"/>
    </row>
    <row r="6388" spans="6:6">
      <c r="F6388" s="35"/>
    </row>
    <row r="6389" spans="6:6">
      <c r="F6389" s="35"/>
    </row>
    <row r="6390" spans="6:6">
      <c r="F6390" s="35"/>
    </row>
    <row r="6391" spans="6:6">
      <c r="F6391" s="35"/>
    </row>
    <row r="6392" spans="6:6">
      <c r="F6392" s="35"/>
    </row>
    <row r="6393" spans="6:6">
      <c r="F6393" s="35"/>
    </row>
    <row r="6394" spans="6:6">
      <c r="F6394" s="35"/>
    </row>
    <row r="6395" spans="6:6">
      <c r="F6395" s="35"/>
    </row>
    <row r="6396" spans="6:6">
      <c r="F6396" s="35"/>
    </row>
    <row r="6397" spans="6:6">
      <c r="F6397" s="35"/>
    </row>
    <row r="6398" spans="6:6">
      <c r="F6398" s="35"/>
    </row>
    <row r="6399" spans="6:6">
      <c r="F6399" s="35"/>
    </row>
    <row r="6400" spans="6:6">
      <c r="F6400" s="35"/>
    </row>
    <row r="6401" spans="6:6">
      <c r="F6401" s="35"/>
    </row>
    <row r="6402" spans="6:6">
      <c r="F6402" s="35"/>
    </row>
    <row r="6403" spans="6:6">
      <c r="F6403" s="35"/>
    </row>
    <row r="6404" spans="6:6">
      <c r="F6404" s="35"/>
    </row>
    <row r="6405" spans="6:6">
      <c r="F6405" s="35"/>
    </row>
    <row r="6406" spans="6:6">
      <c r="F6406" s="35"/>
    </row>
    <row r="6407" spans="6:6">
      <c r="F6407" s="35"/>
    </row>
    <row r="6408" spans="6:6">
      <c r="F6408" s="35"/>
    </row>
    <row r="6409" spans="6:6">
      <c r="F6409" s="35"/>
    </row>
    <row r="6410" spans="6:6">
      <c r="F6410" s="35"/>
    </row>
    <row r="6411" spans="6:6">
      <c r="F6411" s="35"/>
    </row>
    <row r="6412" spans="6:6">
      <c r="F6412" s="35"/>
    </row>
    <row r="6413" spans="6:6">
      <c r="F6413" s="35"/>
    </row>
    <row r="6414" spans="6:6">
      <c r="F6414" s="35"/>
    </row>
    <row r="6415" spans="6:6">
      <c r="F6415" s="35"/>
    </row>
    <row r="6416" spans="6:6">
      <c r="F6416" s="35"/>
    </row>
    <row r="6417" spans="6:6">
      <c r="F6417" s="35"/>
    </row>
    <row r="6418" spans="6:6">
      <c r="F6418" s="35"/>
    </row>
    <row r="6419" spans="6:6">
      <c r="F6419" s="35"/>
    </row>
    <row r="6420" spans="6:6">
      <c r="F6420" s="35"/>
    </row>
    <row r="6421" spans="6:6">
      <c r="F6421" s="35"/>
    </row>
    <row r="6422" spans="6:6">
      <c r="F6422" s="35"/>
    </row>
    <row r="6423" spans="6:6">
      <c r="F6423" s="35"/>
    </row>
    <row r="6424" spans="6:6">
      <c r="F6424" s="35"/>
    </row>
    <row r="6425" spans="6:6">
      <c r="F6425" s="35"/>
    </row>
    <row r="6426" spans="6:6">
      <c r="F6426" s="35"/>
    </row>
    <row r="6427" spans="6:6">
      <c r="F6427" s="35"/>
    </row>
    <row r="6428" spans="6:6">
      <c r="F6428" s="35"/>
    </row>
    <row r="6429" spans="6:6">
      <c r="F6429" s="35"/>
    </row>
    <row r="6430" spans="6:6">
      <c r="F6430" s="35"/>
    </row>
    <row r="6431" spans="6:6">
      <c r="F6431" s="35"/>
    </row>
    <row r="6432" spans="6:6">
      <c r="F6432" s="35"/>
    </row>
    <row r="6433" spans="6:6">
      <c r="F6433" s="35"/>
    </row>
    <row r="6434" spans="6:6">
      <c r="F6434" s="35"/>
    </row>
    <row r="6435" spans="6:6">
      <c r="F6435" s="35"/>
    </row>
    <row r="6436" spans="6:6">
      <c r="F6436" s="35"/>
    </row>
    <row r="6437" spans="6:6">
      <c r="F6437" s="35"/>
    </row>
    <row r="6438" spans="6:6">
      <c r="F6438" s="35"/>
    </row>
    <row r="6439" spans="6:6">
      <c r="F6439" s="35"/>
    </row>
    <row r="6440" spans="6:6">
      <c r="F6440" s="35"/>
    </row>
    <row r="6441" spans="6:6">
      <c r="F6441" s="35"/>
    </row>
    <row r="6442" spans="6:6">
      <c r="F6442" s="35"/>
    </row>
    <row r="6443" spans="6:6">
      <c r="F6443" s="35"/>
    </row>
    <row r="6444" spans="6:6">
      <c r="F6444" s="35"/>
    </row>
    <row r="6445" spans="6:6">
      <c r="F6445" s="35"/>
    </row>
    <row r="6446" spans="6:6">
      <c r="F6446" s="35"/>
    </row>
    <row r="6447" spans="6:6">
      <c r="F6447" s="35"/>
    </row>
    <row r="6448" spans="6:6">
      <c r="F6448" s="35"/>
    </row>
    <row r="6449" spans="6:6">
      <c r="F6449" s="35"/>
    </row>
    <row r="6450" spans="6:6">
      <c r="F6450" s="35"/>
    </row>
    <row r="6451" spans="6:6">
      <c r="F6451" s="35"/>
    </row>
    <row r="6452" spans="6:6">
      <c r="F6452" s="35"/>
    </row>
    <row r="6453" spans="6:6">
      <c r="F6453" s="35"/>
    </row>
    <row r="6454" spans="6:6">
      <c r="F6454" s="35"/>
    </row>
    <row r="6455" spans="6:6">
      <c r="F6455" s="35"/>
    </row>
    <row r="6456" spans="6:6">
      <c r="F6456" s="35"/>
    </row>
    <row r="6457" spans="6:6">
      <c r="F6457" s="35"/>
    </row>
    <row r="6458" spans="6:6">
      <c r="F6458" s="35"/>
    </row>
    <row r="6459" spans="6:6">
      <c r="F6459" s="35"/>
    </row>
    <row r="6460" spans="6:6">
      <c r="F6460" s="35"/>
    </row>
    <row r="6461" spans="6:6">
      <c r="F6461" s="35"/>
    </row>
    <row r="6462" spans="6:6">
      <c r="F6462" s="35"/>
    </row>
    <row r="6463" spans="6:6">
      <c r="F6463" s="35"/>
    </row>
    <row r="6464" spans="6:6">
      <c r="F6464" s="35"/>
    </row>
    <row r="6465" spans="6:6">
      <c r="F6465" s="35"/>
    </row>
    <row r="6466" spans="6:6">
      <c r="F6466" s="35"/>
    </row>
    <row r="6467" spans="6:6">
      <c r="F6467" s="35"/>
    </row>
    <row r="6468" spans="6:6">
      <c r="F6468" s="35"/>
    </row>
    <row r="6469" spans="6:6">
      <c r="F6469" s="35"/>
    </row>
    <row r="6470" spans="6:6">
      <c r="F6470" s="35"/>
    </row>
    <row r="6471" spans="6:6">
      <c r="F6471" s="35"/>
    </row>
    <row r="6472" spans="6:6">
      <c r="F6472" s="35"/>
    </row>
    <row r="6473" spans="6:6">
      <c r="F6473" s="35"/>
    </row>
    <row r="6474" spans="6:6">
      <c r="F6474" s="35"/>
    </row>
    <row r="6475" spans="6:6">
      <c r="F6475" s="35"/>
    </row>
    <row r="6476" spans="6:6">
      <c r="F6476" s="35"/>
    </row>
    <row r="6477" spans="6:6">
      <c r="F6477" s="35"/>
    </row>
    <row r="6478" spans="6:6">
      <c r="F6478" s="35"/>
    </row>
    <row r="6479" spans="6:6">
      <c r="F6479" s="35"/>
    </row>
    <row r="6480" spans="6:6">
      <c r="F6480" s="35"/>
    </row>
    <row r="6481" spans="6:6">
      <c r="F6481" s="35"/>
    </row>
    <row r="6482" spans="6:6">
      <c r="F6482" s="35"/>
    </row>
    <row r="6483" spans="6:6">
      <c r="F6483" s="35"/>
    </row>
    <row r="6484" spans="6:6">
      <c r="F6484" s="35"/>
    </row>
    <row r="6485" spans="6:6">
      <c r="F6485" s="35"/>
    </row>
    <row r="6486" spans="6:6">
      <c r="F6486" s="35"/>
    </row>
    <row r="6487" spans="6:6">
      <c r="F6487" s="35"/>
    </row>
    <row r="6488" spans="6:6">
      <c r="F6488" s="35"/>
    </row>
    <row r="6489" spans="6:6">
      <c r="F6489" s="35"/>
    </row>
    <row r="6490" spans="6:6">
      <c r="F6490" s="35"/>
    </row>
    <row r="6491" spans="6:6">
      <c r="F6491" s="35"/>
    </row>
    <row r="6492" spans="6:6">
      <c r="F6492" s="35"/>
    </row>
    <row r="6493" spans="6:6">
      <c r="F6493" s="35"/>
    </row>
    <row r="6494" spans="6:6">
      <c r="F6494" s="35"/>
    </row>
    <row r="6495" spans="6:6">
      <c r="F6495" s="35"/>
    </row>
    <row r="6496" spans="6:6">
      <c r="F6496" s="35"/>
    </row>
    <row r="6497" spans="6:6">
      <c r="F6497" s="35"/>
    </row>
    <row r="6498" spans="6:6">
      <c r="F6498" s="35"/>
    </row>
    <row r="6499" spans="6:6">
      <c r="F6499" s="35"/>
    </row>
    <row r="6500" spans="6:6">
      <c r="F6500" s="35"/>
    </row>
    <row r="6501" spans="6:6">
      <c r="F6501" s="35"/>
    </row>
    <row r="6502" spans="6:6">
      <c r="F6502" s="35"/>
    </row>
    <row r="6503" spans="6:6">
      <c r="F6503" s="35"/>
    </row>
    <row r="6504" spans="6:6">
      <c r="F6504" s="35"/>
    </row>
    <row r="6505" spans="6:6">
      <c r="F6505" s="35"/>
    </row>
    <row r="6506" spans="6:6">
      <c r="F6506" s="35"/>
    </row>
    <row r="6507" spans="6:6">
      <c r="F6507" s="35"/>
    </row>
    <row r="6508" spans="6:6">
      <c r="F6508" s="35"/>
    </row>
    <row r="6509" spans="6:6">
      <c r="F6509" s="35"/>
    </row>
    <row r="6510" spans="6:6">
      <c r="F6510" s="35"/>
    </row>
    <row r="6511" spans="6:6">
      <c r="F6511" s="35"/>
    </row>
    <row r="6512" spans="6:6">
      <c r="F6512" s="35"/>
    </row>
    <row r="6513" spans="6:6">
      <c r="F6513" s="35"/>
    </row>
    <row r="6514" spans="6:6">
      <c r="F6514" s="35"/>
    </row>
    <row r="6515" spans="6:6">
      <c r="F6515" s="35"/>
    </row>
    <row r="6516" spans="6:6">
      <c r="F6516" s="35"/>
    </row>
    <row r="6517" spans="6:6">
      <c r="F6517" s="35"/>
    </row>
    <row r="6518" spans="6:6">
      <c r="F6518" s="35"/>
    </row>
    <row r="6519" spans="6:6">
      <c r="F6519" s="35"/>
    </row>
    <row r="6520" spans="6:6">
      <c r="F6520" s="35"/>
    </row>
    <row r="6521" spans="6:6">
      <c r="F6521" s="35"/>
    </row>
    <row r="6522" spans="6:6">
      <c r="F6522" s="35"/>
    </row>
    <row r="6523" spans="6:6">
      <c r="F6523" s="35"/>
    </row>
    <row r="6524" spans="6:6">
      <c r="F6524" s="35"/>
    </row>
    <row r="6525" spans="6:6">
      <c r="F6525" s="35"/>
    </row>
    <row r="6526" spans="6:6">
      <c r="F6526" s="35"/>
    </row>
    <row r="6527" spans="6:6">
      <c r="F6527" s="35"/>
    </row>
    <row r="6528" spans="6:6">
      <c r="F6528" s="35"/>
    </row>
    <row r="6529" spans="6:6">
      <c r="F6529" s="35"/>
    </row>
    <row r="6530" spans="6:6">
      <c r="F6530" s="35"/>
    </row>
    <row r="6531" spans="6:6">
      <c r="F6531" s="35"/>
    </row>
    <row r="6532" spans="6:6">
      <c r="F6532" s="35"/>
    </row>
    <row r="6533" spans="6:6">
      <c r="F6533" s="35"/>
    </row>
    <row r="6534" spans="6:6">
      <c r="F6534" s="35"/>
    </row>
    <row r="6535" spans="6:6">
      <c r="F6535" s="35"/>
    </row>
    <row r="6536" spans="6:6">
      <c r="F6536" s="35"/>
    </row>
    <row r="6537" spans="6:6">
      <c r="F6537" s="35"/>
    </row>
    <row r="6538" spans="6:6">
      <c r="F6538" s="35"/>
    </row>
    <row r="6539" spans="6:6">
      <c r="F6539" s="35"/>
    </row>
    <row r="6540" spans="6:6">
      <c r="F6540" s="35"/>
    </row>
    <row r="6541" spans="6:6">
      <c r="F6541" s="35"/>
    </row>
    <row r="6542" spans="6:6">
      <c r="F6542" s="35"/>
    </row>
    <row r="6543" spans="6:6">
      <c r="F6543" s="35"/>
    </row>
    <row r="6544" spans="6:6">
      <c r="F6544" s="35"/>
    </row>
    <row r="6545" spans="6:6">
      <c r="F6545" s="35"/>
    </row>
    <row r="6546" spans="6:6">
      <c r="F6546" s="35"/>
    </row>
    <row r="6547" spans="6:6">
      <c r="F6547" s="35"/>
    </row>
    <row r="6548" spans="6:6">
      <c r="F6548" s="35"/>
    </row>
    <row r="6549" spans="6:6">
      <c r="F6549" s="35"/>
    </row>
    <row r="6550" spans="6:6">
      <c r="F6550" s="35"/>
    </row>
    <row r="6551" spans="6:6">
      <c r="F6551" s="35"/>
    </row>
    <row r="6552" spans="6:6">
      <c r="F6552" s="35"/>
    </row>
    <row r="6553" spans="6:6">
      <c r="F6553" s="35"/>
    </row>
    <row r="6554" spans="6:6">
      <c r="F6554" s="35"/>
    </row>
    <row r="6555" spans="6:6">
      <c r="F6555" s="35"/>
    </row>
    <row r="6556" spans="6:6">
      <c r="F6556" s="35"/>
    </row>
    <row r="6557" spans="6:6">
      <c r="F6557" s="35"/>
    </row>
    <row r="6558" spans="6:6">
      <c r="F6558" s="35"/>
    </row>
    <row r="6559" spans="6:6">
      <c r="F6559" s="35"/>
    </row>
    <row r="6560" spans="6:6">
      <c r="F6560" s="35"/>
    </row>
    <row r="6561" spans="6:6">
      <c r="F6561" s="35"/>
    </row>
    <row r="6562" spans="6:6">
      <c r="F6562" s="35"/>
    </row>
    <row r="6563" spans="6:6">
      <c r="F6563" s="35"/>
    </row>
    <row r="6564" spans="6:6">
      <c r="F6564" s="35"/>
    </row>
    <row r="6565" spans="6:6">
      <c r="F6565" s="35"/>
    </row>
    <row r="6566" spans="6:6">
      <c r="F6566" s="35"/>
    </row>
    <row r="6567" spans="6:6">
      <c r="F6567" s="35"/>
    </row>
    <row r="6568" spans="6:6">
      <c r="F6568" s="35"/>
    </row>
    <row r="6569" spans="6:6">
      <c r="F6569" s="35"/>
    </row>
    <row r="6570" spans="6:6">
      <c r="F6570" s="35"/>
    </row>
    <row r="6571" spans="6:6">
      <c r="F6571" s="35"/>
    </row>
    <row r="6572" spans="6:6">
      <c r="F6572" s="35"/>
    </row>
    <row r="6573" spans="6:6">
      <c r="F6573" s="35"/>
    </row>
    <row r="6574" spans="6:6">
      <c r="F6574" s="35"/>
    </row>
    <row r="6575" spans="6:6">
      <c r="F6575" s="35"/>
    </row>
    <row r="6576" spans="6:6">
      <c r="F6576" s="35"/>
    </row>
    <row r="6577" spans="6:6">
      <c r="F6577" s="35"/>
    </row>
    <row r="6578" spans="6:6">
      <c r="F6578" s="35"/>
    </row>
    <row r="6579" spans="6:6">
      <c r="F6579" s="35"/>
    </row>
    <row r="6580" spans="6:6">
      <c r="F6580" s="35"/>
    </row>
    <row r="6581" spans="6:6">
      <c r="F6581" s="35"/>
    </row>
    <row r="6582" spans="6:6">
      <c r="F6582" s="35"/>
    </row>
    <row r="6583" spans="6:6">
      <c r="F6583" s="35"/>
    </row>
    <row r="6584" spans="6:6">
      <c r="F6584" s="35"/>
    </row>
    <row r="6585" spans="6:6">
      <c r="F6585" s="35"/>
    </row>
    <row r="6586" spans="6:6">
      <c r="F6586" s="35"/>
    </row>
    <row r="6587" spans="6:6">
      <c r="F6587" s="35"/>
    </row>
    <row r="6588" spans="6:6">
      <c r="F6588" s="35"/>
    </row>
    <row r="6589" spans="6:6">
      <c r="F6589" s="35"/>
    </row>
    <row r="6590" spans="6:6">
      <c r="F6590" s="35"/>
    </row>
    <row r="6591" spans="6:6">
      <c r="F6591" s="35"/>
    </row>
    <row r="6592" spans="6:6">
      <c r="F6592" s="35"/>
    </row>
    <row r="6593" spans="6:6">
      <c r="F6593" s="35"/>
    </row>
    <row r="6594" spans="6:6">
      <c r="F6594" s="35"/>
    </row>
    <row r="6595" spans="6:6">
      <c r="F6595" s="35"/>
    </row>
    <row r="6596" spans="6:6">
      <c r="F6596" s="35"/>
    </row>
    <row r="6597" spans="6:6">
      <c r="F6597" s="35"/>
    </row>
    <row r="6598" spans="6:6">
      <c r="F6598" s="35"/>
    </row>
    <row r="6599" spans="6:6">
      <c r="F6599" s="35"/>
    </row>
    <row r="6600" spans="6:6">
      <c r="F6600" s="35"/>
    </row>
    <row r="6601" spans="6:6">
      <c r="F6601" s="35"/>
    </row>
    <row r="6602" spans="6:6">
      <c r="F6602" s="35"/>
    </row>
    <row r="6603" spans="6:6">
      <c r="F6603" s="35"/>
    </row>
    <row r="6604" spans="6:6">
      <c r="F6604" s="35"/>
    </row>
    <row r="6605" spans="6:6">
      <c r="F6605" s="35"/>
    </row>
    <row r="6606" spans="6:6">
      <c r="F6606" s="35"/>
    </row>
    <row r="6607" spans="6:6">
      <c r="F6607" s="35"/>
    </row>
    <row r="6608" spans="6:6">
      <c r="F6608" s="35"/>
    </row>
    <row r="6609" spans="6:6">
      <c r="F6609" s="35"/>
    </row>
    <row r="6610" spans="6:6">
      <c r="F6610" s="35"/>
    </row>
    <row r="6611" spans="6:6">
      <c r="F6611" s="35"/>
    </row>
    <row r="6612" spans="6:6">
      <c r="F6612" s="35"/>
    </row>
    <row r="6613" spans="6:6">
      <c r="F6613" s="35"/>
    </row>
    <row r="6614" spans="6:6">
      <c r="F6614" s="35"/>
    </row>
    <row r="6615" spans="6:6">
      <c r="F6615" s="35"/>
    </row>
    <row r="6616" spans="6:6">
      <c r="F6616" s="35"/>
    </row>
    <row r="6617" spans="6:6">
      <c r="F6617" s="35"/>
    </row>
    <row r="6618" spans="6:6">
      <c r="F6618" s="35"/>
    </row>
    <row r="6619" spans="6:6">
      <c r="F6619" s="35"/>
    </row>
    <row r="6620" spans="6:6">
      <c r="F6620" s="35"/>
    </row>
    <row r="6621" spans="6:6">
      <c r="F6621" s="35"/>
    </row>
    <row r="6622" spans="6:6">
      <c r="F6622" s="35"/>
    </row>
    <row r="6623" spans="6:6">
      <c r="F6623" s="35"/>
    </row>
    <row r="6624" spans="6:6">
      <c r="F6624" s="35"/>
    </row>
    <row r="6625" spans="6:6">
      <c r="F6625" s="35"/>
    </row>
    <row r="6626" spans="6:6">
      <c r="F6626" s="35"/>
    </row>
    <row r="6627" spans="6:6">
      <c r="F6627" s="35"/>
    </row>
    <row r="6628" spans="6:6">
      <c r="F6628" s="35"/>
    </row>
    <row r="6629" spans="6:6">
      <c r="F6629" s="35"/>
    </row>
    <row r="6630" spans="6:6">
      <c r="F6630" s="35"/>
    </row>
    <row r="6631" spans="6:6">
      <c r="F6631" s="35"/>
    </row>
    <row r="6632" spans="6:6">
      <c r="F6632" s="35"/>
    </row>
    <row r="6633" spans="6:6">
      <c r="F6633" s="35"/>
    </row>
    <row r="6634" spans="6:6">
      <c r="F6634" s="35"/>
    </row>
    <row r="6635" spans="6:6">
      <c r="F6635" s="35"/>
    </row>
    <row r="6636" spans="6:6">
      <c r="F6636" s="35"/>
    </row>
    <row r="6637" spans="6:6">
      <c r="F6637" s="35"/>
    </row>
    <row r="6638" spans="6:6">
      <c r="F6638" s="35"/>
    </row>
    <row r="6639" spans="6:6">
      <c r="F6639" s="35"/>
    </row>
    <row r="6640" spans="6:6">
      <c r="F6640" s="35"/>
    </row>
    <row r="6641" spans="6:6">
      <c r="F6641" s="35"/>
    </row>
    <row r="6642" spans="6:6">
      <c r="F6642" s="35"/>
    </row>
    <row r="6643" spans="6:6">
      <c r="F6643" s="35"/>
    </row>
    <row r="6644" spans="6:6">
      <c r="F6644" s="35"/>
    </row>
    <row r="6645" spans="6:6">
      <c r="F6645" s="35"/>
    </row>
    <row r="6646" spans="6:6">
      <c r="F6646" s="35"/>
    </row>
    <row r="6647" spans="6:6">
      <c r="F6647" s="35"/>
    </row>
    <row r="6648" spans="6:6">
      <c r="F6648" s="35"/>
    </row>
    <row r="6649" spans="6:6">
      <c r="F6649" s="35"/>
    </row>
    <row r="6650" spans="6:6">
      <c r="F6650" s="35"/>
    </row>
    <row r="6651" spans="6:6">
      <c r="F6651" s="35"/>
    </row>
    <row r="6652" spans="6:6">
      <c r="F6652" s="35"/>
    </row>
    <row r="6653" spans="6:6">
      <c r="F6653" s="35"/>
    </row>
    <row r="6654" spans="6:6">
      <c r="F6654" s="35"/>
    </row>
    <row r="6655" spans="6:6">
      <c r="F6655" s="35"/>
    </row>
    <row r="6656" spans="6:6">
      <c r="F6656" s="35"/>
    </row>
    <row r="6657" spans="6:6">
      <c r="F6657" s="35"/>
    </row>
    <row r="6658" spans="6:6">
      <c r="F6658" s="35"/>
    </row>
    <row r="6659" spans="6:6">
      <c r="F6659" s="35"/>
    </row>
    <row r="6660" spans="6:6">
      <c r="F6660" s="35"/>
    </row>
    <row r="6661" spans="6:6">
      <c r="F6661" s="35"/>
    </row>
    <row r="6662" spans="6:6">
      <c r="F6662" s="35"/>
    </row>
    <row r="6663" spans="6:6">
      <c r="F6663" s="35"/>
    </row>
    <row r="6664" spans="6:6">
      <c r="F6664" s="35"/>
    </row>
    <row r="6665" spans="6:6">
      <c r="F6665" s="35"/>
    </row>
    <row r="6666" spans="6:6">
      <c r="F6666" s="35"/>
    </row>
    <row r="6667" spans="6:6">
      <c r="F6667" s="35"/>
    </row>
    <row r="6668" spans="6:6">
      <c r="F6668" s="35"/>
    </row>
    <row r="6669" spans="6:6">
      <c r="F6669" s="35"/>
    </row>
    <row r="6670" spans="6:6">
      <c r="F6670" s="35"/>
    </row>
    <row r="6671" spans="6:6">
      <c r="F6671" s="35"/>
    </row>
    <row r="6672" spans="6:6">
      <c r="F6672" s="35"/>
    </row>
    <row r="6673" spans="6:6">
      <c r="F6673" s="35"/>
    </row>
    <row r="6674" spans="6:6">
      <c r="F6674" s="35"/>
    </row>
    <row r="6675" spans="6:6">
      <c r="F6675" s="35"/>
    </row>
    <row r="6676" spans="6:6">
      <c r="F6676" s="35"/>
    </row>
    <row r="6677" spans="6:6">
      <c r="F6677" s="35"/>
    </row>
    <row r="6678" spans="6:6">
      <c r="F6678" s="35"/>
    </row>
    <row r="6679" spans="6:6">
      <c r="F6679" s="35"/>
    </row>
    <row r="6680" spans="6:6">
      <c r="F6680" s="35"/>
    </row>
    <row r="6681" spans="6:6">
      <c r="F6681" s="35"/>
    </row>
    <row r="6682" spans="6:6">
      <c r="F6682" s="35"/>
    </row>
    <row r="6683" spans="6:6">
      <c r="F6683" s="35"/>
    </row>
    <row r="6684" spans="6:6">
      <c r="F6684" s="35"/>
    </row>
    <row r="6685" spans="6:6">
      <c r="F6685" s="35"/>
    </row>
    <row r="6686" spans="6:6">
      <c r="F6686" s="35"/>
    </row>
    <row r="6687" spans="6:6">
      <c r="F6687" s="35"/>
    </row>
    <row r="6688" spans="6:6">
      <c r="F6688" s="35"/>
    </row>
    <row r="6689" spans="6:6">
      <c r="F6689" s="35"/>
    </row>
    <row r="6690" spans="6:6">
      <c r="F6690" s="35"/>
    </row>
    <row r="6691" spans="6:6">
      <c r="F6691" s="35"/>
    </row>
    <row r="6692" spans="6:6">
      <c r="F6692" s="35"/>
    </row>
    <row r="6693" spans="6:6">
      <c r="F6693" s="35"/>
    </row>
    <row r="6694" spans="6:6">
      <c r="F6694" s="35"/>
    </row>
    <row r="6695" spans="6:6">
      <c r="F6695" s="35"/>
    </row>
    <row r="6696" spans="6:6">
      <c r="F6696" s="35"/>
    </row>
    <row r="6697" spans="6:6">
      <c r="F6697" s="35"/>
    </row>
    <row r="6698" spans="6:6">
      <c r="F6698" s="35"/>
    </row>
    <row r="6699" spans="6:6">
      <c r="F6699" s="35"/>
    </row>
    <row r="6700" spans="6:6">
      <c r="F6700" s="35"/>
    </row>
    <row r="6701" spans="6:6">
      <c r="F6701" s="35"/>
    </row>
    <row r="6702" spans="6:6">
      <c r="F6702" s="35"/>
    </row>
    <row r="6703" spans="6:6">
      <c r="F6703" s="35"/>
    </row>
    <row r="6704" spans="6:6">
      <c r="F6704" s="35"/>
    </row>
    <row r="6705" spans="6:6">
      <c r="F6705" s="35"/>
    </row>
    <row r="6706" spans="6:6">
      <c r="F6706" s="35"/>
    </row>
    <row r="6707" spans="6:6">
      <c r="F6707" s="35"/>
    </row>
    <row r="6708" spans="6:6">
      <c r="F6708" s="35"/>
    </row>
    <row r="6709" spans="6:6">
      <c r="F6709" s="35"/>
    </row>
    <row r="6710" spans="6:6">
      <c r="F6710" s="35"/>
    </row>
    <row r="6711" spans="6:6">
      <c r="F6711" s="35"/>
    </row>
    <row r="6712" spans="6:6">
      <c r="F6712" s="35"/>
    </row>
    <row r="6713" spans="6:6">
      <c r="F6713" s="35"/>
    </row>
    <row r="6714" spans="6:6">
      <c r="F6714" s="35"/>
    </row>
    <row r="6715" spans="6:6">
      <c r="F6715" s="35"/>
    </row>
    <row r="6716" spans="6:6">
      <c r="F6716" s="35"/>
    </row>
    <row r="6717" spans="6:6">
      <c r="F6717" s="35"/>
    </row>
    <row r="6718" spans="6:6">
      <c r="F6718" s="35"/>
    </row>
    <row r="6719" spans="6:6">
      <c r="F6719" s="35"/>
    </row>
    <row r="6720" spans="6:6">
      <c r="F6720" s="35"/>
    </row>
    <row r="6721" spans="6:6">
      <c r="F6721" s="35"/>
    </row>
    <row r="6722" spans="6:6">
      <c r="F6722" s="35"/>
    </row>
    <row r="6723" spans="6:6">
      <c r="F6723" s="35"/>
    </row>
    <row r="6724" spans="6:6">
      <c r="F6724" s="35"/>
    </row>
    <row r="6725" spans="6:6">
      <c r="F6725" s="35"/>
    </row>
    <row r="6726" spans="6:6">
      <c r="F6726" s="35"/>
    </row>
    <row r="6727" spans="6:6">
      <c r="F6727" s="35"/>
    </row>
    <row r="6728" spans="6:6">
      <c r="F6728" s="35"/>
    </row>
    <row r="6729" spans="6:6">
      <c r="F6729" s="35"/>
    </row>
    <row r="6730" spans="6:6">
      <c r="F6730" s="35"/>
    </row>
    <row r="6731" spans="6:6">
      <c r="F6731" s="35"/>
    </row>
    <row r="6732" spans="6:6">
      <c r="F6732" s="35"/>
    </row>
    <row r="6733" spans="6:6">
      <c r="F6733" s="35"/>
    </row>
    <row r="6734" spans="6:6">
      <c r="F6734" s="35"/>
    </row>
    <row r="6735" spans="6:6">
      <c r="F6735" s="35"/>
    </row>
    <row r="6736" spans="6:6">
      <c r="F6736" s="35"/>
    </row>
    <row r="6737" spans="6:6">
      <c r="F6737" s="35"/>
    </row>
    <row r="6738" spans="6:6">
      <c r="F6738" s="35"/>
    </row>
    <row r="6739" spans="6:6">
      <c r="F6739" s="35"/>
    </row>
    <row r="6740" spans="6:6">
      <c r="F6740" s="35"/>
    </row>
    <row r="6741" spans="6:6">
      <c r="F6741" s="35"/>
    </row>
    <row r="6742" spans="6:6">
      <c r="F6742" s="35"/>
    </row>
    <row r="6743" spans="6:6">
      <c r="F6743" s="35"/>
    </row>
    <row r="6744" spans="6:6">
      <c r="F6744" s="35"/>
    </row>
    <row r="6745" spans="6:6">
      <c r="F6745" s="35"/>
    </row>
    <row r="6746" spans="6:6">
      <c r="F6746" s="35"/>
    </row>
    <row r="6747" spans="6:6">
      <c r="F6747" s="35"/>
    </row>
    <row r="6748" spans="6:6">
      <c r="F6748" s="35"/>
    </row>
    <row r="6749" spans="6:6">
      <c r="F6749" s="35"/>
    </row>
    <row r="6750" spans="6:6">
      <c r="F6750" s="35"/>
    </row>
    <row r="6751" spans="6:6">
      <c r="F6751" s="35"/>
    </row>
    <row r="6752" spans="6:6">
      <c r="F6752" s="35"/>
    </row>
    <row r="6753" spans="6:6">
      <c r="F6753" s="35"/>
    </row>
    <row r="6754" spans="6:6">
      <c r="F6754" s="35"/>
    </row>
    <row r="6755" spans="6:6">
      <c r="F6755" s="35"/>
    </row>
    <row r="6756" spans="6:6">
      <c r="F6756" s="35"/>
    </row>
    <row r="6757" spans="6:6">
      <c r="F6757" s="35"/>
    </row>
    <row r="6758" spans="6:6">
      <c r="F6758" s="35"/>
    </row>
    <row r="6759" spans="6:6">
      <c r="F6759" s="35"/>
    </row>
    <row r="6760" spans="6:6">
      <c r="F6760" s="35"/>
    </row>
    <row r="6761" spans="6:6">
      <c r="F6761" s="35"/>
    </row>
    <row r="6762" spans="6:6">
      <c r="F6762" s="35"/>
    </row>
    <row r="6763" spans="6:6">
      <c r="F6763" s="35"/>
    </row>
    <row r="6764" spans="6:6">
      <c r="F6764" s="35"/>
    </row>
    <row r="6765" spans="6:6">
      <c r="F6765" s="35"/>
    </row>
    <row r="6766" spans="6:6">
      <c r="F6766" s="35"/>
    </row>
    <row r="6767" spans="6:6">
      <c r="F6767" s="35"/>
    </row>
    <row r="6768" spans="6:6">
      <c r="F6768" s="35"/>
    </row>
    <row r="6769" spans="6:6">
      <c r="F6769" s="35"/>
    </row>
    <row r="6770" spans="6:6">
      <c r="F6770" s="35"/>
    </row>
    <row r="6771" spans="6:6">
      <c r="F6771" s="35"/>
    </row>
    <row r="6772" spans="6:6">
      <c r="F6772" s="35"/>
    </row>
    <row r="6773" spans="6:6">
      <c r="F6773" s="35"/>
    </row>
    <row r="6774" spans="6:6">
      <c r="F6774" s="35"/>
    </row>
    <row r="6775" spans="6:6">
      <c r="F6775" s="35"/>
    </row>
    <row r="6776" spans="6:6">
      <c r="F6776" s="35"/>
    </row>
    <row r="6777" spans="6:6">
      <c r="F6777" s="35"/>
    </row>
    <row r="6778" spans="6:6">
      <c r="F6778" s="35"/>
    </row>
    <row r="6779" spans="6:6">
      <c r="F6779" s="35"/>
    </row>
    <row r="6780" spans="6:6">
      <c r="F6780" s="35"/>
    </row>
    <row r="6781" spans="6:6">
      <c r="F6781" s="35"/>
    </row>
    <row r="6782" spans="6:6">
      <c r="F6782" s="35"/>
    </row>
    <row r="6783" spans="6:6">
      <c r="F6783" s="35"/>
    </row>
    <row r="6784" spans="6:6">
      <c r="F6784" s="35"/>
    </row>
    <row r="6785" spans="6:6">
      <c r="F6785" s="35"/>
    </row>
    <row r="6786" spans="6:6">
      <c r="F6786" s="35"/>
    </row>
    <row r="6787" spans="6:6">
      <c r="F6787" s="35"/>
    </row>
    <row r="6788" spans="6:6">
      <c r="F6788" s="35"/>
    </row>
    <row r="6789" spans="6:6">
      <c r="F6789" s="35"/>
    </row>
    <row r="6790" spans="6:6">
      <c r="F6790" s="35"/>
    </row>
    <row r="6791" spans="6:6">
      <c r="F6791" s="35"/>
    </row>
    <row r="6792" spans="6:6">
      <c r="F6792" s="35"/>
    </row>
    <row r="6793" spans="6:6">
      <c r="F6793" s="35"/>
    </row>
    <row r="6794" spans="6:6">
      <c r="F6794" s="35"/>
    </row>
    <row r="6795" spans="6:6">
      <c r="F6795" s="35"/>
    </row>
    <row r="6796" spans="6:6">
      <c r="F6796" s="35"/>
    </row>
    <row r="6797" spans="6:6">
      <c r="F6797" s="35"/>
    </row>
    <row r="6798" spans="6:6">
      <c r="F6798" s="35"/>
    </row>
    <row r="6799" spans="6:6">
      <c r="F6799" s="35"/>
    </row>
    <row r="6800" spans="6:6">
      <c r="F6800" s="35"/>
    </row>
    <row r="6801" spans="6:6">
      <c r="F6801" s="35"/>
    </row>
    <row r="6802" spans="6:6">
      <c r="F6802" s="35"/>
    </row>
    <row r="6803" spans="6:6">
      <c r="F6803" s="35"/>
    </row>
    <row r="6804" spans="6:6">
      <c r="F6804" s="35"/>
    </row>
    <row r="6805" spans="6:6">
      <c r="F6805" s="35"/>
    </row>
    <row r="6806" spans="6:6">
      <c r="F6806" s="35"/>
    </row>
    <row r="6807" spans="6:6">
      <c r="F6807" s="35"/>
    </row>
    <row r="6808" spans="6:6">
      <c r="F6808" s="35"/>
    </row>
    <row r="6809" spans="6:6">
      <c r="F6809" s="35"/>
    </row>
    <row r="6810" spans="6:6">
      <c r="F6810" s="35"/>
    </row>
    <row r="6811" spans="6:6">
      <c r="F6811" s="35"/>
    </row>
    <row r="6812" spans="6:6">
      <c r="F6812" s="35"/>
    </row>
    <row r="6813" spans="6:6">
      <c r="F6813" s="35"/>
    </row>
    <row r="6814" spans="6:6">
      <c r="F6814" s="35"/>
    </row>
    <row r="6815" spans="6:6">
      <c r="F6815" s="35"/>
    </row>
    <row r="6816" spans="6:6">
      <c r="F6816" s="35"/>
    </row>
    <row r="6817" spans="6:6">
      <c r="F6817" s="35"/>
    </row>
    <row r="6818" spans="6:6">
      <c r="F6818" s="35"/>
    </row>
    <row r="6819" spans="6:6">
      <c r="F6819" s="35"/>
    </row>
    <row r="6820" spans="6:6">
      <c r="F6820" s="35"/>
    </row>
    <row r="6821" spans="6:6">
      <c r="F6821" s="35"/>
    </row>
    <row r="6822" spans="6:6">
      <c r="F6822" s="35"/>
    </row>
    <row r="6823" spans="6:6">
      <c r="F6823" s="35"/>
    </row>
    <row r="6824" spans="6:6">
      <c r="F6824" s="35"/>
    </row>
    <row r="6825" spans="6:6">
      <c r="F6825" s="35"/>
    </row>
    <row r="6826" spans="6:6">
      <c r="F6826" s="35"/>
    </row>
    <row r="6827" spans="6:6">
      <c r="F6827" s="35"/>
    </row>
    <row r="6828" spans="6:6">
      <c r="F6828" s="35"/>
    </row>
    <row r="6829" spans="6:6">
      <c r="F6829" s="35"/>
    </row>
    <row r="6830" spans="6:6">
      <c r="F6830" s="35"/>
    </row>
    <row r="6831" spans="6:6">
      <c r="F6831" s="35"/>
    </row>
    <row r="6832" spans="6:6">
      <c r="F6832" s="35"/>
    </row>
    <row r="6833" spans="6:6">
      <c r="F6833" s="35"/>
    </row>
    <row r="6834" spans="6:6">
      <c r="F6834" s="35"/>
    </row>
    <row r="6835" spans="6:6">
      <c r="F6835" s="35"/>
    </row>
    <row r="6836" spans="6:6">
      <c r="F6836" s="35"/>
    </row>
    <row r="6837" spans="6:6">
      <c r="F6837" s="35"/>
    </row>
    <row r="6838" spans="6:6">
      <c r="F6838" s="35"/>
    </row>
    <row r="6839" spans="6:6">
      <c r="F6839" s="35"/>
    </row>
    <row r="6840" spans="6:6">
      <c r="F6840" s="35"/>
    </row>
    <row r="6841" spans="6:6">
      <c r="F6841" s="35"/>
    </row>
    <row r="6842" spans="6:6">
      <c r="F6842" s="35"/>
    </row>
    <row r="6843" spans="6:6">
      <c r="F6843" s="35"/>
    </row>
    <row r="6844" spans="6:6">
      <c r="F6844" s="35"/>
    </row>
    <row r="6845" spans="6:6">
      <c r="F6845" s="35"/>
    </row>
    <row r="6846" spans="6:6">
      <c r="F6846" s="35"/>
    </row>
    <row r="6847" spans="6:6">
      <c r="F6847" s="35"/>
    </row>
    <row r="6848" spans="6:6">
      <c r="F6848" s="35"/>
    </row>
    <row r="6849" spans="6:6">
      <c r="F6849" s="35"/>
    </row>
    <row r="6850" spans="6:6">
      <c r="F6850" s="35"/>
    </row>
    <row r="6851" spans="6:6">
      <c r="F6851" s="35"/>
    </row>
    <row r="6852" spans="6:6">
      <c r="F6852" s="35"/>
    </row>
    <row r="6853" spans="6:6">
      <c r="F6853" s="35"/>
    </row>
    <row r="6854" spans="6:6">
      <c r="F6854" s="35"/>
    </row>
    <row r="6855" spans="6:6">
      <c r="F6855" s="35"/>
    </row>
    <row r="6856" spans="6:6">
      <c r="F6856" s="35"/>
    </row>
    <row r="6857" spans="6:6">
      <c r="F6857" s="35"/>
    </row>
    <row r="6858" spans="6:6">
      <c r="F6858" s="35"/>
    </row>
    <row r="6859" spans="6:6">
      <c r="F6859" s="35"/>
    </row>
    <row r="6860" spans="6:6">
      <c r="F6860" s="35"/>
    </row>
    <row r="6861" spans="6:6">
      <c r="F6861" s="35"/>
    </row>
    <row r="6862" spans="6:6">
      <c r="F6862" s="35"/>
    </row>
    <row r="6863" spans="6:6">
      <c r="F6863" s="35"/>
    </row>
    <row r="6864" spans="6:6">
      <c r="F6864" s="35"/>
    </row>
    <row r="6865" spans="6:6">
      <c r="F6865" s="35"/>
    </row>
    <row r="6866" spans="6:6">
      <c r="F6866" s="35"/>
    </row>
    <row r="6867" spans="6:6">
      <c r="F6867" s="35"/>
    </row>
    <row r="6868" spans="6:6">
      <c r="F6868" s="35"/>
    </row>
    <row r="6869" spans="6:6">
      <c r="F6869" s="35"/>
    </row>
    <row r="6870" spans="6:6">
      <c r="F6870" s="35"/>
    </row>
    <row r="6871" spans="6:6">
      <c r="F6871" s="35"/>
    </row>
    <row r="6872" spans="6:6">
      <c r="F6872" s="35"/>
    </row>
    <row r="6873" spans="6:6">
      <c r="F6873" s="35"/>
    </row>
    <row r="6874" spans="6:6">
      <c r="F6874" s="35"/>
    </row>
    <row r="6875" spans="6:6">
      <c r="F6875" s="35"/>
    </row>
    <row r="6876" spans="6:6">
      <c r="F6876" s="35"/>
    </row>
    <row r="6877" spans="6:6">
      <c r="F6877" s="35"/>
    </row>
    <row r="6878" spans="6:6">
      <c r="F6878" s="35"/>
    </row>
    <row r="6879" spans="6:6">
      <c r="F6879" s="35"/>
    </row>
    <row r="6880" spans="6:6">
      <c r="F6880" s="35"/>
    </row>
    <row r="6881" spans="6:6">
      <c r="F6881" s="35"/>
    </row>
    <row r="6882" spans="6:6">
      <c r="F6882" s="35"/>
    </row>
    <row r="6883" spans="6:6">
      <c r="F6883" s="35"/>
    </row>
    <row r="6884" spans="6:6">
      <c r="F6884" s="35"/>
    </row>
    <row r="6885" spans="6:6">
      <c r="F6885" s="35"/>
    </row>
    <row r="6886" spans="6:6">
      <c r="F6886" s="35"/>
    </row>
    <row r="6887" spans="6:6">
      <c r="F6887" s="35"/>
    </row>
    <row r="6888" spans="6:6">
      <c r="F6888" s="35"/>
    </row>
    <row r="6889" spans="6:6">
      <c r="F6889" s="35"/>
    </row>
    <row r="6890" spans="6:6">
      <c r="F6890" s="35"/>
    </row>
    <row r="6891" spans="6:6">
      <c r="F6891" s="35"/>
    </row>
    <row r="6892" spans="6:6">
      <c r="F6892" s="35"/>
    </row>
    <row r="6893" spans="6:6">
      <c r="F6893" s="35"/>
    </row>
    <row r="6894" spans="6:6">
      <c r="F6894" s="35"/>
    </row>
    <row r="6895" spans="6:6">
      <c r="F6895" s="35"/>
    </row>
    <row r="6896" spans="6:6">
      <c r="F6896" s="35"/>
    </row>
    <row r="6897" spans="6:6">
      <c r="F6897" s="35"/>
    </row>
    <row r="6898" spans="6:6">
      <c r="F6898" s="35"/>
    </row>
    <row r="6899" spans="6:6">
      <c r="F6899" s="35"/>
    </row>
    <row r="6900" spans="6:6">
      <c r="F6900" s="35"/>
    </row>
    <row r="6901" spans="6:6">
      <c r="F6901" s="35"/>
    </row>
    <row r="6902" spans="6:6">
      <c r="F6902" s="35"/>
    </row>
    <row r="6903" spans="6:6">
      <c r="F6903" s="35"/>
    </row>
    <row r="6904" spans="6:6">
      <c r="F6904" s="35"/>
    </row>
    <row r="6905" spans="6:6">
      <c r="F6905" s="35"/>
    </row>
    <row r="6906" spans="6:6">
      <c r="F6906" s="35"/>
    </row>
    <row r="6907" spans="6:6">
      <c r="F6907" s="35"/>
    </row>
    <row r="6908" spans="6:6">
      <c r="F6908" s="35"/>
    </row>
    <row r="6909" spans="6:6">
      <c r="F6909" s="35"/>
    </row>
    <row r="6910" spans="6:6">
      <c r="F6910" s="35"/>
    </row>
    <row r="6911" spans="6:6">
      <c r="F6911" s="35"/>
    </row>
    <row r="6912" spans="6:6">
      <c r="F6912" s="35"/>
    </row>
    <row r="6913" spans="6:6">
      <c r="F6913" s="35"/>
    </row>
    <row r="6914" spans="6:6">
      <c r="F6914" s="35"/>
    </row>
    <row r="6915" spans="6:6">
      <c r="F6915" s="35"/>
    </row>
    <row r="6916" spans="6:6">
      <c r="F6916" s="35"/>
    </row>
    <row r="6917" spans="6:6">
      <c r="F6917" s="35"/>
    </row>
    <row r="6918" spans="6:6">
      <c r="F6918" s="35"/>
    </row>
    <row r="6919" spans="6:6">
      <c r="F6919" s="35"/>
    </row>
    <row r="6920" spans="6:6">
      <c r="F6920" s="35"/>
    </row>
    <row r="6921" spans="6:6">
      <c r="F6921" s="35"/>
    </row>
    <row r="6922" spans="6:6">
      <c r="F6922" s="35"/>
    </row>
    <row r="6923" spans="6:6">
      <c r="F6923" s="35"/>
    </row>
    <row r="6924" spans="6:6">
      <c r="F6924" s="35"/>
    </row>
    <row r="6925" spans="6:6">
      <c r="F6925" s="35"/>
    </row>
    <row r="6926" spans="6:6">
      <c r="F6926" s="35"/>
    </row>
    <row r="6927" spans="6:6">
      <c r="F6927" s="35"/>
    </row>
    <row r="6928" spans="6:6">
      <c r="F6928" s="35"/>
    </row>
    <row r="6929" spans="6:6">
      <c r="F6929" s="35"/>
    </row>
    <row r="6930" spans="6:6">
      <c r="F6930" s="35"/>
    </row>
    <row r="6931" spans="6:6">
      <c r="F6931" s="35"/>
    </row>
    <row r="6932" spans="6:6">
      <c r="F6932" s="35"/>
    </row>
    <row r="6933" spans="6:6">
      <c r="F6933" s="35"/>
    </row>
    <row r="6934" spans="6:6">
      <c r="F6934" s="35"/>
    </row>
    <row r="6935" spans="6:6">
      <c r="F6935" s="35"/>
    </row>
    <row r="6936" spans="6:6">
      <c r="F6936" s="35"/>
    </row>
    <row r="6937" spans="6:6">
      <c r="F6937" s="35"/>
    </row>
    <row r="6938" spans="6:6">
      <c r="F6938" s="35"/>
    </row>
    <row r="6939" spans="6:6">
      <c r="F6939" s="35"/>
    </row>
    <row r="6940" spans="6:6">
      <c r="F6940" s="35"/>
    </row>
    <row r="6941" spans="6:6">
      <c r="F6941" s="35"/>
    </row>
    <row r="6942" spans="6:6">
      <c r="F6942" s="35"/>
    </row>
    <row r="6943" spans="6:6">
      <c r="F6943" s="35"/>
    </row>
    <row r="6944" spans="6:6">
      <c r="F6944" s="35"/>
    </row>
    <row r="6945" spans="6:6">
      <c r="F6945" s="35"/>
    </row>
    <row r="6946" spans="6:6">
      <c r="F6946" s="35"/>
    </row>
    <row r="6947" spans="6:6">
      <c r="F6947" s="35"/>
    </row>
    <row r="6948" spans="6:6">
      <c r="F6948" s="35"/>
    </row>
    <row r="6949" spans="6:6">
      <c r="F6949" s="35"/>
    </row>
    <row r="6950" spans="6:6">
      <c r="F6950" s="35"/>
    </row>
    <row r="6951" spans="6:6">
      <c r="F6951" s="35"/>
    </row>
    <row r="6952" spans="6:6">
      <c r="F6952" s="35"/>
    </row>
    <row r="6953" spans="6:6">
      <c r="F6953" s="35"/>
    </row>
    <row r="6954" spans="6:6">
      <c r="F6954" s="35"/>
    </row>
    <row r="6955" spans="6:6">
      <c r="F6955" s="35"/>
    </row>
    <row r="6956" spans="6:6">
      <c r="F6956" s="35"/>
    </row>
    <row r="6957" spans="6:6">
      <c r="F6957" s="35"/>
    </row>
    <row r="6958" spans="6:6">
      <c r="F6958" s="35"/>
    </row>
    <row r="6959" spans="6:6">
      <c r="F6959" s="35"/>
    </row>
    <row r="6960" spans="6:6">
      <c r="F6960" s="35"/>
    </row>
    <row r="6961" spans="6:6">
      <c r="F6961" s="35"/>
    </row>
    <row r="6962" spans="6:6">
      <c r="F6962" s="35"/>
    </row>
    <row r="6963" spans="6:6">
      <c r="F6963" s="35"/>
    </row>
    <row r="6964" spans="6:6">
      <c r="F6964" s="35"/>
    </row>
    <row r="6965" spans="6:6">
      <c r="F6965" s="35"/>
    </row>
    <row r="6966" spans="6:6">
      <c r="F6966" s="35"/>
    </row>
    <row r="6967" spans="6:6">
      <c r="F6967" s="35"/>
    </row>
    <row r="6968" spans="6:6">
      <c r="F6968" s="35"/>
    </row>
    <row r="6969" spans="6:6">
      <c r="F6969" s="35"/>
    </row>
    <row r="6970" spans="6:6">
      <c r="F6970" s="35"/>
    </row>
    <row r="6971" spans="6:6">
      <c r="F6971" s="35"/>
    </row>
    <row r="6972" spans="6:6">
      <c r="F6972" s="35"/>
    </row>
    <row r="6973" spans="6:6">
      <c r="F6973" s="35"/>
    </row>
    <row r="6974" spans="6:6">
      <c r="F6974" s="35"/>
    </row>
    <row r="6975" spans="6:6">
      <c r="F6975" s="35"/>
    </row>
    <row r="6976" spans="6:6">
      <c r="F6976" s="35"/>
    </row>
    <row r="6977" spans="6:6">
      <c r="F6977" s="35"/>
    </row>
    <row r="6978" spans="6:6">
      <c r="F6978" s="35"/>
    </row>
    <row r="6979" spans="6:6">
      <c r="F6979" s="35"/>
    </row>
    <row r="6980" spans="6:6">
      <c r="F6980" s="35"/>
    </row>
    <row r="6981" spans="6:6">
      <c r="F6981" s="35"/>
    </row>
    <row r="6982" spans="6:6">
      <c r="F6982" s="35"/>
    </row>
    <row r="6983" spans="6:6">
      <c r="F6983" s="35"/>
    </row>
    <row r="6984" spans="6:6">
      <c r="F6984" s="35"/>
    </row>
    <row r="6985" spans="6:6">
      <c r="F6985" s="35"/>
    </row>
    <row r="6986" spans="6:6">
      <c r="F6986" s="35"/>
    </row>
    <row r="6987" spans="6:6">
      <c r="F6987" s="35"/>
    </row>
    <row r="6988" spans="6:6">
      <c r="F6988" s="35"/>
    </row>
    <row r="6989" spans="6:6">
      <c r="F6989" s="35"/>
    </row>
    <row r="6990" spans="6:6">
      <c r="F6990" s="35"/>
    </row>
    <row r="6991" spans="6:6">
      <c r="F6991" s="35"/>
    </row>
    <row r="6992" spans="6:6">
      <c r="F6992" s="35"/>
    </row>
    <row r="6993" spans="6:6">
      <c r="F6993" s="35"/>
    </row>
    <row r="6994" spans="6:6">
      <c r="F6994" s="35"/>
    </row>
    <row r="6995" spans="6:6">
      <c r="F6995" s="35"/>
    </row>
    <row r="6996" spans="6:6">
      <c r="F6996" s="35"/>
    </row>
    <row r="6997" spans="6:6">
      <c r="F6997" s="35"/>
    </row>
    <row r="6998" spans="6:6">
      <c r="F6998" s="35"/>
    </row>
    <row r="6999" spans="6:6">
      <c r="F6999" s="35"/>
    </row>
    <row r="7000" spans="6:6">
      <c r="F7000" s="35"/>
    </row>
    <row r="7001" spans="6:6">
      <c r="F7001" s="35"/>
    </row>
    <row r="7002" spans="6:6">
      <c r="F7002" s="35"/>
    </row>
    <row r="7003" spans="6:6">
      <c r="F7003" s="35"/>
    </row>
    <row r="7004" spans="6:6">
      <c r="F7004" s="35"/>
    </row>
    <row r="7005" spans="6:6">
      <c r="F7005" s="35"/>
    </row>
    <row r="7006" spans="6:6">
      <c r="F7006" s="35"/>
    </row>
    <row r="7007" spans="6:6">
      <c r="F7007" s="35"/>
    </row>
    <row r="7008" spans="6:6">
      <c r="F7008" s="35"/>
    </row>
    <row r="7009" spans="6:6">
      <c r="F7009" s="35"/>
    </row>
    <row r="7010" spans="6:6">
      <c r="F7010" s="35"/>
    </row>
    <row r="7011" spans="6:6">
      <c r="F7011" s="35"/>
    </row>
    <row r="7012" spans="6:6">
      <c r="F7012" s="35"/>
    </row>
    <row r="7013" spans="6:6">
      <c r="F7013" s="35"/>
    </row>
    <row r="7014" spans="6:6">
      <c r="F7014" s="35"/>
    </row>
    <row r="7015" spans="6:6">
      <c r="F7015" s="35"/>
    </row>
    <row r="7016" spans="6:6">
      <c r="F7016" s="35"/>
    </row>
    <row r="7017" spans="6:6">
      <c r="F7017" s="35"/>
    </row>
    <row r="7018" spans="6:6">
      <c r="F7018" s="35"/>
    </row>
    <row r="7019" spans="6:6">
      <c r="F7019" s="35"/>
    </row>
    <row r="7020" spans="6:6">
      <c r="F7020" s="35"/>
    </row>
    <row r="7021" spans="6:6">
      <c r="F7021" s="35"/>
    </row>
    <row r="7022" spans="6:6">
      <c r="F7022" s="35"/>
    </row>
    <row r="7023" spans="6:6">
      <c r="F7023" s="35"/>
    </row>
    <row r="7024" spans="6:6">
      <c r="F7024" s="35"/>
    </row>
    <row r="7025" spans="6:6">
      <c r="F7025" s="35"/>
    </row>
    <row r="7026" spans="6:6">
      <c r="F7026" s="35"/>
    </row>
    <row r="7027" spans="6:6">
      <c r="F7027" s="35"/>
    </row>
    <row r="7028" spans="6:6">
      <c r="F7028" s="35"/>
    </row>
    <row r="7029" spans="6:6">
      <c r="F7029" s="35"/>
    </row>
    <row r="7030" spans="6:6">
      <c r="F7030" s="35"/>
    </row>
    <row r="7031" spans="6:6">
      <c r="F7031" s="35"/>
    </row>
    <row r="7032" spans="6:6">
      <c r="F7032" s="35"/>
    </row>
    <row r="7033" spans="6:6">
      <c r="F7033" s="35"/>
    </row>
    <row r="7034" spans="6:6">
      <c r="F7034" s="35"/>
    </row>
    <row r="7035" spans="6:6">
      <c r="F7035" s="35"/>
    </row>
    <row r="7036" spans="6:6">
      <c r="F7036" s="35"/>
    </row>
    <row r="7037" spans="6:6">
      <c r="F7037" s="35"/>
    </row>
    <row r="7038" spans="6:6">
      <c r="F7038" s="35"/>
    </row>
    <row r="7039" spans="6:6">
      <c r="F7039" s="35"/>
    </row>
    <row r="7040" spans="6:6">
      <c r="F7040" s="35"/>
    </row>
    <row r="7041" spans="6:6">
      <c r="F7041" s="35"/>
    </row>
    <row r="7042" spans="6:6">
      <c r="F7042" s="35"/>
    </row>
    <row r="7043" spans="6:6">
      <c r="F7043" s="35"/>
    </row>
    <row r="7044" spans="6:6">
      <c r="F7044" s="35"/>
    </row>
    <row r="7045" spans="6:6">
      <c r="F7045" s="35"/>
    </row>
    <row r="7046" spans="6:6">
      <c r="F7046" s="35"/>
    </row>
    <row r="7047" spans="6:6">
      <c r="F7047" s="35"/>
    </row>
    <row r="7048" spans="6:6">
      <c r="F7048" s="35"/>
    </row>
    <row r="7049" spans="6:6">
      <c r="F7049" s="35"/>
    </row>
    <row r="7050" spans="6:6">
      <c r="F7050" s="35"/>
    </row>
    <row r="7051" spans="6:6">
      <c r="F7051" s="35"/>
    </row>
    <row r="7052" spans="6:6">
      <c r="F7052" s="35"/>
    </row>
    <row r="7053" spans="6:6">
      <c r="F7053" s="35"/>
    </row>
    <row r="7054" spans="6:6">
      <c r="F7054" s="35"/>
    </row>
    <row r="7055" spans="6:6">
      <c r="F7055" s="35"/>
    </row>
    <row r="7056" spans="6:6">
      <c r="F7056" s="35"/>
    </row>
    <row r="7057" spans="6:6">
      <c r="F7057" s="35"/>
    </row>
    <row r="7058" spans="6:6">
      <c r="F7058" s="35"/>
    </row>
    <row r="7059" spans="6:6">
      <c r="F7059" s="35"/>
    </row>
    <row r="7060" spans="6:6">
      <c r="F7060" s="35"/>
    </row>
    <row r="7061" spans="6:6">
      <c r="F7061" s="35"/>
    </row>
    <row r="7062" spans="6:6">
      <c r="F7062" s="35"/>
    </row>
    <row r="7063" spans="6:6">
      <c r="F7063" s="35"/>
    </row>
    <row r="7064" spans="6:6">
      <c r="F7064" s="35"/>
    </row>
    <row r="7065" spans="6:6">
      <c r="F7065" s="35"/>
    </row>
    <row r="7066" spans="6:6">
      <c r="F7066" s="35"/>
    </row>
    <row r="7067" spans="6:6">
      <c r="F7067" s="35"/>
    </row>
    <row r="7068" spans="6:6">
      <c r="F7068" s="35"/>
    </row>
    <row r="7069" spans="6:6">
      <c r="F7069" s="35"/>
    </row>
    <row r="7070" spans="6:6">
      <c r="F7070" s="35"/>
    </row>
    <row r="7071" spans="6:6">
      <c r="F7071" s="35"/>
    </row>
    <row r="7072" spans="6:6">
      <c r="F7072" s="35"/>
    </row>
    <row r="7073" spans="6:6">
      <c r="F7073" s="35"/>
    </row>
    <row r="7074" spans="6:6">
      <c r="F7074" s="35"/>
    </row>
    <row r="7075" spans="6:6">
      <c r="F7075" s="35"/>
    </row>
    <row r="7076" spans="6:6">
      <c r="F7076" s="35"/>
    </row>
    <row r="7077" spans="6:6">
      <c r="F7077" s="35"/>
    </row>
    <row r="7078" spans="6:6">
      <c r="F7078" s="35"/>
    </row>
    <row r="7079" spans="6:6">
      <c r="F7079" s="35"/>
    </row>
    <row r="7080" spans="6:6">
      <c r="F7080" s="35"/>
    </row>
    <row r="7081" spans="6:6">
      <c r="F7081" s="35"/>
    </row>
    <row r="7082" spans="6:6">
      <c r="F7082" s="35"/>
    </row>
    <row r="7083" spans="6:6">
      <c r="F7083" s="35"/>
    </row>
    <row r="7084" spans="6:6">
      <c r="F7084" s="35"/>
    </row>
    <row r="7085" spans="6:6">
      <c r="F7085" s="35"/>
    </row>
    <row r="7086" spans="6:6">
      <c r="F7086" s="35"/>
    </row>
    <row r="7087" spans="6:6">
      <c r="F7087" s="35"/>
    </row>
    <row r="7088" spans="6:6">
      <c r="F7088" s="35"/>
    </row>
    <row r="7089" spans="6:6">
      <c r="F7089" s="35"/>
    </row>
    <row r="7090" spans="6:6">
      <c r="F7090" s="35"/>
    </row>
    <row r="7091" spans="6:6">
      <c r="F7091" s="35"/>
    </row>
    <row r="7092" spans="6:6">
      <c r="F7092" s="35"/>
    </row>
    <row r="7093" spans="6:6">
      <c r="F7093" s="35"/>
    </row>
    <row r="7094" spans="6:6">
      <c r="F7094" s="35"/>
    </row>
    <row r="7095" spans="6:6">
      <c r="F7095" s="35"/>
    </row>
    <row r="7096" spans="6:6">
      <c r="F7096" s="35"/>
    </row>
    <row r="7097" spans="6:6">
      <c r="F7097" s="35"/>
    </row>
    <row r="7098" spans="6:6">
      <c r="F7098" s="35"/>
    </row>
    <row r="7099" spans="6:6">
      <c r="F7099" s="35"/>
    </row>
    <row r="7100" spans="6:6">
      <c r="F7100" s="35"/>
    </row>
    <row r="7101" spans="6:6">
      <c r="F7101" s="35"/>
    </row>
    <row r="7102" spans="6:6">
      <c r="F7102" s="35"/>
    </row>
    <row r="7103" spans="6:6">
      <c r="F7103" s="35"/>
    </row>
    <row r="7104" spans="6:6">
      <c r="F7104" s="35"/>
    </row>
    <row r="7105" spans="6:6">
      <c r="F7105" s="35"/>
    </row>
    <row r="7106" spans="6:6">
      <c r="F7106" s="35"/>
    </row>
    <row r="7107" spans="6:6">
      <c r="F7107" s="35"/>
    </row>
    <row r="7108" spans="6:6">
      <c r="F7108" s="35"/>
    </row>
    <row r="7109" spans="6:6">
      <c r="F7109" s="35"/>
    </row>
    <row r="7110" spans="6:6">
      <c r="F7110" s="35"/>
    </row>
    <row r="7111" spans="6:6">
      <c r="F7111" s="35"/>
    </row>
    <row r="7112" spans="6:6">
      <c r="F7112" s="35"/>
    </row>
    <row r="7113" spans="6:6">
      <c r="F7113" s="35"/>
    </row>
    <row r="7114" spans="6:6">
      <c r="F7114" s="35"/>
    </row>
    <row r="7115" spans="6:6">
      <c r="F7115" s="35"/>
    </row>
    <row r="7116" spans="6:6">
      <c r="F7116" s="35"/>
    </row>
    <row r="7117" spans="6:6">
      <c r="F7117" s="35"/>
    </row>
    <row r="7118" spans="6:6">
      <c r="F7118" s="35"/>
    </row>
    <row r="7119" spans="6:6">
      <c r="F7119" s="35"/>
    </row>
    <row r="7120" spans="6:6">
      <c r="F7120" s="35"/>
    </row>
    <row r="7121" spans="6:6">
      <c r="F7121" s="35"/>
    </row>
    <row r="7122" spans="6:6">
      <c r="F7122" s="35"/>
    </row>
    <row r="7123" spans="6:6">
      <c r="F7123" s="35"/>
    </row>
    <row r="7124" spans="6:6">
      <c r="F7124" s="35"/>
    </row>
    <row r="7125" spans="6:6">
      <c r="F7125" s="35"/>
    </row>
    <row r="7126" spans="6:6">
      <c r="F7126" s="35"/>
    </row>
    <row r="7127" spans="6:6">
      <c r="F7127" s="35"/>
    </row>
    <row r="7128" spans="6:6">
      <c r="F7128" s="35"/>
    </row>
    <row r="7129" spans="6:6">
      <c r="F7129" s="35"/>
    </row>
    <row r="7130" spans="6:6">
      <c r="F7130" s="35"/>
    </row>
    <row r="7131" spans="6:6">
      <c r="F7131" s="35"/>
    </row>
    <row r="7132" spans="6:6">
      <c r="F7132" s="35"/>
    </row>
    <row r="7133" spans="6:6">
      <c r="F7133" s="35"/>
    </row>
    <row r="7134" spans="6:6">
      <c r="F7134" s="35"/>
    </row>
    <row r="7135" spans="6:6">
      <c r="F7135" s="35"/>
    </row>
    <row r="7136" spans="6:6">
      <c r="F7136" s="35"/>
    </row>
    <row r="7137" spans="6:6">
      <c r="F7137" s="35"/>
    </row>
    <row r="7138" spans="6:6">
      <c r="F7138" s="35"/>
    </row>
    <row r="7139" spans="6:6">
      <c r="F7139" s="35"/>
    </row>
    <row r="7140" spans="6:6">
      <c r="F7140" s="35"/>
    </row>
    <row r="7141" spans="6:6">
      <c r="F7141" s="35"/>
    </row>
    <row r="7142" spans="6:6">
      <c r="F7142" s="35"/>
    </row>
    <row r="7143" spans="6:6">
      <c r="F7143" s="35"/>
    </row>
    <row r="7144" spans="6:6">
      <c r="F7144" s="35"/>
    </row>
    <row r="7145" spans="6:6">
      <c r="F7145" s="35"/>
    </row>
    <row r="7146" spans="6:6">
      <c r="F7146" s="35"/>
    </row>
    <row r="7147" spans="6:6">
      <c r="F7147" s="35"/>
    </row>
    <row r="7148" spans="6:6">
      <c r="F7148" s="35"/>
    </row>
    <row r="7149" spans="6:6">
      <c r="F7149" s="35"/>
    </row>
    <row r="7150" spans="6:6">
      <c r="F7150" s="35"/>
    </row>
    <row r="7151" spans="6:6">
      <c r="F7151" s="35"/>
    </row>
    <row r="7152" spans="6:6">
      <c r="F7152" s="35"/>
    </row>
    <row r="7153" spans="6:6">
      <c r="F7153" s="35"/>
    </row>
    <row r="7154" spans="6:6">
      <c r="F7154" s="35"/>
    </row>
    <row r="7155" spans="6:6">
      <c r="F7155" s="35"/>
    </row>
    <row r="7156" spans="6:6">
      <c r="F7156" s="35"/>
    </row>
    <row r="7157" spans="6:6">
      <c r="F7157" s="35"/>
    </row>
    <row r="7158" spans="6:6">
      <c r="F7158" s="35"/>
    </row>
    <row r="7159" spans="6:6">
      <c r="F7159" s="35"/>
    </row>
    <row r="7160" spans="6:6">
      <c r="F7160" s="35"/>
    </row>
    <row r="7161" spans="6:6">
      <c r="F7161" s="35"/>
    </row>
    <row r="7162" spans="6:6">
      <c r="F7162" s="35"/>
    </row>
    <row r="7163" spans="6:6">
      <c r="F7163" s="35"/>
    </row>
    <row r="7164" spans="6:6">
      <c r="F7164" s="35"/>
    </row>
    <row r="7165" spans="6:6">
      <c r="F7165" s="35"/>
    </row>
    <row r="7166" spans="6:6">
      <c r="F7166" s="35"/>
    </row>
    <row r="7167" spans="6:6">
      <c r="F7167" s="35"/>
    </row>
    <row r="7168" spans="6:6">
      <c r="F7168" s="35"/>
    </row>
    <row r="7169" spans="6:6">
      <c r="F7169" s="35"/>
    </row>
    <row r="7170" spans="6:6">
      <c r="F7170" s="35"/>
    </row>
    <row r="7171" spans="6:6">
      <c r="F7171" s="35"/>
    </row>
    <row r="7172" spans="6:6">
      <c r="F7172" s="35"/>
    </row>
    <row r="7173" spans="6:6">
      <c r="F7173" s="35"/>
    </row>
    <row r="7174" spans="6:6">
      <c r="F7174" s="35"/>
    </row>
    <row r="7175" spans="6:6">
      <c r="F7175" s="35"/>
    </row>
    <row r="7176" spans="6:6">
      <c r="F7176" s="35"/>
    </row>
    <row r="7177" spans="6:6">
      <c r="F7177" s="35"/>
    </row>
    <row r="7178" spans="6:6">
      <c r="F7178" s="35"/>
    </row>
    <row r="7179" spans="6:6">
      <c r="F7179" s="35"/>
    </row>
    <row r="7180" spans="6:6">
      <c r="F7180" s="35"/>
    </row>
    <row r="7181" spans="6:6">
      <c r="F7181" s="35"/>
    </row>
    <row r="7182" spans="6:6">
      <c r="F7182" s="35"/>
    </row>
    <row r="7183" spans="6:6">
      <c r="F7183" s="35"/>
    </row>
    <row r="7184" spans="6:6">
      <c r="F7184" s="35"/>
    </row>
    <row r="7185" spans="6:6">
      <c r="F7185" s="35"/>
    </row>
    <row r="7186" spans="6:6">
      <c r="F7186" s="35"/>
    </row>
    <row r="7187" spans="6:6">
      <c r="F7187" s="35"/>
    </row>
    <row r="7188" spans="6:6">
      <c r="F7188" s="35"/>
    </row>
    <row r="7189" spans="6:6">
      <c r="F7189" s="35"/>
    </row>
    <row r="7190" spans="6:6">
      <c r="F7190" s="35"/>
    </row>
    <row r="7191" spans="6:6">
      <c r="F7191" s="35"/>
    </row>
    <row r="7192" spans="6:6">
      <c r="F7192" s="35"/>
    </row>
    <row r="7193" spans="6:6">
      <c r="F7193" s="35"/>
    </row>
    <row r="7194" spans="6:6">
      <c r="F7194" s="35"/>
    </row>
    <row r="7195" spans="6:6">
      <c r="F7195" s="35"/>
    </row>
    <row r="7196" spans="6:6">
      <c r="F7196" s="35"/>
    </row>
    <row r="7197" spans="6:6">
      <c r="F7197" s="35"/>
    </row>
    <row r="7198" spans="6:6">
      <c r="F7198" s="35"/>
    </row>
    <row r="7199" spans="6:6">
      <c r="F7199" s="35"/>
    </row>
    <row r="7200" spans="6:6">
      <c r="F7200" s="35"/>
    </row>
    <row r="7201" spans="6:6">
      <c r="F7201" s="35"/>
    </row>
    <row r="7202" spans="6:6">
      <c r="F7202" s="35"/>
    </row>
    <row r="7203" spans="6:6">
      <c r="F7203" s="35"/>
    </row>
    <row r="7204" spans="6:6">
      <c r="F7204" s="35"/>
    </row>
    <row r="7205" spans="6:6">
      <c r="F7205" s="35"/>
    </row>
    <row r="7206" spans="6:6">
      <c r="F7206" s="35"/>
    </row>
    <row r="7207" spans="6:6">
      <c r="F7207" s="35"/>
    </row>
    <row r="7208" spans="6:6">
      <c r="F7208" s="35"/>
    </row>
    <row r="7209" spans="6:6">
      <c r="F7209" s="35"/>
    </row>
    <row r="7210" spans="6:6">
      <c r="F7210" s="35"/>
    </row>
    <row r="7211" spans="6:6">
      <c r="F7211" s="35"/>
    </row>
    <row r="7212" spans="6:6">
      <c r="F7212" s="35"/>
    </row>
    <row r="7213" spans="6:6">
      <c r="F7213" s="35"/>
    </row>
    <row r="7214" spans="6:6">
      <c r="F7214" s="35"/>
    </row>
    <row r="7215" spans="6:6">
      <c r="F7215" s="35"/>
    </row>
    <row r="7216" spans="6:6">
      <c r="F7216" s="35"/>
    </row>
    <row r="7217" spans="6:6">
      <c r="F7217" s="35"/>
    </row>
    <row r="7218" spans="6:6">
      <c r="F7218" s="35"/>
    </row>
    <row r="7219" spans="6:6">
      <c r="F7219" s="35"/>
    </row>
    <row r="7220" spans="6:6">
      <c r="F7220" s="35"/>
    </row>
    <row r="7221" spans="6:6">
      <c r="F7221" s="35"/>
    </row>
    <row r="7222" spans="6:6">
      <c r="F7222" s="35"/>
    </row>
    <row r="7223" spans="6:6">
      <c r="F7223" s="35"/>
    </row>
    <row r="7224" spans="6:6">
      <c r="F7224" s="35"/>
    </row>
    <row r="7225" spans="6:6">
      <c r="F7225" s="35"/>
    </row>
    <row r="7226" spans="6:6">
      <c r="F7226" s="35"/>
    </row>
    <row r="7227" spans="6:6">
      <c r="F7227" s="35"/>
    </row>
    <row r="7228" spans="6:6">
      <c r="F7228" s="35"/>
    </row>
    <row r="7229" spans="6:6">
      <c r="F7229" s="35"/>
    </row>
    <row r="7230" spans="6:6">
      <c r="F7230" s="35"/>
    </row>
    <row r="7231" spans="6:6">
      <c r="F7231" s="35"/>
    </row>
    <row r="7232" spans="6:6">
      <c r="F7232" s="35"/>
    </row>
    <row r="7233" spans="6:6">
      <c r="F7233" s="35"/>
    </row>
    <row r="7234" spans="6:6">
      <c r="F7234" s="35"/>
    </row>
    <row r="7235" spans="6:6">
      <c r="F7235" s="35"/>
    </row>
    <row r="7236" spans="6:6">
      <c r="F7236" s="35"/>
    </row>
    <row r="7237" spans="6:6">
      <c r="F7237" s="35"/>
    </row>
    <row r="7238" spans="6:6">
      <c r="F7238" s="35"/>
    </row>
    <row r="7239" spans="6:6">
      <c r="F7239" s="35"/>
    </row>
    <row r="7240" spans="6:6">
      <c r="F7240" s="35"/>
    </row>
    <row r="7241" spans="6:6">
      <c r="F7241" s="35"/>
    </row>
    <row r="7242" spans="6:6">
      <c r="F7242" s="35"/>
    </row>
    <row r="7243" spans="6:6">
      <c r="F7243" s="35"/>
    </row>
    <row r="7244" spans="6:6">
      <c r="F7244" s="35"/>
    </row>
    <row r="7245" spans="6:6">
      <c r="F7245" s="35"/>
    </row>
    <row r="7246" spans="6:6">
      <c r="F7246" s="35"/>
    </row>
    <row r="7247" spans="6:6">
      <c r="F7247" s="35"/>
    </row>
    <row r="7248" spans="6:6">
      <c r="F7248" s="35"/>
    </row>
    <row r="7249" spans="6:6">
      <c r="F7249" s="35"/>
    </row>
    <row r="7250" spans="6:6">
      <c r="F7250" s="35"/>
    </row>
    <row r="7251" spans="6:6">
      <c r="F7251" s="35"/>
    </row>
    <row r="7252" spans="6:6">
      <c r="F7252" s="35"/>
    </row>
    <row r="7253" spans="6:6">
      <c r="F7253" s="35"/>
    </row>
    <row r="7254" spans="6:6">
      <c r="F7254" s="35"/>
    </row>
    <row r="7255" spans="6:6">
      <c r="F7255" s="35"/>
    </row>
    <row r="7256" spans="6:6">
      <c r="F7256" s="35"/>
    </row>
    <row r="7257" spans="6:6">
      <c r="F7257" s="35"/>
    </row>
    <row r="7258" spans="6:6">
      <c r="F7258" s="35"/>
    </row>
    <row r="7259" spans="6:6">
      <c r="F7259" s="35"/>
    </row>
    <row r="7260" spans="6:6">
      <c r="F7260" s="35"/>
    </row>
    <row r="7261" spans="6:6">
      <c r="F7261" s="35"/>
    </row>
    <row r="7262" spans="6:6">
      <c r="F7262" s="35"/>
    </row>
    <row r="7263" spans="6:6">
      <c r="F7263" s="35"/>
    </row>
    <row r="7264" spans="6:6">
      <c r="F7264" s="35"/>
    </row>
    <row r="7265" spans="6:6">
      <c r="F7265" s="35"/>
    </row>
    <row r="7266" spans="6:6">
      <c r="F7266" s="35"/>
    </row>
    <row r="7267" spans="6:6">
      <c r="F7267" s="35"/>
    </row>
    <row r="7268" spans="6:6">
      <c r="F7268" s="35"/>
    </row>
    <row r="7269" spans="6:6">
      <c r="F7269" s="35"/>
    </row>
    <row r="7270" spans="6:6">
      <c r="F7270" s="35"/>
    </row>
    <row r="7271" spans="6:6">
      <c r="F7271" s="35"/>
    </row>
    <row r="7272" spans="6:6">
      <c r="F7272" s="35"/>
    </row>
    <row r="7273" spans="6:6">
      <c r="F7273" s="35"/>
    </row>
    <row r="7274" spans="6:6">
      <c r="F7274" s="35"/>
    </row>
    <row r="7275" spans="6:6">
      <c r="F7275" s="35"/>
    </row>
    <row r="7276" spans="6:6">
      <c r="F7276" s="35"/>
    </row>
    <row r="7277" spans="6:6">
      <c r="F7277" s="35"/>
    </row>
    <row r="7278" spans="6:6">
      <c r="F7278" s="35"/>
    </row>
    <row r="7279" spans="6:6">
      <c r="F7279" s="35"/>
    </row>
    <row r="7280" spans="6:6">
      <c r="F7280" s="35"/>
    </row>
    <row r="7281" spans="6:6">
      <c r="F7281" s="35"/>
    </row>
    <row r="7282" spans="6:6">
      <c r="F7282" s="35"/>
    </row>
    <row r="7283" spans="6:6">
      <c r="F7283" s="35"/>
    </row>
    <row r="7284" spans="6:6">
      <c r="F7284" s="35"/>
    </row>
    <row r="7285" spans="6:6">
      <c r="F7285" s="35"/>
    </row>
    <row r="7286" spans="6:6">
      <c r="F7286" s="35"/>
    </row>
    <row r="7287" spans="6:6">
      <c r="F7287" s="35"/>
    </row>
    <row r="7288" spans="6:6">
      <c r="F7288" s="35"/>
    </row>
    <row r="7289" spans="6:6">
      <c r="F7289" s="35"/>
    </row>
    <row r="7290" spans="6:6">
      <c r="F7290" s="35"/>
    </row>
    <row r="7291" spans="6:6">
      <c r="F7291" s="35"/>
    </row>
    <row r="7292" spans="6:6">
      <c r="F7292" s="35"/>
    </row>
    <row r="7293" spans="6:6">
      <c r="F7293" s="35"/>
    </row>
    <row r="7294" spans="6:6">
      <c r="F7294" s="35"/>
    </row>
    <row r="7295" spans="6:6">
      <c r="F7295" s="35"/>
    </row>
    <row r="7296" spans="6:6">
      <c r="F7296" s="35"/>
    </row>
    <row r="7297" spans="6:6">
      <c r="F7297" s="35"/>
    </row>
    <row r="7298" spans="6:6">
      <c r="F7298" s="35"/>
    </row>
    <row r="7299" spans="6:6">
      <c r="F7299" s="35"/>
    </row>
    <row r="7300" spans="6:6">
      <c r="F7300" s="35"/>
    </row>
    <row r="7301" spans="6:6">
      <c r="F7301" s="35"/>
    </row>
    <row r="7302" spans="6:6">
      <c r="F7302" s="35"/>
    </row>
    <row r="7303" spans="6:6">
      <c r="F7303" s="35"/>
    </row>
    <row r="7304" spans="6:6">
      <c r="F7304" s="35"/>
    </row>
    <row r="7305" spans="6:6">
      <c r="F7305" s="35"/>
    </row>
    <row r="7306" spans="6:6">
      <c r="F7306" s="35"/>
    </row>
    <row r="7307" spans="6:6">
      <c r="F7307" s="35"/>
    </row>
    <row r="7308" spans="6:6">
      <c r="F7308" s="35"/>
    </row>
    <row r="7309" spans="6:6">
      <c r="F7309" s="35"/>
    </row>
    <row r="7310" spans="6:6">
      <c r="F7310" s="35"/>
    </row>
    <row r="7311" spans="6:6">
      <c r="F7311" s="35"/>
    </row>
    <row r="7312" spans="6:6">
      <c r="F7312" s="35"/>
    </row>
    <row r="7313" spans="6:6">
      <c r="F7313" s="35"/>
    </row>
    <row r="7314" spans="6:6">
      <c r="F7314" s="35"/>
    </row>
    <row r="7315" spans="6:6">
      <c r="F7315" s="35"/>
    </row>
    <row r="7316" spans="6:6">
      <c r="F7316" s="35"/>
    </row>
    <row r="7317" spans="6:6">
      <c r="F7317" s="35"/>
    </row>
    <row r="7318" spans="6:6">
      <c r="F7318" s="35"/>
    </row>
    <row r="7319" spans="6:6">
      <c r="F7319" s="35"/>
    </row>
    <row r="7320" spans="6:6">
      <c r="F7320" s="35"/>
    </row>
    <row r="7321" spans="6:6">
      <c r="F7321" s="35"/>
    </row>
    <row r="7322" spans="6:6">
      <c r="F7322" s="35"/>
    </row>
    <row r="7323" spans="6:6">
      <c r="F7323" s="35"/>
    </row>
    <row r="7324" spans="6:6">
      <c r="F7324" s="35"/>
    </row>
    <row r="7325" spans="6:6">
      <c r="F7325" s="35"/>
    </row>
    <row r="7326" spans="6:6">
      <c r="F7326" s="35"/>
    </row>
    <row r="7327" spans="6:6">
      <c r="F7327" s="35"/>
    </row>
    <row r="7328" spans="6:6">
      <c r="F7328" s="35"/>
    </row>
    <row r="7329" spans="6:6">
      <c r="F7329" s="35"/>
    </row>
    <row r="7330" spans="6:6">
      <c r="F7330" s="35"/>
    </row>
    <row r="7331" spans="6:6">
      <c r="F7331" s="35"/>
    </row>
    <row r="7332" spans="6:6">
      <c r="F7332" s="35"/>
    </row>
    <row r="7333" spans="6:6">
      <c r="F7333" s="35"/>
    </row>
    <row r="7334" spans="6:6">
      <c r="F7334" s="35"/>
    </row>
    <row r="7335" spans="6:6">
      <c r="F7335" s="35"/>
    </row>
    <row r="7336" spans="6:6">
      <c r="F7336" s="35"/>
    </row>
    <row r="7337" spans="6:6">
      <c r="F7337" s="35"/>
    </row>
    <row r="7338" spans="6:6">
      <c r="F7338" s="35"/>
    </row>
    <row r="7339" spans="6:6">
      <c r="F7339" s="35"/>
    </row>
    <row r="7340" spans="6:6">
      <c r="F7340" s="35"/>
    </row>
    <row r="7341" spans="6:6">
      <c r="F7341" s="35"/>
    </row>
    <row r="7342" spans="6:6">
      <c r="F7342" s="35"/>
    </row>
    <row r="7343" spans="6:6">
      <c r="F7343" s="35"/>
    </row>
    <row r="7344" spans="6:6">
      <c r="F7344" s="35"/>
    </row>
    <row r="7345" spans="6:6">
      <c r="F7345" s="35"/>
    </row>
    <row r="7346" spans="6:6">
      <c r="F7346" s="35"/>
    </row>
    <row r="7347" spans="6:6">
      <c r="F7347" s="35"/>
    </row>
    <row r="7348" spans="6:6">
      <c r="F7348" s="35"/>
    </row>
    <row r="7349" spans="6:6">
      <c r="F7349" s="35"/>
    </row>
    <row r="7350" spans="6:6">
      <c r="F7350" s="35"/>
    </row>
    <row r="7351" spans="6:6">
      <c r="F7351" s="35"/>
    </row>
    <row r="7352" spans="6:6">
      <c r="F7352" s="35"/>
    </row>
    <row r="7353" spans="6:6">
      <c r="F7353" s="35"/>
    </row>
    <row r="7354" spans="6:6">
      <c r="F7354" s="35"/>
    </row>
    <row r="7355" spans="6:6">
      <c r="F7355" s="35"/>
    </row>
    <row r="7356" spans="6:6">
      <c r="F7356" s="35"/>
    </row>
    <row r="7357" spans="6:6">
      <c r="F7357" s="35"/>
    </row>
    <row r="7358" spans="6:6">
      <c r="F7358" s="35"/>
    </row>
    <row r="7359" spans="6:6">
      <c r="F7359" s="35"/>
    </row>
    <row r="7360" spans="6:6">
      <c r="F7360" s="35"/>
    </row>
    <row r="7361" spans="6:6">
      <c r="F7361" s="35"/>
    </row>
    <row r="7362" spans="6:6">
      <c r="F7362" s="35"/>
    </row>
    <row r="7363" spans="6:6">
      <c r="F7363" s="35"/>
    </row>
    <row r="7364" spans="6:6">
      <c r="F7364" s="35"/>
    </row>
    <row r="7365" spans="6:6">
      <c r="F7365" s="35"/>
    </row>
    <row r="7366" spans="6:6">
      <c r="F7366" s="35"/>
    </row>
    <row r="7367" spans="6:6">
      <c r="F7367" s="35"/>
    </row>
    <row r="7368" spans="6:6">
      <c r="F7368" s="35"/>
    </row>
    <row r="7369" spans="6:6">
      <c r="F7369" s="35"/>
    </row>
    <row r="7370" spans="6:6">
      <c r="F7370" s="35"/>
    </row>
    <row r="7371" spans="6:6">
      <c r="F7371" s="35"/>
    </row>
    <row r="7372" spans="6:6">
      <c r="F7372" s="35"/>
    </row>
    <row r="7373" spans="6:6">
      <c r="F7373" s="35"/>
    </row>
    <row r="7374" spans="6:6">
      <c r="F7374" s="35"/>
    </row>
    <row r="7375" spans="6:6">
      <c r="F7375" s="35"/>
    </row>
    <row r="7376" spans="6:6">
      <c r="F7376" s="35"/>
    </row>
    <row r="7377" spans="6:6">
      <c r="F7377" s="35"/>
    </row>
    <row r="7378" spans="6:6">
      <c r="F7378" s="35"/>
    </row>
    <row r="7379" spans="6:6">
      <c r="F7379" s="35"/>
    </row>
    <row r="7380" spans="6:6">
      <c r="F7380" s="35"/>
    </row>
    <row r="7381" spans="6:6">
      <c r="F7381" s="35"/>
    </row>
    <row r="7382" spans="6:6">
      <c r="F7382" s="35"/>
    </row>
    <row r="7383" spans="6:6">
      <c r="F7383" s="35"/>
    </row>
    <row r="7384" spans="6:6">
      <c r="F7384" s="35"/>
    </row>
    <row r="7385" spans="6:6">
      <c r="F7385" s="35"/>
    </row>
    <row r="7386" spans="6:6">
      <c r="F7386" s="35"/>
    </row>
    <row r="7387" spans="6:6">
      <c r="F7387" s="35"/>
    </row>
    <row r="7388" spans="6:6">
      <c r="F7388" s="35"/>
    </row>
    <row r="7389" spans="6:6">
      <c r="F7389" s="35"/>
    </row>
    <row r="7390" spans="6:6">
      <c r="F7390" s="35"/>
    </row>
    <row r="7391" spans="6:6">
      <c r="F7391" s="35"/>
    </row>
    <row r="7392" spans="6:6">
      <c r="F7392" s="35"/>
    </row>
    <row r="7393" spans="6:6">
      <c r="F7393" s="35"/>
    </row>
    <row r="7394" spans="6:6">
      <c r="F7394" s="35"/>
    </row>
    <row r="7395" spans="6:6">
      <c r="F7395" s="35"/>
    </row>
    <row r="7396" spans="6:6">
      <c r="F7396" s="35"/>
    </row>
    <row r="7397" spans="6:6">
      <c r="F7397" s="35"/>
    </row>
    <row r="7398" spans="6:6">
      <c r="F7398" s="35"/>
    </row>
    <row r="7399" spans="6:6">
      <c r="F7399" s="35"/>
    </row>
    <row r="7400" spans="6:6">
      <c r="F7400" s="35"/>
    </row>
    <row r="7401" spans="6:6">
      <c r="F7401" s="35"/>
    </row>
    <row r="7402" spans="6:6">
      <c r="F7402" s="35"/>
    </row>
    <row r="7403" spans="6:6">
      <c r="F7403" s="35"/>
    </row>
    <row r="7404" spans="6:6">
      <c r="F7404" s="35"/>
    </row>
    <row r="7405" spans="6:6">
      <c r="F7405" s="35"/>
    </row>
    <row r="7406" spans="6:6">
      <c r="F7406" s="35"/>
    </row>
    <row r="7407" spans="6:6">
      <c r="F7407" s="35"/>
    </row>
    <row r="7408" spans="6:6">
      <c r="F7408" s="35"/>
    </row>
    <row r="7409" spans="6:6">
      <c r="F7409" s="35"/>
    </row>
    <row r="7410" spans="6:6">
      <c r="F7410" s="35"/>
    </row>
    <row r="7411" spans="6:6">
      <c r="F7411" s="35"/>
    </row>
    <row r="7412" spans="6:6">
      <c r="F7412" s="35"/>
    </row>
    <row r="7413" spans="6:6">
      <c r="F7413" s="35"/>
    </row>
    <row r="7414" spans="6:6">
      <c r="F7414" s="35"/>
    </row>
    <row r="7415" spans="6:6">
      <c r="F7415" s="35"/>
    </row>
    <row r="7416" spans="6:6">
      <c r="F7416" s="35"/>
    </row>
    <row r="7417" spans="6:6">
      <c r="F7417" s="35"/>
    </row>
    <row r="7418" spans="6:6">
      <c r="F7418" s="35"/>
    </row>
    <row r="7419" spans="6:6">
      <c r="F7419" s="35"/>
    </row>
    <row r="7420" spans="6:6">
      <c r="F7420" s="35"/>
    </row>
    <row r="7421" spans="6:6">
      <c r="F7421" s="35"/>
    </row>
    <row r="7422" spans="6:6">
      <c r="F7422" s="35"/>
    </row>
    <row r="7423" spans="6:6">
      <c r="F7423" s="35"/>
    </row>
    <row r="7424" spans="6:6">
      <c r="F7424" s="35"/>
    </row>
    <row r="7425" spans="6:6">
      <c r="F7425" s="35"/>
    </row>
    <row r="7426" spans="6:6">
      <c r="F7426" s="35"/>
    </row>
    <row r="7427" spans="6:6">
      <c r="F7427" s="35"/>
    </row>
    <row r="7428" spans="6:6">
      <c r="F7428" s="35"/>
    </row>
    <row r="7429" spans="6:6">
      <c r="F7429" s="35"/>
    </row>
    <row r="7430" spans="6:6">
      <c r="F7430" s="35"/>
    </row>
    <row r="7431" spans="6:6">
      <c r="F7431" s="35"/>
    </row>
    <row r="7432" spans="6:6">
      <c r="F7432" s="35"/>
    </row>
    <row r="7433" spans="6:6">
      <c r="F7433" s="35"/>
    </row>
    <row r="7434" spans="6:6">
      <c r="F7434" s="35"/>
    </row>
    <row r="7435" spans="6:6">
      <c r="F7435" s="35"/>
    </row>
    <row r="7436" spans="6:6">
      <c r="F7436" s="35"/>
    </row>
    <row r="7437" spans="6:6">
      <c r="F7437" s="35"/>
    </row>
    <row r="7438" spans="6:6">
      <c r="F7438" s="35"/>
    </row>
    <row r="7439" spans="6:6">
      <c r="F7439" s="35"/>
    </row>
    <row r="7440" spans="6:6">
      <c r="F7440" s="35"/>
    </row>
    <row r="7441" spans="6:6">
      <c r="F7441" s="35"/>
    </row>
    <row r="7442" spans="6:6">
      <c r="F7442" s="35"/>
    </row>
    <row r="7443" spans="6:6">
      <c r="F7443" s="35"/>
    </row>
    <row r="7444" spans="6:6">
      <c r="F7444" s="35"/>
    </row>
    <row r="7445" spans="6:6">
      <c r="F7445" s="35"/>
    </row>
    <row r="7446" spans="6:6">
      <c r="F7446" s="35"/>
    </row>
    <row r="7447" spans="6:6">
      <c r="F7447" s="35"/>
    </row>
    <row r="7448" spans="6:6">
      <c r="F7448" s="35"/>
    </row>
    <row r="7449" spans="6:6">
      <c r="F7449" s="35"/>
    </row>
    <row r="7450" spans="6:6">
      <c r="F7450" s="35"/>
    </row>
    <row r="7451" spans="6:6">
      <c r="F7451" s="35"/>
    </row>
    <row r="7452" spans="6:6">
      <c r="F7452" s="35"/>
    </row>
    <row r="7453" spans="6:6">
      <c r="F7453" s="35"/>
    </row>
    <row r="7454" spans="6:6">
      <c r="F7454" s="35"/>
    </row>
    <row r="7455" spans="6:6">
      <c r="F7455" s="35"/>
    </row>
    <row r="7456" spans="6:6">
      <c r="F7456" s="35"/>
    </row>
    <row r="7457" spans="6:6">
      <c r="F7457" s="35"/>
    </row>
    <row r="7458" spans="6:6">
      <c r="F7458" s="35"/>
    </row>
    <row r="7459" spans="6:6">
      <c r="F7459" s="35"/>
    </row>
    <row r="7460" spans="6:6">
      <c r="F7460" s="35"/>
    </row>
    <row r="7461" spans="6:6">
      <c r="F7461" s="35"/>
    </row>
    <row r="7462" spans="6:6">
      <c r="F7462" s="35"/>
    </row>
    <row r="7463" spans="6:6">
      <c r="F7463" s="35"/>
    </row>
    <row r="7464" spans="6:6">
      <c r="F7464" s="35"/>
    </row>
    <row r="7465" spans="6:6">
      <c r="F7465" s="35"/>
    </row>
    <row r="7466" spans="6:6">
      <c r="F7466" s="35"/>
    </row>
    <row r="7467" spans="6:6">
      <c r="F7467" s="35"/>
    </row>
    <row r="7468" spans="6:6">
      <c r="F7468" s="35"/>
    </row>
    <row r="7469" spans="6:6">
      <c r="F7469" s="35"/>
    </row>
    <row r="7470" spans="6:6">
      <c r="F7470" s="35"/>
    </row>
    <row r="7471" spans="6:6">
      <c r="F7471" s="35"/>
    </row>
    <row r="7472" spans="6:6">
      <c r="F7472" s="35"/>
    </row>
    <row r="7473" spans="6:6">
      <c r="F7473" s="35"/>
    </row>
    <row r="7474" spans="6:6">
      <c r="F7474" s="35"/>
    </row>
    <row r="7475" spans="6:6">
      <c r="F7475" s="35"/>
    </row>
    <row r="7476" spans="6:6">
      <c r="F7476" s="35"/>
    </row>
    <row r="7477" spans="6:6">
      <c r="F7477" s="35"/>
    </row>
    <row r="7478" spans="6:6">
      <c r="F7478" s="35"/>
    </row>
    <row r="7479" spans="6:6">
      <c r="F7479" s="35"/>
    </row>
    <row r="7480" spans="6:6">
      <c r="F7480" s="35"/>
    </row>
    <row r="7481" spans="6:6">
      <c r="F7481" s="35"/>
    </row>
    <row r="7482" spans="6:6">
      <c r="F7482" s="35"/>
    </row>
    <row r="7483" spans="6:6">
      <c r="F7483" s="35"/>
    </row>
    <row r="7484" spans="6:6">
      <c r="F7484" s="35"/>
    </row>
    <row r="7485" spans="6:6">
      <c r="F7485" s="35"/>
    </row>
    <row r="7486" spans="6:6">
      <c r="F7486" s="35"/>
    </row>
    <row r="7487" spans="6:6">
      <c r="F7487" s="35"/>
    </row>
    <row r="7488" spans="6:6">
      <c r="F7488" s="35"/>
    </row>
    <row r="7489" spans="6:6">
      <c r="F7489" s="35"/>
    </row>
    <row r="7490" spans="6:6">
      <c r="F7490" s="35"/>
    </row>
    <row r="7491" spans="6:6">
      <c r="F7491" s="35"/>
    </row>
    <row r="7492" spans="6:6">
      <c r="F7492" s="35"/>
    </row>
    <row r="7493" spans="6:6">
      <c r="F7493" s="35"/>
    </row>
    <row r="7494" spans="6:6">
      <c r="F7494" s="35"/>
    </row>
    <row r="7495" spans="6:6">
      <c r="F7495" s="35"/>
    </row>
    <row r="7496" spans="6:6">
      <c r="F7496" s="35"/>
    </row>
    <row r="7497" spans="6:6">
      <c r="F7497" s="35"/>
    </row>
    <row r="7498" spans="6:6">
      <c r="F7498" s="35"/>
    </row>
    <row r="7499" spans="6:6">
      <c r="F7499" s="35"/>
    </row>
    <row r="7500" spans="6:6">
      <c r="F7500" s="35"/>
    </row>
    <row r="7501" spans="6:6">
      <c r="F7501" s="35"/>
    </row>
    <row r="7502" spans="6:6">
      <c r="F7502" s="35"/>
    </row>
    <row r="7503" spans="6:6">
      <c r="F7503" s="35"/>
    </row>
    <row r="7504" spans="6:6">
      <c r="F7504" s="35"/>
    </row>
    <row r="7505" spans="6:6">
      <c r="F7505" s="35"/>
    </row>
    <row r="7506" spans="6:6">
      <c r="F7506" s="35"/>
    </row>
    <row r="7507" spans="6:6">
      <c r="F7507" s="35"/>
    </row>
    <row r="7508" spans="6:6">
      <c r="F7508" s="35"/>
    </row>
    <row r="7509" spans="6:6">
      <c r="F7509" s="35"/>
    </row>
    <row r="7510" spans="6:6">
      <c r="F7510" s="35"/>
    </row>
    <row r="7511" spans="6:6">
      <c r="F7511" s="35"/>
    </row>
    <row r="7512" spans="6:6">
      <c r="F7512" s="35"/>
    </row>
    <row r="7513" spans="6:6">
      <c r="F7513" s="35"/>
    </row>
    <row r="7514" spans="6:6">
      <c r="F7514" s="35"/>
    </row>
    <row r="7515" spans="6:6">
      <c r="F7515" s="35"/>
    </row>
    <row r="7516" spans="6:6">
      <c r="F7516" s="35"/>
    </row>
    <row r="7517" spans="6:6">
      <c r="F7517" s="35"/>
    </row>
    <row r="7518" spans="6:6">
      <c r="F7518" s="35"/>
    </row>
    <row r="7519" spans="6:6">
      <c r="F7519" s="35"/>
    </row>
    <row r="7520" spans="6:6">
      <c r="F7520" s="35"/>
    </row>
    <row r="7521" spans="6:6">
      <c r="F7521" s="35"/>
    </row>
    <row r="7522" spans="6:6">
      <c r="F7522" s="35"/>
    </row>
    <row r="7523" spans="6:6">
      <c r="F7523" s="35"/>
    </row>
    <row r="7524" spans="6:6">
      <c r="F7524" s="35"/>
    </row>
    <row r="7525" spans="6:6">
      <c r="F7525" s="35"/>
    </row>
    <row r="7526" spans="6:6">
      <c r="F7526" s="35"/>
    </row>
    <row r="7527" spans="6:6">
      <c r="F7527" s="35"/>
    </row>
    <row r="7528" spans="6:6">
      <c r="F7528" s="35"/>
    </row>
    <row r="7529" spans="6:6">
      <c r="F7529" s="35"/>
    </row>
    <row r="7530" spans="6:6">
      <c r="F7530" s="35"/>
    </row>
    <row r="7531" spans="6:6">
      <c r="F7531" s="35"/>
    </row>
    <row r="7532" spans="6:6">
      <c r="F7532" s="35"/>
    </row>
    <row r="7533" spans="6:6">
      <c r="F7533" s="35"/>
    </row>
    <row r="7534" spans="6:6">
      <c r="F7534" s="35"/>
    </row>
    <row r="7535" spans="6:6">
      <c r="F7535" s="35"/>
    </row>
    <row r="7536" spans="6:6">
      <c r="F7536" s="35"/>
    </row>
    <row r="7537" spans="6:6">
      <c r="F7537" s="35"/>
    </row>
    <row r="7538" spans="6:6">
      <c r="F7538" s="35"/>
    </row>
    <row r="7539" spans="6:6">
      <c r="F7539" s="35"/>
    </row>
    <row r="7540" spans="6:6">
      <c r="F7540" s="35"/>
    </row>
    <row r="7541" spans="6:6">
      <c r="F7541" s="35"/>
    </row>
    <row r="7542" spans="6:6">
      <c r="F7542" s="35"/>
    </row>
    <row r="7543" spans="6:6">
      <c r="F7543" s="35"/>
    </row>
    <row r="7544" spans="6:6">
      <c r="F7544" s="35"/>
    </row>
    <row r="7545" spans="6:6">
      <c r="F7545" s="35"/>
    </row>
    <row r="7546" spans="6:6">
      <c r="F7546" s="35"/>
    </row>
    <row r="7547" spans="6:6">
      <c r="F7547" s="35"/>
    </row>
    <row r="7548" spans="6:6">
      <c r="F7548" s="35"/>
    </row>
    <row r="7549" spans="6:6">
      <c r="F7549" s="35"/>
    </row>
    <row r="7550" spans="6:6">
      <c r="F7550" s="35"/>
    </row>
    <row r="7551" spans="6:6">
      <c r="F7551" s="35"/>
    </row>
    <row r="7552" spans="6:6">
      <c r="F7552" s="35"/>
    </row>
    <row r="7553" spans="6:6">
      <c r="F7553" s="35"/>
    </row>
    <row r="7554" spans="6:6">
      <c r="F7554" s="35"/>
    </row>
    <row r="7555" spans="6:6">
      <c r="F7555" s="35"/>
    </row>
    <row r="7556" spans="6:6">
      <c r="F7556" s="35"/>
    </row>
    <row r="7557" spans="6:6">
      <c r="F7557" s="35"/>
    </row>
    <row r="7558" spans="6:6">
      <c r="F7558" s="35"/>
    </row>
    <row r="7559" spans="6:6">
      <c r="F7559" s="35"/>
    </row>
    <row r="7560" spans="6:6">
      <c r="F7560" s="35"/>
    </row>
    <row r="7561" spans="6:6">
      <c r="F7561" s="35"/>
    </row>
    <row r="7562" spans="6:6">
      <c r="F7562" s="35"/>
    </row>
    <row r="7563" spans="6:6">
      <c r="F7563" s="35"/>
    </row>
    <row r="7564" spans="6:6">
      <c r="F7564" s="35"/>
    </row>
    <row r="7565" spans="6:6">
      <c r="F7565" s="35"/>
    </row>
    <row r="7566" spans="6:6">
      <c r="F7566" s="35"/>
    </row>
    <row r="7567" spans="6:6">
      <c r="F7567" s="35"/>
    </row>
    <row r="7568" spans="6:6">
      <c r="F7568" s="35"/>
    </row>
    <row r="7569" spans="6:6">
      <c r="F7569" s="35"/>
    </row>
    <row r="7570" spans="6:6">
      <c r="F7570" s="35"/>
    </row>
    <row r="7571" spans="6:6">
      <c r="F7571" s="35"/>
    </row>
    <row r="7572" spans="6:6">
      <c r="F7572" s="35"/>
    </row>
    <row r="7573" spans="6:6">
      <c r="F7573" s="35"/>
    </row>
    <row r="7574" spans="6:6">
      <c r="F7574" s="35"/>
    </row>
    <row r="7575" spans="6:6">
      <c r="F7575" s="35"/>
    </row>
    <row r="7576" spans="6:6">
      <c r="F7576" s="35"/>
    </row>
    <row r="7577" spans="6:6">
      <c r="F7577" s="35"/>
    </row>
    <row r="7578" spans="6:6">
      <c r="F7578" s="35"/>
    </row>
    <row r="7579" spans="6:6">
      <c r="F7579" s="35"/>
    </row>
    <row r="7580" spans="6:6">
      <c r="F7580" s="35"/>
    </row>
    <row r="7581" spans="6:6">
      <c r="F7581" s="35"/>
    </row>
    <row r="7582" spans="6:6">
      <c r="F7582" s="35"/>
    </row>
    <row r="7583" spans="6:6">
      <c r="F7583" s="35"/>
    </row>
    <row r="7584" spans="6:6">
      <c r="F7584" s="35"/>
    </row>
    <row r="7585" spans="6:6">
      <c r="F7585" s="35"/>
    </row>
    <row r="7586" spans="6:6">
      <c r="F7586" s="35"/>
    </row>
    <row r="7587" spans="6:6">
      <c r="F7587" s="35"/>
    </row>
    <row r="7588" spans="6:6">
      <c r="F7588" s="35"/>
    </row>
    <row r="7589" spans="6:6">
      <c r="F7589" s="35"/>
    </row>
    <row r="7590" spans="6:6">
      <c r="F7590" s="35"/>
    </row>
    <row r="7591" spans="6:6">
      <c r="F7591" s="35"/>
    </row>
    <row r="7592" spans="6:6">
      <c r="F7592" s="35"/>
    </row>
    <row r="7593" spans="6:6">
      <c r="F7593" s="35"/>
    </row>
    <row r="7594" spans="6:6">
      <c r="F7594" s="35"/>
    </row>
    <row r="7595" spans="6:6">
      <c r="F7595" s="35"/>
    </row>
    <row r="7596" spans="6:6">
      <c r="F7596" s="35"/>
    </row>
    <row r="7597" spans="6:6">
      <c r="F7597" s="35"/>
    </row>
    <row r="7598" spans="6:6">
      <c r="F7598" s="35"/>
    </row>
    <row r="7599" spans="6:6">
      <c r="F7599" s="35"/>
    </row>
    <row r="7600" spans="6:6">
      <c r="F7600" s="35"/>
    </row>
    <row r="7601" spans="6:6">
      <c r="F7601" s="35"/>
    </row>
    <row r="7602" spans="6:6">
      <c r="F7602" s="35"/>
    </row>
    <row r="7603" spans="6:6">
      <c r="F7603" s="35"/>
    </row>
    <row r="7604" spans="6:6">
      <c r="F7604" s="35"/>
    </row>
    <row r="7605" spans="6:6">
      <c r="F7605" s="35"/>
    </row>
    <row r="7606" spans="6:6">
      <c r="F7606" s="35"/>
    </row>
    <row r="7607" spans="6:6">
      <c r="F7607" s="35"/>
    </row>
    <row r="7608" spans="6:6">
      <c r="F7608" s="35"/>
    </row>
    <row r="7609" spans="6:6">
      <c r="F7609" s="35"/>
    </row>
    <row r="7610" spans="6:6">
      <c r="F7610" s="35"/>
    </row>
    <row r="7611" spans="6:6">
      <c r="F7611" s="35"/>
    </row>
    <row r="7612" spans="6:6">
      <c r="F7612" s="35"/>
    </row>
    <row r="7613" spans="6:6">
      <c r="F7613" s="35"/>
    </row>
    <row r="7614" spans="6:6">
      <c r="F7614" s="35"/>
    </row>
    <row r="7615" spans="6:6">
      <c r="F7615" s="35"/>
    </row>
    <row r="7616" spans="6:6">
      <c r="F7616" s="35"/>
    </row>
    <row r="7617" spans="6:6">
      <c r="F7617" s="35"/>
    </row>
    <row r="7618" spans="6:6">
      <c r="F7618" s="35"/>
    </row>
    <row r="7619" spans="6:6">
      <c r="F7619" s="35"/>
    </row>
    <row r="7620" spans="6:6">
      <c r="F7620" s="35"/>
    </row>
    <row r="7621" spans="6:6">
      <c r="F7621" s="35"/>
    </row>
    <row r="7622" spans="6:6">
      <c r="F7622" s="35"/>
    </row>
    <row r="7623" spans="6:6">
      <c r="F7623" s="35"/>
    </row>
    <row r="7624" spans="6:6">
      <c r="F7624" s="35"/>
    </row>
    <row r="7625" spans="6:6">
      <c r="F7625" s="35"/>
    </row>
    <row r="7626" spans="6:6">
      <c r="F7626" s="35"/>
    </row>
    <row r="7627" spans="6:6">
      <c r="F7627" s="35"/>
    </row>
    <row r="7628" spans="6:6">
      <c r="F7628" s="35"/>
    </row>
    <row r="7629" spans="6:6">
      <c r="F7629" s="35"/>
    </row>
    <row r="7630" spans="6:6">
      <c r="F7630" s="35"/>
    </row>
    <row r="7631" spans="6:6">
      <c r="F7631" s="35"/>
    </row>
    <row r="7632" spans="6:6">
      <c r="F7632" s="35"/>
    </row>
    <row r="7633" spans="6:6">
      <c r="F7633" s="35"/>
    </row>
    <row r="7634" spans="6:6">
      <c r="F7634" s="35"/>
    </row>
    <row r="7635" spans="6:6">
      <c r="F7635" s="35"/>
    </row>
    <row r="7636" spans="6:6">
      <c r="F7636" s="35"/>
    </row>
    <row r="7637" spans="6:6">
      <c r="F7637" s="35"/>
    </row>
    <row r="7638" spans="6:6">
      <c r="F7638" s="35"/>
    </row>
    <row r="7639" spans="6:6">
      <c r="F7639" s="35"/>
    </row>
    <row r="7640" spans="6:6">
      <c r="F7640" s="35"/>
    </row>
    <row r="7641" spans="6:6">
      <c r="F7641" s="35"/>
    </row>
    <row r="7642" spans="6:6">
      <c r="F7642" s="35"/>
    </row>
    <row r="7643" spans="6:6">
      <c r="F7643" s="35"/>
    </row>
    <row r="7644" spans="6:6">
      <c r="F7644" s="35"/>
    </row>
    <row r="7645" spans="6:6">
      <c r="F7645" s="35"/>
    </row>
    <row r="7646" spans="6:6">
      <c r="F7646" s="35"/>
    </row>
    <row r="7647" spans="6:6">
      <c r="F7647" s="35"/>
    </row>
    <row r="7648" spans="6:6">
      <c r="F7648" s="35"/>
    </row>
    <row r="7649" spans="6:6">
      <c r="F7649" s="35"/>
    </row>
    <row r="7650" spans="6:6">
      <c r="F7650" s="35"/>
    </row>
    <row r="7651" spans="6:6">
      <c r="F7651" s="35"/>
    </row>
    <row r="7652" spans="6:6">
      <c r="F7652" s="35"/>
    </row>
    <row r="7653" spans="6:6">
      <c r="F7653" s="35"/>
    </row>
    <row r="7654" spans="6:6">
      <c r="F7654" s="35"/>
    </row>
    <row r="7655" spans="6:6">
      <c r="F7655" s="35"/>
    </row>
    <row r="7656" spans="6:6">
      <c r="F7656" s="35"/>
    </row>
    <row r="7657" spans="6:6">
      <c r="F7657" s="35"/>
    </row>
    <row r="7658" spans="6:6">
      <c r="F7658" s="35"/>
    </row>
    <row r="7659" spans="6:6">
      <c r="F7659" s="35"/>
    </row>
    <row r="7660" spans="6:6">
      <c r="F7660" s="35"/>
    </row>
    <row r="7661" spans="6:6">
      <c r="F7661" s="35"/>
    </row>
    <row r="7662" spans="6:6">
      <c r="F7662" s="35"/>
    </row>
    <row r="7663" spans="6:6">
      <c r="F7663" s="35"/>
    </row>
    <row r="7664" spans="6:6">
      <c r="F7664" s="35"/>
    </row>
    <row r="7665" spans="6:6">
      <c r="F7665" s="35"/>
    </row>
    <row r="7666" spans="6:6">
      <c r="F7666" s="35"/>
    </row>
    <row r="7667" spans="6:6">
      <c r="F7667" s="35"/>
    </row>
    <row r="7668" spans="6:6">
      <c r="F7668" s="35"/>
    </row>
    <row r="7669" spans="6:6">
      <c r="F7669" s="35"/>
    </row>
    <row r="7670" spans="6:6">
      <c r="F7670" s="35"/>
    </row>
    <row r="7671" spans="6:6">
      <c r="F7671" s="35"/>
    </row>
    <row r="7672" spans="6:6">
      <c r="F7672" s="35"/>
    </row>
    <row r="7673" spans="6:6">
      <c r="F7673" s="35"/>
    </row>
    <row r="7674" spans="6:6">
      <c r="F7674" s="35"/>
    </row>
    <row r="7675" spans="6:6">
      <c r="F7675" s="35"/>
    </row>
    <row r="7676" spans="6:6">
      <c r="F7676" s="35"/>
    </row>
    <row r="7677" spans="6:6">
      <c r="F7677" s="35"/>
    </row>
    <row r="7678" spans="6:6">
      <c r="F7678" s="35"/>
    </row>
    <row r="7679" spans="6:6">
      <c r="F7679" s="35"/>
    </row>
    <row r="7680" spans="6:6">
      <c r="F7680" s="35"/>
    </row>
    <row r="7681" spans="6:6">
      <c r="F7681" s="35"/>
    </row>
    <row r="7682" spans="6:6">
      <c r="F7682" s="35"/>
    </row>
    <row r="7683" spans="6:6">
      <c r="F7683" s="35"/>
    </row>
    <row r="7684" spans="6:6">
      <c r="F7684" s="35"/>
    </row>
    <row r="7685" spans="6:6">
      <c r="F7685" s="35"/>
    </row>
    <row r="7686" spans="6:6">
      <c r="F7686" s="35"/>
    </row>
    <row r="7687" spans="6:6">
      <c r="F7687" s="35"/>
    </row>
    <row r="7688" spans="6:6">
      <c r="F7688" s="35"/>
    </row>
    <row r="7689" spans="6:6">
      <c r="F7689" s="35"/>
    </row>
    <row r="7690" spans="6:6">
      <c r="F7690" s="35"/>
    </row>
    <row r="7691" spans="6:6">
      <c r="F7691" s="35"/>
    </row>
    <row r="7692" spans="6:6">
      <c r="F7692" s="35"/>
    </row>
    <row r="7693" spans="6:6">
      <c r="F7693" s="35"/>
    </row>
    <row r="7694" spans="6:6">
      <c r="F7694" s="35"/>
    </row>
    <row r="7695" spans="6:6">
      <c r="F7695" s="35"/>
    </row>
    <row r="7696" spans="6:6">
      <c r="F7696" s="35"/>
    </row>
    <row r="7697" spans="6:6">
      <c r="F7697" s="35"/>
    </row>
    <row r="7698" spans="6:6">
      <c r="F7698" s="35"/>
    </row>
    <row r="7699" spans="6:6">
      <c r="F7699" s="35"/>
    </row>
    <row r="7700" spans="6:6">
      <c r="F7700" s="35"/>
    </row>
    <row r="7701" spans="6:6">
      <c r="F7701" s="35"/>
    </row>
    <row r="7702" spans="6:6">
      <c r="F7702" s="35"/>
    </row>
    <row r="7703" spans="6:6">
      <c r="F7703" s="35"/>
    </row>
    <row r="7704" spans="6:6">
      <c r="F7704" s="35"/>
    </row>
    <row r="7705" spans="6:6">
      <c r="F7705" s="35"/>
    </row>
    <row r="7706" spans="6:6">
      <c r="F7706" s="35"/>
    </row>
    <row r="7707" spans="6:6">
      <c r="F7707" s="35"/>
    </row>
    <row r="7708" spans="6:6">
      <c r="F7708" s="35"/>
    </row>
    <row r="7709" spans="6:6">
      <c r="F7709" s="35"/>
    </row>
    <row r="7710" spans="6:6">
      <c r="F7710" s="35"/>
    </row>
    <row r="7711" spans="6:6">
      <c r="F7711" s="35"/>
    </row>
    <row r="7712" spans="6:6">
      <c r="F7712" s="35"/>
    </row>
    <row r="7713" spans="6:6">
      <c r="F7713" s="35"/>
    </row>
    <row r="7714" spans="6:6">
      <c r="F7714" s="35"/>
    </row>
    <row r="7715" spans="6:6">
      <c r="F7715" s="35"/>
    </row>
    <row r="7716" spans="6:6">
      <c r="F7716" s="35"/>
    </row>
    <row r="7717" spans="6:6">
      <c r="F7717" s="35"/>
    </row>
    <row r="7718" spans="6:6">
      <c r="F7718" s="35"/>
    </row>
    <row r="7719" spans="6:6">
      <c r="F7719" s="35"/>
    </row>
    <row r="7720" spans="6:6">
      <c r="F7720" s="35"/>
    </row>
    <row r="7721" spans="6:6">
      <c r="F7721" s="35"/>
    </row>
    <row r="7722" spans="6:6">
      <c r="F7722" s="35"/>
    </row>
    <row r="7723" spans="6:6">
      <c r="F7723" s="35"/>
    </row>
    <row r="7724" spans="6:6">
      <c r="F7724" s="35"/>
    </row>
    <row r="7725" spans="6:6">
      <c r="F7725" s="35"/>
    </row>
    <row r="7726" spans="6:6">
      <c r="F7726" s="35"/>
    </row>
    <row r="7727" spans="6:6">
      <c r="F7727" s="35"/>
    </row>
    <row r="7728" spans="6:6">
      <c r="F7728" s="35"/>
    </row>
    <row r="7729" spans="6:6">
      <c r="F7729" s="35"/>
    </row>
    <row r="7730" spans="6:6">
      <c r="F7730" s="35"/>
    </row>
    <row r="7731" spans="6:6">
      <c r="F7731" s="35"/>
    </row>
    <row r="7732" spans="6:6">
      <c r="F7732" s="35"/>
    </row>
    <row r="7733" spans="6:6">
      <c r="F7733" s="35"/>
    </row>
    <row r="7734" spans="6:6">
      <c r="F7734" s="35"/>
    </row>
    <row r="7735" spans="6:6">
      <c r="F7735" s="35"/>
    </row>
    <row r="7736" spans="6:6">
      <c r="F7736" s="35"/>
    </row>
    <row r="7737" spans="6:6">
      <c r="F7737" s="35"/>
    </row>
    <row r="7738" spans="6:6">
      <c r="F7738" s="35"/>
    </row>
    <row r="7739" spans="6:6">
      <c r="F7739" s="35"/>
    </row>
    <row r="7740" spans="6:6">
      <c r="F7740" s="35"/>
    </row>
    <row r="7741" spans="6:6">
      <c r="F7741" s="35"/>
    </row>
    <row r="7742" spans="6:6">
      <c r="F7742" s="35"/>
    </row>
    <row r="7743" spans="6:6">
      <c r="F7743" s="35"/>
    </row>
    <row r="7744" spans="6:6">
      <c r="F7744" s="35"/>
    </row>
    <row r="7745" spans="6:6">
      <c r="F7745" s="35"/>
    </row>
    <row r="7746" spans="6:6">
      <c r="F7746" s="35"/>
    </row>
    <row r="7747" spans="6:6">
      <c r="F7747" s="35"/>
    </row>
    <row r="7748" spans="6:6">
      <c r="F7748" s="35"/>
    </row>
    <row r="7749" spans="6:6">
      <c r="F7749" s="35"/>
    </row>
    <row r="7750" spans="6:6">
      <c r="F7750" s="35"/>
    </row>
    <row r="7751" spans="6:6">
      <c r="F7751" s="35"/>
    </row>
    <row r="7752" spans="6:6">
      <c r="F7752" s="35"/>
    </row>
    <row r="7753" spans="6:6">
      <c r="F7753" s="35"/>
    </row>
    <row r="7754" spans="6:6">
      <c r="F7754" s="35"/>
    </row>
    <row r="7755" spans="6:6">
      <c r="F7755" s="35"/>
    </row>
    <row r="7756" spans="6:6">
      <c r="F7756" s="35"/>
    </row>
    <row r="7757" spans="6:6">
      <c r="F7757" s="35"/>
    </row>
    <row r="7758" spans="6:6">
      <c r="F7758" s="35"/>
    </row>
    <row r="7759" spans="6:6">
      <c r="F7759" s="35"/>
    </row>
    <row r="7760" spans="6:6">
      <c r="F7760" s="35"/>
    </row>
    <row r="7761" spans="6:6">
      <c r="F7761" s="35"/>
    </row>
    <row r="7762" spans="6:6">
      <c r="F7762" s="35"/>
    </row>
    <row r="7763" spans="6:6">
      <c r="F7763" s="35"/>
    </row>
    <row r="7764" spans="6:6">
      <c r="F7764" s="35"/>
    </row>
    <row r="7765" spans="6:6">
      <c r="F7765" s="35"/>
    </row>
    <row r="7766" spans="6:6">
      <c r="F7766" s="35"/>
    </row>
    <row r="7767" spans="6:6">
      <c r="F7767" s="35"/>
    </row>
    <row r="7768" spans="6:6">
      <c r="F7768" s="35"/>
    </row>
    <row r="7769" spans="6:6">
      <c r="F7769" s="35"/>
    </row>
    <row r="7770" spans="6:6">
      <c r="F7770" s="35"/>
    </row>
    <row r="7771" spans="6:6">
      <c r="F7771" s="35"/>
    </row>
    <row r="7772" spans="6:6">
      <c r="F7772" s="35"/>
    </row>
    <row r="7773" spans="6:6">
      <c r="F7773" s="35"/>
    </row>
    <row r="7774" spans="6:6">
      <c r="F7774" s="35"/>
    </row>
    <row r="7775" spans="6:6">
      <c r="F7775" s="35"/>
    </row>
    <row r="7776" spans="6:6">
      <c r="F7776" s="35"/>
    </row>
    <row r="7777" spans="6:6">
      <c r="F7777" s="35"/>
    </row>
    <row r="7778" spans="6:6">
      <c r="F7778" s="35"/>
    </row>
    <row r="7779" spans="6:6">
      <c r="F7779" s="35"/>
    </row>
    <row r="7780" spans="6:6">
      <c r="F7780" s="35"/>
    </row>
    <row r="7781" spans="6:6">
      <c r="F7781" s="35"/>
    </row>
    <row r="7782" spans="6:6">
      <c r="F7782" s="35"/>
    </row>
    <row r="7783" spans="6:6">
      <c r="F7783" s="35"/>
    </row>
    <row r="7784" spans="6:6">
      <c r="F7784" s="35"/>
    </row>
    <row r="7785" spans="6:6">
      <c r="F7785" s="35"/>
    </row>
    <row r="7786" spans="6:6">
      <c r="F7786" s="35"/>
    </row>
    <row r="7787" spans="6:6">
      <c r="F7787" s="35"/>
    </row>
    <row r="7788" spans="6:6">
      <c r="F7788" s="35"/>
    </row>
    <row r="7789" spans="6:6">
      <c r="F7789" s="35"/>
    </row>
    <row r="7790" spans="6:6">
      <c r="F7790" s="35"/>
    </row>
    <row r="7791" spans="6:6">
      <c r="F7791" s="35"/>
    </row>
    <row r="7792" spans="6:6">
      <c r="F7792" s="35"/>
    </row>
    <row r="7793" spans="6:6">
      <c r="F7793" s="35"/>
    </row>
    <row r="7794" spans="6:6">
      <c r="F7794" s="35"/>
    </row>
    <row r="7795" spans="6:6">
      <c r="F7795" s="35"/>
    </row>
    <row r="7796" spans="6:6">
      <c r="F7796" s="35"/>
    </row>
    <row r="7797" spans="6:6">
      <c r="F7797" s="35"/>
    </row>
    <row r="7798" spans="6:6">
      <c r="F7798" s="35"/>
    </row>
    <row r="7799" spans="6:6">
      <c r="F7799" s="35"/>
    </row>
    <row r="7800" spans="6:6">
      <c r="F7800" s="35"/>
    </row>
    <row r="7801" spans="6:6">
      <c r="F7801" s="35"/>
    </row>
    <row r="7802" spans="6:6">
      <c r="F7802" s="35"/>
    </row>
    <row r="7803" spans="6:6">
      <c r="F7803" s="35"/>
    </row>
    <row r="7804" spans="6:6">
      <c r="F7804" s="35"/>
    </row>
    <row r="7805" spans="6:6">
      <c r="F7805" s="35"/>
    </row>
    <row r="7806" spans="6:6">
      <c r="F7806" s="35"/>
    </row>
    <row r="7807" spans="6:6">
      <c r="F7807" s="35"/>
    </row>
    <row r="7808" spans="6:6">
      <c r="F7808" s="35"/>
    </row>
    <row r="7809" spans="6:6">
      <c r="F7809" s="35"/>
    </row>
    <row r="7810" spans="6:6">
      <c r="F7810" s="35"/>
    </row>
    <row r="7811" spans="6:6">
      <c r="F7811" s="35"/>
    </row>
    <row r="7812" spans="6:6">
      <c r="F7812" s="35"/>
    </row>
    <row r="7813" spans="6:6">
      <c r="F7813" s="35"/>
    </row>
    <row r="7814" spans="6:6">
      <c r="F7814" s="35"/>
    </row>
    <row r="7815" spans="6:6">
      <c r="F7815" s="35"/>
    </row>
    <row r="7816" spans="6:6">
      <c r="F7816" s="35"/>
    </row>
    <row r="7817" spans="6:6">
      <c r="F7817" s="35"/>
    </row>
    <row r="7818" spans="6:6">
      <c r="F7818" s="35"/>
    </row>
    <row r="7819" spans="6:6">
      <c r="F7819" s="35"/>
    </row>
    <row r="7820" spans="6:6">
      <c r="F7820" s="35"/>
    </row>
    <row r="7821" spans="6:6">
      <c r="F7821" s="35"/>
    </row>
    <row r="7822" spans="6:6">
      <c r="F7822" s="35"/>
    </row>
    <row r="7823" spans="6:6">
      <c r="F7823" s="35"/>
    </row>
    <row r="7824" spans="6:6">
      <c r="F7824" s="35"/>
    </row>
    <row r="7825" spans="6:6">
      <c r="F7825" s="35"/>
    </row>
    <row r="7826" spans="6:6">
      <c r="F7826" s="35"/>
    </row>
    <row r="7827" spans="6:6">
      <c r="F7827" s="35"/>
    </row>
    <row r="7828" spans="6:6">
      <c r="F7828" s="35"/>
    </row>
    <row r="7829" spans="6:6">
      <c r="F7829" s="35"/>
    </row>
    <row r="7830" spans="6:6">
      <c r="F7830" s="35"/>
    </row>
    <row r="7831" spans="6:6">
      <c r="F7831" s="35"/>
    </row>
    <row r="7832" spans="6:6">
      <c r="F7832" s="35"/>
    </row>
    <row r="7833" spans="6:6">
      <c r="F7833" s="35"/>
    </row>
    <row r="7834" spans="6:6">
      <c r="F7834" s="35"/>
    </row>
    <row r="7835" spans="6:6">
      <c r="F7835" s="35"/>
    </row>
    <row r="7836" spans="6:6">
      <c r="F7836" s="35"/>
    </row>
    <row r="7837" spans="6:6">
      <c r="F7837" s="35"/>
    </row>
    <row r="7838" spans="6:6">
      <c r="F7838" s="35"/>
    </row>
    <row r="7839" spans="6:6">
      <c r="F7839" s="35"/>
    </row>
    <row r="7840" spans="6:6">
      <c r="F7840" s="35"/>
    </row>
    <row r="7841" spans="6:6">
      <c r="F7841" s="35"/>
    </row>
    <row r="7842" spans="6:6">
      <c r="F7842" s="35"/>
    </row>
    <row r="7843" spans="6:6">
      <c r="F7843" s="35"/>
    </row>
    <row r="7844" spans="6:6">
      <c r="F7844" s="35"/>
    </row>
    <row r="7845" spans="6:6">
      <c r="F7845" s="35"/>
    </row>
    <row r="7846" spans="6:6">
      <c r="F7846" s="35"/>
    </row>
    <row r="7847" spans="6:6">
      <c r="F7847" s="35"/>
    </row>
    <row r="7848" spans="6:6">
      <c r="F7848" s="35"/>
    </row>
    <row r="7849" spans="6:6">
      <c r="F7849" s="35"/>
    </row>
    <row r="7850" spans="6:6">
      <c r="F7850" s="35"/>
    </row>
    <row r="7851" spans="6:6">
      <c r="F7851" s="35"/>
    </row>
    <row r="7852" spans="6:6">
      <c r="F7852" s="35"/>
    </row>
    <row r="7853" spans="6:6">
      <c r="F7853" s="35"/>
    </row>
    <row r="7854" spans="6:6">
      <c r="F7854" s="35"/>
    </row>
    <row r="7855" spans="6:6">
      <c r="F7855" s="35"/>
    </row>
    <row r="7856" spans="6:6">
      <c r="F7856" s="35"/>
    </row>
    <row r="7857" spans="6:6">
      <c r="F7857" s="35"/>
    </row>
    <row r="7858" spans="6:6">
      <c r="F7858" s="35"/>
    </row>
    <row r="7859" spans="6:6">
      <c r="F7859" s="35"/>
    </row>
    <row r="7860" spans="6:6">
      <c r="F7860" s="35"/>
    </row>
    <row r="7861" spans="6:6">
      <c r="F7861" s="35"/>
    </row>
    <row r="7862" spans="6:6">
      <c r="F7862" s="35"/>
    </row>
    <row r="7863" spans="6:6">
      <c r="F7863" s="35"/>
    </row>
    <row r="7864" spans="6:6">
      <c r="F7864" s="35"/>
    </row>
    <row r="7865" spans="6:6">
      <c r="F7865" s="35"/>
    </row>
    <row r="7866" spans="6:6">
      <c r="F7866" s="35"/>
    </row>
    <row r="7867" spans="6:6">
      <c r="F7867" s="35"/>
    </row>
    <row r="7868" spans="6:6">
      <c r="F7868" s="35"/>
    </row>
    <row r="7869" spans="6:6">
      <c r="F7869" s="35"/>
    </row>
    <row r="7870" spans="6:6">
      <c r="F7870" s="35"/>
    </row>
    <row r="7871" spans="6:6">
      <c r="F7871" s="35"/>
    </row>
    <row r="7872" spans="6:6">
      <c r="F7872" s="35"/>
    </row>
    <row r="7873" spans="6:6">
      <c r="F7873" s="35"/>
    </row>
    <row r="7874" spans="6:6">
      <c r="F7874" s="35"/>
    </row>
    <row r="7875" spans="6:6">
      <c r="F7875" s="35"/>
    </row>
    <row r="7876" spans="6:6">
      <c r="F7876" s="35"/>
    </row>
    <row r="7877" spans="6:6">
      <c r="F7877" s="35"/>
    </row>
    <row r="7878" spans="6:6">
      <c r="F7878" s="35"/>
    </row>
    <row r="7879" spans="6:6">
      <c r="F7879" s="35"/>
    </row>
    <row r="7880" spans="6:6">
      <c r="F7880" s="35"/>
    </row>
    <row r="7881" spans="6:6">
      <c r="F7881" s="35"/>
    </row>
    <row r="7882" spans="6:6">
      <c r="F7882" s="35"/>
    </row>
    <row r="7883" spans="6:6">
      <c r="F7883" s="35"/>
    </row>
    <row r="7884" spans="6:6">
      <c r="F7884" s="35"/>
    </row>
    <row r="7885" spans="6:6">
      <c r="F7885" s="35"/>
    </row>
    <row r="7886" spans="6:6">
      <c r="F7886" s="35"/>
    </row>
    <row r="7887" spans="6:6">
      <c r="F7887" s="35"/>
    </row>
    <row r="7888" spans="6:6">
      <c r="F7888" s="35"/>
    </row>
    <row r="7889" spans="6:6">
      <c r="F7889" s="35"/>
    </row>
    <row r="7890" spans="6:6">
      <c r="F7890" s="35"/>
    </row>
    <row r="7891" spans="6:6">
      <c r="F7891" s="35"/>
    </row>
    <row r="7892" spans="6:6">
      <c r="F7892" s="35"/>
    </row>
    <row r="7893" spans="6:6">
      <c r="F7893" s="35"/>
    </row>
    <row r="7894" spans="6:6">
      <c r="F7894" s="35"/>
    </row>
    <row r="7895" spans="6:6">
      <c r="F7895" s="35"/>
    </row>
    <row r="7896" spans="6:6">
      <c r="F7896" s="35"/>
    </row>
    <row r="7897" spans="6:6">
      <c r="F7897" s="35"/>
    </row>
    <row r="7898" spans="6:6">
      <c r="F7898" s="35"/>
    </row>
    <row r="7899" spans="6:6">
      <c r="F7899" s="35"/>
    </row>
    <row r="7900" spans="6:6">
      <c r="F7900" s="35"/>
    </row>
    <row r="7901" spans="6:6">
      <c r="F7901" s="35"/>
    </row>
    <row r="7902" spans="6:6">
      <c r="F7902" s="35"/>
    </row>
    <row r="7903" spans="6:6">
      <c r="F7903" s="35"/>
    </row>
    <row r="7904" spans="6:6">
      <c r="F7904" s="35"/>
    </row>
    <row r="7905" spans="6:6">
      <c r="F7905" s="35"/>
    </row>
    <row r="7906" spans="6:6">
      <c r="F7906" s="35"/>
    </row>
    <row r="7907" spans="6:6">
      <c r="F7907" s="35"/>
    </row>
    <row r="7908" spans="6:6">
      <c r="F7908" s="35"/>
    </row>
    <row r="7909" spans="6:6">
      <c r="F7909" s="35"/>
    </row>
    <row r="7910" spans="6:6">
      <c r="F7910" s="35"/>
    </row>
    <row r="7911" spans="6:6">
      <c r="F7911" s="35"/>
    </row>
    <row r="7912" spans="6:6">
      <c r="F7912" s="35"/>
    </row>
    <row r="7913" spans="6:6">
      <c r="F7913" s="35"/>
    </row>
    <row r="7914" spans="6:6">
      <c r="F7914" s="35"/>
    </row>
    <row r="7915" spans="6:6">
      <c r="F7915" s="35"/>
    </row>
    <row r="7916" spans="6:6">
      <c r="F7916" s="35"/>
    </row>
    <row r="7917" spans="6:6">
      <c r="F7917" s="35"/>
    </row>
    <row r="7918" spans="6:6">
      <c r="F7918" s="35"/>
    </row>
    <row r="7919" spans="6:6">
      <c r="F7919" s="35"/>
    </row>
    <row r="7920" spans="6:6">
      <c r="F7920" s="35"/>
    </row>
    <row r="7921" spans="6:6">
      <c r="F7921" s="35"/>
    </row>
    <row r="7922" spans="6:6">
      <c r="F7922" s="35"/>
    </row>
    <row r="7923" spans="6:6">
      <c r="F7923" s="35"/>
    </row>
    <row r="7924" spans="6:6">
      <c r="F7924" s="35"/>
    </row>
    <row r="7925" spans="6:6">
      <c r="F7925" s="35"/>
    </row>
    <row r="7926" spans="6:6">
      <c r="F7926" s="35"/>
    </row>
    <row r="7927" spans="6:6">
      <c r="F7927" s="35"/>
    </row>
    <row r="7928" spans="6:6">
      <c r="F7928" s="35"/>
    </row>
    <row r="7929" spans="6:6">
      <c r="F7929" s="35"/>
    </row>
    <row r="7930" spans="6:6">
      <c r="F7930" s="35"/>
    </row>
    <row r="7931" spans="6:6">
      <c r="F7931" s="35"/>
    </row>
    <row r="7932" spans="6:6">
      <c r="F7932" s="35"/>
    </row>
    <row r="7933" spans="6:6">
      <c r="F7933" s="35"/>
    </row>
    <row r="7934" spans="6:6">
      <c r="F7934" s="35"/>
    </row>
    <row r="7935" spans="6:6">
      <c r="F7935" s="35"/>
    </row>
    <row r="7936" spans="6:6">
      <c r="F7936" s="35"/>
    </row>
    <row r="7937" spans="6:6">
      <c r="F7937" s="35"/>
    </row>
    <row r="7938" spans="6:6">
      <c r="F7938" s="35"/>
    </row>
    <row r="7939" spans="6:6">
      <c r="F7939" s="35"/>
    </row>
    <row r="7940" spans="6:6">
      <c r="F7940" s="35"/>
    </row>
    <row r="7941" spans="6:6">
      <c r="F7941" s="35"/>
    </row>
    <row r="7942" spans="6:6">
      <c r="F7942" s="35"/>
    </row>
    <row r="7943" spans="6:6">
      <c r="F7943" s="35"/>
    </row>
    <row r="7944" spans="6:6">
      <c r="F7944" s="35"/>
    </row>
    <row r="7945" spans="6:6">
      <c r="F7945" s="35"/>
    </row>
    <row r="7946" spans="6:6">
      <c r="F7946" s="35"/>
    </row>
    <row r="7947" spans="6:6">
      <c r="F7947" s="35"/>
    </row>
    <row r="7948" spans="6:6">
      <c r="F7948" s="35"/>
    </row>
    <row r="7949" spans="6:6">
      <c r="F7949" s="35"/>
    </row>
    <row r="7950" spans="6:6">
      <c r="F7950" s="35"/>
    </row>
    <row r="7951" spans="6:6">
      <c r="F7951" s="35"/>
    </row>
    <row r="7952" spans="6:6">
      <c r="F7952" s="35"/>
    </row>
    <row r="7953" spans="6:6">
      <c r="F7953" s="35"/>
    </row>
    <row r="7954" spans="6:6">
      <c r="F7954" s="35"/>
    </row>
    <row r="7955" spans="6:6">
      <c r="F7955" s="35"/>
    </row>
    <row r="7956" spans="6:6">
      <c r="F7956" s="35"/>
    </row>
    <row r="7957" spans="6:6">
      <c r="F7957" s="35"/>
    </row>
    <row r="7958" spans="6:6">
      <c r="F7958" s="35"/>
    </row>
    <row r="7959" spans="6:6">
      <c r="F7959" s="35"/>
    </row>
    <row r="7960" spans="6:6">
      <c r="F7960" s="35"/>
    </row>
    <row r="7961" spans="6:6">
      <c r="F7961" s="35"/>
    </row>
    <row r="7962" spans="6:6">
      <c r="F7962" s="35"/>
    </row>
    <row r="7963" spans="6:6">
      <c r="F7963" s="35"/>
    </row>
    <row r="7964" spans="6:6">
      <c r="F7964" s="35"/>
    </row>
    <row r="7965" spans="6:6">
      <c r="F7965" s="35"/>
    </row>
    <row r="7966" spans="6:6">
      <c r="F7966" s="35"/>
    </row>
    <row r="7967" spans="6:6">
      <c r="F7967" s="35"/>
    </row>
    <row r="7968" spans="6:6">
      <c r="F7968" s="35"/>
    </row>
    <row r="7969" spans="6:6">
      <c r="F7969" s="35"/>
    </row>
    <row r="7970" spans="6:6">
      <c r="F7970" s="35"/>
    </row>
    <row r="7971" spans="6:6">
      <c r="F7971" s="35"/>
    </row>
    <row r="7972" spans="6:6">
      <c r="F7972" s="35"/>
    </row>
    <row r="7973" spans="6:6">
      <c r="F7973" s="35"/>
    </row>
    <row r="7974" spans="6:6">
      <c r="F7974" s="35"/>
    </row>
    <row r="7975" spans="6:6">
      <c r="F7975" s="35"/>
    </row>
    <row r="7976" spans="6:6">
      <c r="F7976" s="35"/>
    </row>
    <row r="7977" spans="6:6">
      <c r="F7977" s="35"/>
    </row>
    <row r="7978" spans="6:6">
      <c r="F7978" s="35"/>
    </row>
    <row r="7979" spans="6:6">
      <c r="F7979" s="35"/>
    </row>
    <row r="7980" spans="6:6">
      <c r="F7980" s="35"/>
    </row>
    <row r="7981" spans="6:6">
      <c r="F7981" s="35"/>
    </row>
    <row r="7982" spans="6:6">
      <c r="F7982" s="35"/>
    </row>
    <row r="7983" spans="6:6">
      <c r="F7983" s="35"/>
    </row>
    <row r="7984" spans="6:6">
      <c r="F7984" s="35"/>
    </row>
    <row r="7985" spans="6:6">
      <c r="F7985" s="35"/>
    </row>
    <row r="7986" spans="6:6">
      <c r="F7986" s="35"/>
    </row>
    <row r="7987" spans="6:6">
      <c r="F7987" s="35"/>
    </row>
    <row r="7988" spans="6:6">
      <c r="F7988" s="35"/>
    </row>
    <row r="7989" spans="6:6">
      <c r="F7989" s="35"/>
    </row>
    <row r="7990" spans="6:6">
      <c r="F7990" s="35"/>
    </row>
    <row r="7991" spans="6:6">
      <c r="F7991" s="35"/>
    </row>
    <row r="7992" spans="6:6">
      <c r="F7992" s="35"/>
    </row>
    <row r="7993" spans="6:6">
      <c r="F7993" s="35"/>
    </row>
    <row r="7994" spans="6:6">
      <c r="F7994" s="35"/>
    </row>
    <row r="7995" spans="6:6">
      <c r="F7995" s="35"/>
    </row>
    <row r="7996" spans="6:6">
      <c r="F7996" s="35"/>
    </row>
    <row r="7997" spans="6:6">
      <c r="F7997" s="35"/>
    </row>
    <row r="7998" spans="6:6">
      <c r="F7998" s="35"/>
    </row>
    <row r="7999" spans="6:6">
      <c r="F7999" s="35"/>
    </row>
    <row r="8000" spans="6:6">
      <c r="F8000" s="35"/>
    </row>
    <row r="8001" spans="6:6">
      <c r="F8001" s="35"/>
    </row>
    <row r="8002" spans="6:6">
      <c r="F8002" s="35"/>
    </row>
    <row r="8003" spans="6:6">
      <c r="F8003" s="35"/>
    </row>
    <row r="8004" spans="6:6">
      <c r="F8004" s="35"/>
    </row>
    <row r="8005" spans="6:6">
      <c r="F8005" s="35"/>
    </row>
    <row r="8006" spans="6:6">
      <c r="F8006" s="35"/>
    </row>
    <row r="8007" spans="6:6">
      <c r="F8007" s="35"/>
    </row>
    <row r="8008" spans="6:6">
      <c r="F8008" s="35"/>
    </row>
    <row r="8009" spans="6:6">
      <c r="F8009" s="35"/>
    </row>
    <row r="8010" spans="6:6">
      <c r="F8010" s="35"/>
    </row>
    <row r="8011" spans="6:6">
      <c r="F8011" s="35"/>
    </row>
    <row r="8012" spans="6:6">
      <c r="F8012" s="35"/>
    </row>
    <row r="8013" spans="6:6">
      <c r="F8013" s="35"/>
    </row>
    <row r="8014" spans="6:6">
      <c r="F8014" s="35"/>
    </row>
    <row r="8015" spans="6:6">
      <c r="F8015" s="35"/>
    </row>
    <row r="8016" spans="6:6">
      <c r="F8016" s="35"/>
    </row>
    <row r="8017" spans="6:6">
      <c r="F8017" s="35"/>
    </row>
    <row r="8018" spans="6:6">
      <c r="F8018" s="35"/>
    </row>
    <row r="8019" spans="6:6">
      <c r="F8019" s="35"/>
    </row>
    <row r="8020" spans="6:6">
      <c r="F8020" s="35"/>
    </row>
    <row r="8021" spans="6:6">
      <c r="F8021" s="35"/>
    </row>
    <row r="8022" spans="6:6">
      <c r="F8022" s="35"/>
    </row>
    <row r="8023" spans="6:6">
      <c r="F8023" s="35"/>
    </row>
    <row r="8024" spans="6:6">
      <c r="F8024" s="35"/>
    </row>
    <row r="8025" spans="6:6">
      <c r="F8025" s="35"/>
    </row>
    <row r="8026" spans="6:6">
      <c r="F8026" s="35"/>
    </row>
    <row r="8027" spans="6:6">
      <c r="F8027" s="35"/>
    </row>
    <row r="8028" spans="6:6">
      <c r="F8028" s="35"/>
    </row>
    <row r="8029" spans="6:6">
      <c r="F8029" s="35"/>
    </row>
    <row r="8030" spans="6:6">
      <c r="F8030" s="35"/>
    </row>
    <row r="8031" spans="6:6">
      <c r="F8031" s="35"/>
    </row>
    <row r="8032" spans="6:6">
      <c r="F8032" s="35"/>
    </row>
    <row r="8033" spans="6:6">
      <c r="F8033" s="35"/>
    </row>
    <row r="8034" spans="6:6">
      <c r="F8034" s="35"/>
    </row>
    <row r="8035" spans="6:6">
      <c r="F8035" s="35"/>
    </row>
    <row r="8036" spans="6:6">
      <c r="F8036" s="35"/>
    </row>
    <row r="8037" spans="6:6">
      <c r="F8037" s="35"/>
    </row>
    <row r="8038" spans="6:6">
      <c r="F8038" s="35"/>
    </row>
    <row r="8039" spans="6:6">
      <c r="F8039" s="35"/>
    </row>
    <row r="8040" spans="6:6">
      <c r="F8040" s="35"/>
    </row>
    <row r="8041" spans="6:6">
      <c r="F8041" s="35"/>
    </row>
    <row r="8042" spans="6:6">
      <c r="F8042" s="35"/>
    </row>
    <row r="8043" spans="6:6">
      <c r="F8043" s="35"/>
    </row>
    <row r="8044" spans="6:6">
      <c r="F8044" s="35"/>
    </row>
    <row r="8045" spans="6:6">
      <c r="F8045" s="35"/>
    </row>
    <row r="8046" spans="6:6">
      <c r="F8046" s="35"/>
    </row>
    <row r="8047" spans="6:6">
      <c r="F8047" s="35"/>
    </row>
    <row r="8048" spans="6:6">
      <c r="F8048" s="35"/>
    </row>
    <row r="8049" spans="6:6">
      <c r="F8049" s="35"/>
    </row>
    <row r="8050" spans="6:6">
      <c r="F8050" s="35"/>
    </row>
    <row r="8051" spans="6:6">
      <c r="F8051" s="35"/>
    </row>
    <row r="8052" spans="6:6">
      <c r="F8052" s="35"/>
    </row>
    <row r="8053" spans="6:6">
      <c r="F8053" s="35"/>
    </row>
    <row r="8054" spans="6:6">
      <c r="F8054" s="35"/>
    </row>
    <row r="8055" spans="6:6">
      <c r="F8055" s="35"/>
    </row>
    <row r="8056" spans="6:6">
      <c r="F8056" s="35"/>
    </row>
    <row r="8057" spans="6:6">
      <c r="F8057" s="35"/>
    </row>
    <row r="8058" spans="6:6">
      <c r="F8058" s="35"/>
    </row>
    <row r="8059" spans="6:6">
      <c r="F8059" s="35"/>
    </row>
    <row r="8060" spans="6:6">
      <c r="F8060" s="35"/>
    </row>
    <row r="8061" spans="6:6">
      <c r="F8061" s="35"/>
    </row>
    <row r="8062" spans="6:6">
      <c r="F8062" s="35"/>
    </row>
    <row r="8063" spans="6:6">
      <c r="F8063" s="35"/>
    </row>
    <row r="8064" spans="6:6">
      <c r="F8064" s="35"/>
    </row>
    <row r="8065" spans="6:6">
      <c r="F8065" s="35"/>
    </row>
    <row r="8066" spans="6:6">
      <c r="F8066" s="35"/>
    </row>
    <row r="8067" spans="6:6">
      <c r="F8067" s="35"/>
    </row>
    <row r="8068" spans="6:6">
      <c r="F8068" s="35"/>
    </row>
    <row r="8069" spans="6:6">
      <c r="F8069" s="35"/>
    </row>
    <row r="8070" spans="6:6">
      <c r="F8070" s="35"/>
    </row>
    <row r="8071" spans="6:6">
      <c r="F8071" s="35"/>
    </row>
    <row r="8072" spans="6:6">
      <c r="F8072" s="35"/>
    </row>
    <row r="8073" spans="6:6">
      <c r="F8073" s="35"/>
    </row>
    <row r="8074" spans="6:6">
      <c r="F8074" s="35"/>
    </row>
    <row r="8075" spans="6:6">
      <c r="F8075" s="35"/>
    </row>
    <row r="8076" spans="6:6">
      <c r="F8076" s="35"/>
    </row>
    <row r="8077" spans="6:6">
      <c r="F8077" s="35"/>
    </row>
    <row r="8078" spans="6:6">
      <c r="F8078" s="35"/>
    </row>
    <row r="8079" spans="6:6">
      <c r="F8079" s="35"/>
    </row>
    <row r="8080" spans="6:6">
      <c r="F8080" s="35"/>
    </row>
    <row r="8081" spans="6:6">
      <c r="F8081" s="35"/>
    </row>
    <row r="8082" spans="6:6">
      <c r="F8082" s="35"/>
    </row>
    <row r="8083" spans="6:6">
      <c r="F8083" s="35"/>
    </row>
    <row r="8084" spans="6:6">
      <c r="F8084" s="35"/>
    </row>
    <row r="8085" spans="6:6">
      <c r="F8085" s="35"/>
    </row>
    <row r="8086" spans="6:6">
      <c r="F8086" s="35"/>
    </row>
    <row r="8087" spans="6:6">
      <c r="F8087" s="35"/>
    </row>
    <row r="8088" spans="6:6">
      <c r="F8088" s="35"/>
    </row>
    <row r="8089" spans="6:6">
      <c r="F8089" s="35"/>
    </row>
    <row r="8090" spans="6:6">
      <c r="F8090" s="35"/>
    </row>
    <row r="8091" spans="6:6">
      <c r="F8091" s="35"/>
    </row>
    <row r="8092" spans="6:6">
      <c r="F8092" s="35"/>
    </row>
    <row r="8093" spans="6:6">
      <c r="F8093" s="35"/>
    </row>
    <row r="8094" spans="6:6">
      <c r="F8094" s="35"/>
    </row>
    <row r="8095" spans="6:6">
      <c r="F8095" s="35"/>
    </row>
    <row r="8096" spans="6:6">
      <c r="F8096" s="35"/>
    </row>
    <row r="8097" spans="6:6">
      <c r="F8097" s="35"/>
    </row>
    <row r="8098" spans="6:6">
      <c r="F8098" s="35"/>
    </row>
    <row r="8099" spans="6:6">
      <c r="F8099" s="35"/>
    </row>
    <row r="8100" spans="6:6">
      <c r="F8100" s="35"/>
    </row>
    <row r="8101" spans="6:6">
      <c r="F8101" s="35"/>
    </row>
    <row r="8102" spans="6:6">
      <c r="F8102" s="35"/>
    </row>
    <row r="8103" spans="6:6">
      <c r="F8103" s="35"/>
    </row>
    <row r="8104" spans="6:6">
      <c r="F8104" s="35"/>
    </row>
    <row r="8105" spans="6:6">
      <c r="F8105" s="35"/>
    </row>
    <row r="8106" spans="6:6">
      <c r="F8106" s="35"/>
    </row>
    <row r="8107" spans="6:6">
      <c r="F8107" s="35"/>
    </row>
    <row r="8108" spans="6:6">
      <c r="F8108" s="35"/>
    </row>
    <row r="8109" spans="6:6">
      <c r="F8109" s="35"/>
    </row>
    <row r="8110" spans="6:6">
      <c r="F8110" s="35"/>
    </row>
    <row r="8111" spans="6:6">
      <c r="F8111" s="35"/>
    </row>
    <row r="8112" spans="6:6">
      <c r="F8112" s="35"/>
    </row>
    <row r="8113" spans="6:6">
      <c r="F8113" s="35"/>
    </row>
    <row r="8114" spans="6:6">
      <c r="F8114" s="35"/>
    </row>
    <row r="8115" spans="6:6">
      <c r="F8115" s="35"/>
    </row>
    <row r="8116" spans="6:6">
      <c r="F8116" s="35"/>
    </row>
    <row r="8117" spans="6:6">
      <c r="F8117" s="35"/>
    </row>
    <row r="8118" spans="6:6">
      <c r="F8118" s="35"/>
    </row>
    <row r="8119" spans="6:6">
      <c r="F8119" s="35"/>
    </row>
    <row r="8120" spans="6:6">
      <c r="F8120" s="35"/>
    </row>
    <row r="8121" spans="6:6">
      <c r="F8121" s="35"/>
    </row>
    <row r="8122" spans="6:6">
      <c r="F8122" s="35"/>
    </row>
    <row r="8123" spans="6:6">
      <c r="F8123" s="35"/>
    </row>
    <row r="8124" spans="6:6">
      <c r="F8124" s="35"/>
    </row>
    <row r="8125" spans="6:6">
      <c r="F8125" s="35"/>
    </row>
    <row r="8126" spans="6:6">
      <c r="F8126" s="35"/>
    </row>
    <row r="8127" spans="6:6">
      <c r="F8127" s="35"/>
    </row>
    <row r="8128" spans="6:6">
      <c r="F8128" s="35"/>
    </row>
    <row r="8129" spans="6:6">
      <c r="F8129" s="35"/>
    </row>
    <row r="8130" spans="6:6">
      <c r="F8130" s="35"/>
    </row>
    <row r="8131" spans="6:6">
      <c r="F8131" s="35"/>
    </row>
    <row r="8132" spans="6:6">
      <c r="F8132" s="35"/>
    </row>
    <row r="8133" spans="6:6">
      <c r="F8133" s="35"/>
    </row>
    <row r="8134" spans="6:6">
      <c r="F8134" s="35"/>
    </row>
    <row r="8135" spans="6:6">
      <c r="F8135" s="35"/>
    </row>
    <row r="8136" spans="6:6">
      <c r="F8136" s="35"/>
    </row>
    <row r="8137" spans="6:6">
      <c r="F8137" s="35"/>
    </row>
    <row r="8138" spans="6:6">
      <c r="F8138" s="35"/>
    </row>
    <row r="8139" spans="6:6">
      <c r="F8139" s="35"/>
    </row>
    <row r="8140" spans="6:6">
      <c r="F8140" s="35"/>
    </row>
    <row r="8141" spans="6:6">
      <c r="F8141" s="35"/>
    </row>
    <row r="8142" spans="6:6">
      <c r="F8142" s="35"/>
    </row>
    <row r="8143" spans="6:6">
      <c r="F8143" s="35"/>
    </row>
    <row r="8144" spans="6:6">
      <c r="F8144" s="35"/>
    </row>
    <row r="8145" spans="6:6">
      <c r="F8145" s="35"/>
    </row>
    <row r="8146" spans="6:6">
      <c r="F8146" s="35"/>
    </row>
    <row r="8147" spans="6:6">
      <c r="F8147" s="35"/>
    </row>
    <row r="8148" spans="6:6">
      <c r="F8148" s="35"/>
    </row>
    <row r="8149" spans="6:6">
      <c r="F8149" s="35"/>
    </row>
    <row r="8150" spans="6:6">
      <c r="F8150" s="35"/>
    </row>
    <row r="8151" spans="6:6">
      <c r="F8151" s="35"/>
    </row>
    <row r="8152" spans="6:6">
      <c r="F8152" s="35"/>
    </row>
    <row r="8153" spans="6:6">
      <c r="F8153" s="35"/>
    </row>
    <row r="8154" spans="6:6">
      <c r="F8154" s="35"/>
    </row>
    <row r="8155" spans="6:6">
      <c r="F8155" s="35"/>
    </row>
    <row r="8156" spans="6:6">
      <c r="F8156" s="35"/>
    </row>
    <row r="8157" spans="6:6">
      <c r="F8157" s="35"/>
    </row>
    <row r="8158" spans="6:6">
      <c r="F8158" s="35"/>
    </row>
    <row r="8159" spans="6:6">
      <c r="F8159" s="35"/>
    </row>
    <row r="8160" spans="6:6">
      <c r="F8160" s="35"/>
    </row>
    <row r="8161" spans="6:6">
      <c r="F8161" s="35"/>
    </row>
    <row r="8162" spans="6:6">
      <c r="F8162" s="35"/>
    </row>
    <row r="8163" spans="6:6">
      <c r="F8163" s="35"/>
    </row>
    <row r="8164" spans="6:6">
      <c r="F8164" s="35"/>
    </row>
    <row r="8165" spans="6:6">
      <c r="F8165" s="35"/>
    </row>
    <row r="8166" spans="6:6">
      <c r="F8166" s="35"/>
    </row>
    <row r="8167" spans="6:6">
      <c r="F8167" s="35"/>
    </row>
    <row r="8168" spans="6:6">
      <c r="F8168" s="35"/>
    </row>
    <row r="8169" spans="6:6">
      <c r="F8169" s="35"/>
    </row>
    <row r="8170" spans="6:6">
      <c r="F8170" s="35"/>
    </row>
    <row r="8171" spans="6:6">
      <c r="F8171" s="35"/>
    </row>
    <row r="8172" spans="6:6">
      <c r="F8172" s="35"/>
    </row>
    <row r="8173" spans="6:6">
      <c r="F8173" s="35"/>
    </row>
    <row r="8174" spans="6:6">
      <c r="F8174" s="35"/>
    </row>
    <row r="8175" spans="6:6">
      <c r="F8175" s="35"/>
    </row>
    <row r="8176" spans="6:6">
      <c r="F8176" s="35"/>
    </row>
    <row r="8177" spans="6:6">
      <c r="F8177" s="35"/>
    </row>
    <row r="8178" spans="6:6">
      <c r="F8178" s="35"/>
    </row>
    <row r="8179" spans="6:6">
      <c r="F8179" s="35"/>
    </row>
    <row r="8180" spans="6:6">
      <c r="F8180" s="35"/>
    </row>
    <row r="8181" spans="6:6">
      <c r="F8181" s="35"/>
    </row>
    <row r="8182" spans="6:6">
      <c r="F8182" s="35"/>
    </row>
    <row r="8183" spans="6:6">
      <c r="F8183" s="35"/>
    </row>
    <row r="8184" spans="6:6">
      <c r="F8184" s="35"/>
    </row>
    <row r="8185" spans="6:6">
      <c r="F8185" s="35"/>
    </row>
    <row r="8186" spans="6:6">
      <c r="F8186" s="35"/>
    </row>
    <row r="8187" spans="6:6">
      <c r="F8187" s="35"/>
    </row>
    <row r="8188" spans="6:6">
      <c r="F8188" s="35"/>
    </row>
    <row r="8189" spans="6:6">
      <c r="F8189" s="35"/>
    </row>
    <row r="8190" spans="6:6">
      <c r="F8190" s="35"/>
    </row>
    <row r="8191" spans="6:6">
      <c r="F8191" s="35"/>
    </row>
    <row r="8192" spans="6:6">
      <c r="F8192" s="35"/>
    </row>
    <row r="8193" spans="6:6">
      <c r="F8193" s="35"/>
    </row>
    <row r="8194" spans="6:6">
      <c r="F8194" s="35"/>
    </row>
    <row r="8195" spans="6:6">
      <c r="F8195" s="35"/>
    </row>
    <row r="8196" spans="6:6">
      <c r="F8196" s="35"/>
    </row>
    <row r="8197" spans="6:6">
      <c r="F8197" s="35"/>
    </row>
    <row r="8198" spans="6:6">
      <c r="F8198" s="35"/>
    </row>
    <row r="8199" spans="6:6">
      <c r="F8199" s="35"/>
    </row>
    <row r="8200" spans="6:6">
      <c r="F8200" s="35"/>
    </row>
    <row r="8201" spans="6:6">
      <c r="F8201" s="35"/>
    </row>
    <row r="8202" spans="6:6">
      <c r="F8202" s="35"/>
    </row>
    <row r="8203" spans="6:6">
      <c r="F8203" s="35"/>
    </row>
    <row r="8204" spans="6:6">
      <c r="F8204" s="35"/>
    </row>
    <row r="8205" spans="6:6">
      <c r="F8205" s="35"/>
    </row>
    <row r="8206" spans="6:6">
      <c r="F8206" s="35"/>
    </row>
    <row r="8207" spans="6:6">
      <c r="F8207" s="35"/>
    </row>
    <row r="8208" spans="6:6">
      <c r="F8208" s="35"/>
    </row>
    <row r="8209" spans="6:6">
      <c r="F8209" s="35"/>
    </row>
    <row r="8210" spans="6:6">
      <c r="F8210" s="35"/>
    </row>
    <row r="8211" spans="6:6">
      <c r="F8211" s="35"/>
    </row>
    <row r="8212" spans="6:6">
      <c r="F8212" s="35"/>
    </row>
    <row r="8213" spans="6:6">
      <c r="F8213" s="35"/>
    </row>
    <row r="8214" spans="6:6">
      <c r="F8214" s="35"/>
    </row>
    <row r="8215" spans="6:6">
      <c r="F8215" s="35"/>
    </row>
    <row r="8216" spans="6:6">
      <c r="F8216" s="35"/>
    </row>
    <row r="8217" spans="6:6">
      <c r="F8217" s="35"/>
    </row>
    <row r="8218" spans="6:6">
      <c r="F8218" s="35"/>
    </row>
    <row r="8219" spans="6:6">
      <c r="F8219" s="35"/>
    </row>
    <row r="8220" spans="6:6">
      <c r="F8220" s="35"/>
    </row>
    <row r="8221" spans="6:6">
      <c r="F8221" s="35"/>
    </row>
    <row r="8222" spans="6:6">
      <c r="F8222" s="35"/>
    </row>
    <row r="8223" spans="6:6">
      <c r="F8223" s="35"/>
    </row>
    <row r="8224" spans="6:6">
      <c r="F8224" s="35"/>
    </row>
    <row r="8225" spans="6:6">
      <c r="F8225" s="35"/>
    </row>
    <row r="8226" spans="6:6">
      <c r="F8226" s="35"/>
    </row>
    <row r="8227" spans="6:6">
      <c r="F8227" s="35"/>
    </row>
    <row r="8228" spans="6:6">
      <c r="F8228" s="35"/>
    </row>
    <row r="8229" spans="6:6">
      <c r="F8229" s="35"/>
    </row>
    <row r="8230" spans="6:6">
      <c r="F8230" s="35"/>
    </row>
    <row r="8231" spans="6:6">
      <c r="F8231" s="35"/>
    </row>
    <row r="8232" spans="6:6">
      <c r="F8232" s="35"/>
    </row>
    <row r="8233" spans="6:6">
      <c r="F8233" s="35"/>
    </row>
    <row r="8234" spans="6:6">
      <c r="F8234" s="35"/>
    </row>
    <row r="8235" spans="6:6">
      <c r="F8235" s="35"/>
    </row>
    <row r="8236" spans="6:6">
      <c r="F8236" s="35"/>
    </row>
    <row r="8237" spans="6:6">
      <c r="F8237" s="35"/>
    </row>
    <row r="8238" spans="6:6">
      <c r="F8238" s="35"/>
    </row>
    <row r="8239" spans="6:6">
      <c r="F8239" s="35"/>
    </row>
    <row r="8240" spans="6:6">
      <c r="F8240" s="35"/>
    </row>
    <row r="8241" spans="6:6">
      <c r="F8241" s="35"/>
    </row>
    <row r="8242" spans="6:6">
      <c r="F8242" s="35"/>
    </row>
    <row r="8243" spans="6:6">
      <c r="F8243" s="35"/>
    </row>
    <row r="8244" spans="6:6">
      <c r="F8244" s="35"/>
    </row>
    <row r="8245" spans="6:6">
      <c r="F8245" s="35"/>
    </row>
    <row r="8246" spans="6:6">
      <c r="F8246" s="35"/>
    </row>
    <row r="8247" spans="6:6">
      <c r="F8247" s="35"/>
    </row>
    <row r="8248" spans="6:6">
      <c r="F8248" s="35"/>
    </row>
    <row r="8249" spans="6:6">
      <c r="F8249" s="35"/>
    </row>
    <row r="8250" spans="6:6">
      <c r="F8250" s="35"/>
    </row>
    <row r="8251" spans="6:6">
      <c r="F8251" s="35"/>
    </row>
    <row r="8252" spans="6:6">
      <c r="F8252" s="35"/>
    </row>
    <row r="8253" spans="6:6">
      <c r="F8253" s="35"/>
    </row>
    <row r="8254" spans="6:6">
      <c r="F8254" s="35"/>
    </row>
    <row r="8255" spans="6:6">
      <c r="F8255" s="35"/>
    </row>
    <row r="8256" spans="6:6">
      <c r="F8256" s="35"/>
    </row>
    <row r="8257" spans="6:6">
      <c r="F8257" s="35"/>
    </row>
    <row r="8258" spans="6:6">
      <c r="F8258" s="35"/>
    </row>
    <row r="8259" spans="6:6">
      <c r="F8259" s="35"/>
    </row>
    <row r="8260" spans="6:6">
      <c r="F8260" s="35"/>
    </row>
    <row r="8261" spans="6:6">
      <c r="F8261" s="35"/>
    </row>
    <row r="8262" spans="6:6">
      <c r="F8262" s="35"/>
    </row>
    <row r="8263" spans="6:6">
      <c r="F8263" s="35"/>
    </row>
    <row r="8264" spans="6:6">
      <c r="F8264" s="35"/>
    </row>
    <row r="8265" spans="6:6">
      <c r="F8265" s="35"/>
    </row>
    <row r="8266" spans="6:6">
      <c r="F8266" s="35"/>
    </row>
    <row r="8267" spans="6:6">
      <c r="F8267" s="35"/>
    </row>
    <row r="8268" spans="6:6">
      <c r="F8268" s="35"/>
    </row>
    <row r="8269" spans="6:6">
      <c r="F8269" s="35"/>
    </row>
    <row r="8270" spans="6:6">
      <c r="F8270" s="35"/>
    </row>
    <row r="8271" spans="6:6">
      <c r="F8271" s="35"/>
    </row>
    <row r="8272" spans="6:6">
      <c r="F8272" s="35"/>
    </row>
    <row r="8273" spans="6:6">
      <c r="F8273" s="35"/>
    </row>
    <row r="8274" spans="6:6">
      <c r="F8274" s="35"/>
    </row>
    <row r="8275" spans="6:6">
      <c r="F8275" s="35"/>
    </row>
    <row r="8276" spans="6:6">
      <c r="F8276" s="35"/>
    </row>
    <row r="8277" spans="6:6">
      <c r="F8277" s="35"/>
    </row>
    <row r="8278" spans="6:6">
      <c r="F8278" s="35"/>
    </row>
    <row r="8279" spans="6:6">
      <c r="F8279" s="35"/>
    </row>
    <row r="8280" spans="6:6">
      <c r="F8280" s="35"/>
    </row>
    <row r="8281" spans="6:6">
      <c r="F8281" s="35"/>
    </row>
    <row r="8282" spans="6:6">
      <c r="F8282" s="35"/>
    </row>
    <row r="8283" spans="6:6">
      <c r="F8283" s="35"/>
    </row>
    <row r="8284" spans="6:6">
      <c r="F8284" s="35"/>
    </row>
    <row r="8285" spans="6:6">
      <c r="F8285" s="35"/>
    </row>
    <row r="8286" spans="6:6">
      <c r="F8286" s="35"/>
    </row>
    <row r="8287" spans="6:6">
      <c r="F8287" s="35"/>
    </row>
    <row r="8288" spans="6:6">
      <c r="F8288" s="35"/>
    </row>
    <row r="8289" spans="6:6">
      <c r="F8289" s="35"/>
    </row>
    <row r="8290" spans="6:6">
      <c r="F8290" s="35"/>
    </row>
    <row r="8291" spans="6:6">
      <c r="F8291" s="35"/>
    </row>
    <row r="8292" spans="6:6">
      <c r="F8292" s="35"/>
    </row>
    <row r="8293" spans="6:6">
      <c r="F8293" s="35"/>
    </row>
    <row r="8294" spans="6:6">
      <c r="F8294" s="35"/>
    </row>
    <row r="8295" spans="6:6">
      <c r="F8295" s="35"/>
    </row>
    <row r="8296" spans="6:6">
      <c r="F8296" s="35"/>
    </row>
    <row r="8297" spans="6:6">
      <c r="F8297" s="35"/>
    </row>
    <row r="8298" spans="6:6">
      <c r="F8298" s="35"/>
    </row>
    <row r="8299" spans="6:6">
      <c r="F8299" s="35"/>
    </row>
    <row r="8300" spans="6:6">
      <c r="F8300" s="35"/>
    </row>
    <row r="8301" spans="6:6">
      <c r="F8301" s="35"/>
    </row>
    <row r="8302" spans="6:6">
      <c r="F8302" s="35"/>
    </row>
    <row r="8303" spans="6:6">
      <c r="F8303" s="35"/>
    </row>
    <row r="8304" spans="6:6">
      <c r="F8304" s="35"/>
    </row>
    <row r="8305" spans="6:6">
      <c r="F8305" s="35"/>
    </row>
    <row r="8306" spans="6:6">
      <c r="F8306" s="35"/>
    </row>
    <row r="8307" spans="6:6">
      <c r="F8307" s="35"/>
    </row>
    <row r="8308" spans="6:6">
      <c r="F8308" s="35"/>
    </row>
    <row r="8309" spans="6:6">
      <c r="F8309" s="35"/>
    </row>
    <row r="8310" spans="6:6">
      <c r="F8310" s="35"/>
    </row>
    <row r="8311" spans="6:6">
      <c r="F8311" s="35"/>
    </row>
    <row r="8312" spans="6:6">
      <c r="F8312" s="35"/>
    </row>
    <row r="8313" spans="6:6">
      <c r="F8313" s="35"/>
    </row>
    <row r="8314" spans="6:6">
      <c r="F8314" s="35"/>
    </row>
    <row r="8315" spans="6:6">
      <c r="F8315" s="35"/>
    </row>
    <row r="8316" spans="6:6">
      <c r="F8316" s="35"/>
    </row>
    <row r="8317" spans="6:6">
      <c r="F8317" s="35"/>
    </row>
    <row r="8318" spans="6:6">
      <c r="F8318" s="35"/>
    </row>
    <row r="8319" spans="6:6">
      <c r="F8319" s="35"/>
    </row>
    <row r="8320" spans="6:6">
      <c r="F8320" s="35"/>
    </row>
    <row r="8321" spans="6:6">
      <c r="F8321" s="35"/>
    </row>
    <row r="8322" spans="6:6">
      <c r="F8322" s="35"/>
    </row>
    <row r="8323" spans="6:6">
      <c r="F8323" s="35"/>
    </row>
    <row r="8324" spans="6:6">
      <c r="F8324" s="35"/>
    </row>
    <row r="8325" spans="6:6">
      <c r="F8325" s="35"/>
    </row>
    <row r="8326" spans="6:6">
      <c r="F8326" s="35"/>
    </row>
    <row r="8327" spans="6:6">
      <c r="F8327" s="35"/>
    </row>
    <row r="8328" spans="6:6">
      <c r="F8328" s="35"/>
    </row>
    <row r="8329" spans="6:6">
      <c r="F8329" s="35"/>
    </row>
    <row r="8330" spans="6:6">
      <c r="F8330" s="35"/>
    </row>
    <row r="8331" spans="6:6">
      <c r="F8331" s="35"/>
    </row>
    <row r="8332" spans="6:6">
      <c r="F8332" s="35"/>
    </row>
    <row r="8333" spans="6:6">
      <c r="F8333" s="35"/>
    </row>
    <row r="8334" spans="6:6">
      <c r="F8334" s="35"/>
    </row>
    <row r="8335" spans="6:6">
      <c r="F8335" s="35"/>
    </row>
    <row r="8336" spans="6:6">
      <c r="F8336" s="35"/>
    </row>
    <row r="8337" spans="6:6">
      <c r="F8337" s="35"/>
    </row>
    <row r="8338" spans="6:6">
      <c r="F8338" s="35"/>
    </row>
    <row r="8339" spans="6:6">
      <c r="F8339" s="35"/>
    </row>
    <row r="8340" spans="6:6">
      <c r="F8340" s="35"/>
    </row>
    <row r="8341" spans="6:6">
      <c r="F8341" s="35"/>
    </row>
    <row r="8342" spans="6:6">
      <c r="F8342" s="35"/>
    </row>
    <row r="8343" spans="6:6">
      <c r="F8343" s="35"/>
    </row>
    <row r="8344" spans="6:6">
      <c r="F8344" s="35"/>
    </row>
    <row r="8345" spans="6:6">
      <c r="F8345" s="35"/>
    </row>
    <row r="8346" spans="6:6">
      <c r="F8346" s="35"/>
    </row>
    <row r="8347" spans="6:6">
      <c r="F8347" s="35"/>
    </row>
    <row r="8348" spans="6:6">
      <c r="F8348" s="35"/>
    </row>
    <row r="8349" spans="6:6">
      <c r="F8349" s="35"/>
    </row>
    <row r="8350" spans="6:6">
      <c r="F8350" s="35"/>
    </row>
    <row r="8351" spans="6:6">
      <c r="F8351" s="35"/>
    </row>
    <row r="8352" spans="6:6">
      <c r="F8352" s="35"/>
    </row>
    <row r="8353" spans="6:6">
      <c r="F8353" s="35"/>
    </row>
    <row r="8354" spans="6:6">
      <c r="F8354" s="35"/>
    </row>
    <row r="8355" spans="6:6">
      <c r="F8355" s="35"/>
    </row>
    <row r="8356" spans="6:6">
      <c r="F8356" s="35"/>
    </row>
    <row r="8357" spans="6:6">
      <c r="F8357" s="35"/>
    </row>
    <row r="8358" spans="6:6">
      <c r="F8358" s="35"/>
    </row>
    <row r="8359" spans="6:6">
      <c r="F8359" s="35"/>
    </row>
    <row r="8360" spans="6:6">
      <c r="F8360" s="35"/>
    </row>
    <row r="8361" spans="6:6">
      <c r="F8361" s="35"/>
    </row>
    <row r="8362" spans="6:6">
      <c r="F8362" s="35"/>
    </row>
    <row r="8363" spans="6:6">
      <c r="F8363" s="35"/>
    </row>
    <row r="8364" spans="6:6">
      <c r="F8364" s="35"/>
    </row>
    <row r="8365" spans="6:6">
      <c r="F8365" s="35"/>
    </row>
    <row r="8366" spans="6:6">
      <c r="F8366" s="35"/>
    </row>
    <row r="8367" spans="6:6">
      <c r="F8367" s="35"/>
    </row>
    <row r="8368" spans="6:6">
      <c r="F8368" s="35"/>
    </row>
    <row r="8369" spans="6:6">
      <c r="F8369" s="35"/>
    </row>
    <row r="8370" spans="6:6">
      <c r="F8370" s="35"/>
    </row>
    <row r="8371" spans="6:6">
      <c r="F8371" s="35"/>
    </row>
    <row r="8372" spans="6:6">
      <c r="F8372" s="35"/>
    </row>
    <row r="8373" spans="6:6">
      <c r="F8373" s="35"/>
    </row>
    <row r="8374" spans="6:6">
      <c r="F8374" s="35"/>
    </row>
    <row r="8375" spans="6:6">
      <c r="F8375" s="35"/>
    </row>
    <row r="8376" spans="6:6">
      <c r="F8376" s="35"/>
    </row>
    <row r="8377" spans="6:6">
      <c r="F8377" s="35"/>
    </row>
    <row r="8378" spans="6:6">
      <c r="F8378" s="35"/>
    </row>
    <row r="8379" spans="6:6">
      <c r="F8379" s="35"/>
    </row>
    <row r="8380" spans="6:6">
      <c r="F8380" s="35"/>
    </row>
    <row r="8381" spans="6:6">
      <c r="F8381" s="35"/>
    </row>
    <row r="8382" spans="6:6">
      <c r="F8382" s="35"/>
    </row>
    <row r="8383" spans="6:6">
      <c r="F8383" s="35"/>
    </row>
    <row r="8384" spans="6:6">
      <c r="F8384" s="35"/>
    </row>
    <row r="8385" spans="6:6">
      <c r="F8385" s="35"/>
    </row>
    <row r="8386" spans="6:6">
      <c r="F8386" s="35"/>
    </row>
    <row r="8387" spans="6:6">
      <c r="F8387" s="35"/>
    </row>
    <row r="8388" spans="6:6">
      <c r="F8388" s="35"/>
    </row>
    <row r="8389" spans="6:6">
      <c r="F8389" s="35"/>
    </row>
    <row r="8390" spans="6:6">
      <c r="F8390" s="35"/>
    </row>
    <row r="8391" spans="6:6">
      <c r="F8391" s="35"/>
    </row>
    <row r="8392" spans="6:6">
      <c r="F8392" s="35"/>
    </row>
    <row r="8393" spans="6:6">
      <c r="F8393" s="35"/>
    </row>
    <row r="8394" spans="6:6">
      <c r="F8394" s="35"/>
    </row>
    <row r="8395" spans="6:6">
      <c r="F8395" s="35"/>
    </row>
    <row r="8396" spans="6:6">
      <c r="F8396" s="35"/>
    </row>
    <row r="8397" spans="6:6">
      <c r="F8397" s="35"/>
    </row>
    <row r="8398" spans="6:6">
      <c r="F8398" s="35"/>
    </row>
    <row r="8399" spans="6:6">
      <c r="F8399" s="35"/>
    </row>
    <row r="8400" spans="6:6">
      <c r="F8400" s="35"/>
    </row>
    <row r="8401" spans="6:6">
      <c r="F8401" s="35"/>
    </row>
    <row r="8402" spans="6:6">
      <c r="F8402" s="35"/>
    </row>
    <row r="8403" spans="6:6">
      <c r="F8403" s="35"/>
    </row>
    <row r="8404" spans="6:6">
      <c r="F8404" s="35"/>
    </row>
    <row r="8405" spans="6:6">
      <c r="F8405" s="35"/>
    </row>
    <row r="8406" spans="6:6">
      <c r="F8406" s="35"/>
    </row>
    <row r="8407" spans="6:6">
      <c r="F8407" s="35"/>
    </row>
    <row r="8408" spans="6:6">
      <c r="F8408" s="35"/>
    </row>
    <row r="8409" spans="6:6">
      <c r="F8409" s="35"/>
    </row>
    <row r="8410" spans="6:6">
      <c r="F8410" s="35"/>
    </row>
    <row r="8411" spans="6:6">
      <c r="F8411" s="35"/>
    </row>
    <row r="8412" spans="6:6">
      <c r="F8412" s="35"/>
    </row>
    <row r="8413" spans="6:6">
      <c r="F8413" s="35"/>
    </row>
    <row r="8414" spans="6:6">
      <c r="F8414" s="35"/>
    </row>
    <row r="8415" spans="6:6">
      <c r="F8415" s="35"/>
    </row>
    <row r="8416" spans="6:6">
      <c r="F8416" s="35"/>
    </row>
    <row r="8417" spans="6:6">
      <c r="F8417" s="35"/>
    </row>
    <row r="8418" spans="6:6">
      <c r="F8418" s="35"/>
    </row>
    <row r="8419" spans="6:6">
      <c r="F8419" s="35"/>
    </row>
    <row r="8420" spans="6:6">
      <c r="F8420" s="35"/>
    </row>
    <row r="8421" spans="6:6">
      <c r="F8421" s="35"/>
    </row>
    <row r="8422" spans="6:6">
      <c r="F8422" s="35"/>
    </row>
    <row r="8423" spans="6:6">
      <c r="F8423" s="35"/>
    </row>
    <row r="8424" spans="6:6">
      <c r="F8424" s="35"/>
    </row>
    <row r="8425" spans="6:6">
      <c r="F8425" s="35"/>
    </row>
    <row r="8426" spans="6:6">
      <c r="F8426" s="35"/>
    </row>
    <row r="8427" spans="6:6">
      <c r="F8427" s="35"/>
    </row>
    <row r="8428" spans="6:6">
      <c r="F8428" s="35"/>
    </row>
    <row r="8429" spans="6:6">
      <c r="F8429" s="35"/>
    </row>
    <row r="8430" spans="6:6">
      <c r="F8430" s="35"/>
    </row>
    <row r="8431" spans="6:6">
      <c r="F8431" s="35"/>
    </row>
    <row r="8432" spans="6:6">
      <c r="F8432" s="35"/>
    </row>
    <row r="8433" spans="6:6">
      <c r="F8433" s="35"/>
    </row>
    <row r="8434" spans="6:6">
      <c r="F8434" s="35"/>
    </row>
    <row r="8435" spans="6:6">
      <c r="F8435" s="35"/>
    </row>
    <row r="8436" spans="6:6">
      <c r="F8436" s="35"/>
    </row>
    <row r="8437" spans="6:6">
      <c r="F8437" s="35"/>
    </row>
    <row r="8438" spans="6:6">
      <c r="F8438" s="35"/>
    </row>
    <row r="8439" spans="6:6">
      <c r="F8439" s="35"/>
    </row>
    <row r="8440" spans="6:6">
      <c r="F8440" s="35"/>
    </row>
    <row r="8441" spans="6:6">
      <c r="F8441" s="35"/>
    </row>
    <row r="8442" spans="6:6">
      <c r="F8442" s="35"/>
    </row>
    <row r="8443" spans="6:6">
      <c r="F8443" s="35"/>
    </row>
    <row r="8444" spans="6:6">
      <c r="F8444" s="35"/>
    </row>
    <row r="8445" spans="6:6">
      <c r="F8445" s="35"/>
    </row>
    <row r="8446" spans="6:6">
      <c r="F8446" s="35"/>
    </row>
    <row r="8447" spans="6:6">
      <c r="F8447" s="35"/>
    </row>
    <row r="8448" spans="6:6">
      <c r="F8448" s="35"/>
    </row>
    <row r="8449" spans="6:6">
      <c r="F8449" s="35"/>
    </row>
    <row r="8450" spans="6:6">
      <c r="F8450" s="35"/>
    </row>
    <row r="8451" spans="6:6">
      <c r="F8451" s="35"/>
    </row>
    <row r="8452" spans="6:6">
      <c r="F8452" s="35"/>
    </row>
    <row r="8453" spans="6:6">
      <c r="F8453" s="35"/>
    </row>
    <row r="8454" spans="6:6">
      <c r="F8454" s="35"/>
    </row>
    <row r="8455" spans="6:6">
      <c r="F8455" s="35"/>
    </row>
    <row r="8456" spans="6:6">
      <c r="F8456" s="35"/>
    </row>
    <row r="8457" spans="6:6">
      <c r="F8457" s="35"/>
    </row>
    <row r="8458" spans="6:6">
      <c r="F8458" s="35"/>
    </row>
    <row r="8459" spans="6:6">
      <c r="F8459" s="35"/>
    </row>
    <row r="8460" spans="6:6">
      <c r="F8460" s="35"/>
    </row>
    <row r="8461" spans="6:6">
      <c r="F8461" s="35"/>
    </row>
    <row r="8462" spans="6:6">
      <c r="F8462" s="35"/>
    </row>
    <row r="8463" spans="6:6">
      <c r="F8463" s="35"/>
    </row>
    <row r="8464" spans="6:6">
      <c r="F8464" s="35"/>
    </row>
    <row r="8465" spans="6:6">
      <c r="F8465" s="35"/>
    </row>
    <row r="8466" spans="6:6">
      <c r="F8466" s="35"/>
    </row>
    <row r="8467" spans="6:6">
      <c r="F8467" s="35"/>
    </row>
    <row r="8468" spans="6:6">
      <c r="F8468" s="35"/>
    </row>
    <row r="8469" spans="6:6">
      <c r="F8469" s="35"/>
    </row>
    <row r="8470" spans="6:6">
      <c r="F8470" s="35"/>
    </row>
    <row r="8471" spans="6:6">
      <c r="F8471" s="35"/>
    </row>
    <row r="8472" spans="6:6">
      <c r="F8472" s="35"/>
    </row>
    <row r="8473" spans="6:6">
      <c r="F8473" s="35"/>
    </row>
    <row r="8474" spans="6:6">
      <c r="F8474" s="35"/>
    </row>
    <row r="8475" spans="6:6">
      <c r="F8475" s="35"/>
    </row>
    <row r="8476" spans="6:6">
      <c r="F8476" s="35"/>
    </row>
    <row r="8477" spans="6:6">
      <c r="F8477" s="35"/>
    </row>
    <row r="8478" spans="6:6">
      <c r="F8478" s="35"/>
    </row>
    <row r="8479" spans="6:6">
      <c r="F8479" s="35"/>
    </row>
    <row r="8480" spans="6:6">
      <c r="F8480" s="35"/>
    </row>
    <row r="8481" spans="6:6">
      <c r="F8481" s="35"/>
    </row>
    <row r="8482" spans="6:6">
      <c r="F8482" s="35"/>
    </row>
    <row r="8483" spans="6:6">
      <c r="F8483" s="35"/>
    </row>
    <row r="8484" spans="6:6">
      <c r="F8484" s="35"/>
    </row>
    <row r="8485" spans="6:6">
      <c r="F8485" s="35"/>
    </row>
    <row r="8486" spans="6:6">
      <c r="F8486" s="35"/>
    </row>
    <row r="8487" spans="6:6">
      <c r="F8487" s="35"/>
    </row>
    <row r="8488" spans="6:6">
      <c r="F8488" s="35"/>
    </row>
    <row r="8489" spans="6:6">
      <c r="F8489" s="35"/>
    </row>
    <row r="8490" spans="6:6">
      <c r="F8490" s="35"/>
    </row>
    <row r="8491" spans="6:6">
      <c r="F8491" s="35"/>
    </row>
    <row r="8492" spans="6:6">
      <c r="F8492" s="35"/>
    </row>
    <row r="8493" spans="6:6">
      <c r="F8493" s="35"/>
    </row>
    <row r="8494" spans="6:6">
      <c r="F8494" s="35"/>
    </row>
    <row r="8495" spans="6:6">
      <c r="F8495" s="35"/>
    </row>
    <row r="8496" spans="6:6">
      <c r="F8496" s="35"/>
    </row>
    <row r="8497" spans="6:6">
      <c r="F8497" s="35"/>
    </row>
    <row r="8498" spans="6:6">
      <c r="F8498" s="35"/>
    </row>
    <row r="8499" spans="6:6">
      <c r="F8499" s="35"/>
    </row>
    <row r="8500" spans="6:6">
      <c r="F8500" s="35"/>
    </row>
    <row r="8501" spans="6:6">
      <c r="F8501" s="35"/>
    </row>
    <row r="8502" spans="6:6">
      <c r="F8502" s="35"/>
    </row>
    <row r="8503" spans="6:6">
      <c r="F8503" s="35"/>
    </row>
    <row r="8504" spans="6:6">
      <c r="F8504" s="35"/>
    </row>
    <row r="8505" spans="6:6">
      <c r="F8505" s="35"/>
    </row>
    <row r="8506" spans="6:6">
      <c r="F8506" s="35"/>
    </row>
    <row r="8507" spans="6:6">
      <c r="F8507" s="35"/>
    </row>
    <row r="8508" spans="6:6">
      <c r="F8508" s="35"/>
    </row>
    <row r="8509" spans="6:6">
      <c r="F8509" s="35"/>
    </row>
    <row r="8510" spans="6:6">
      <c r="F8510" s="35"/>
    </row>
    <row r="8511" spans="6:6">
      <c r="F8511" s="35"/>
    </row>
    <row r="8512" spans="6:6">
      <c r="F8512" s="35"/>
    </row>
    <row r="8513" spans="6:6">
      <c r="F8513" s="35"/>
    </row>
    <row r="8514" spans="6:6">
      <c r="F8514" s="35"/>
    </row>
    <row r="8515" spans="6:6">
      <c r="F8515" s="35"/>
    </row>
    <row r="8516" spans="6:6">
      <c r="F8516" s="35"/>
    </row>
    <row r="8517" spans="6:6">
      <c r="F8517" s="35"/>
    </row>
    <row r="8518" spans="6:6">
      <c r="F8518" s="35"/>
    </row>
    <row r="8519" spans="6:6">
      <c r="F8519" s="35"/>
    </row>
    <row r="8520" spans="6:6">
      <c r="F8520" s="35"/>
    </row>
    <row r="8521" spans="6:6">
      <c r="F8521" s="35"/>
    </row>
    <row r="8522" spans="6:6">
      <c r="F8522" s="35"/>
    </row>
    <row r="8523" spans="6:6">
      <c r="F8523" s="35"/>
    </row>
    <row r="8524" spans="6:6">
      <c r="F8524" s="35"/>
    </row>
    <row r="8525" spans="6:6">
      <c r="F8525" s="35"/>
    </row>
    <row r="8526" spans="6:6">
      <c r="F8526" s="35"/>
    </row>
    <row r="8527" spans="6:6">
      <c r="F8527" s="35"/>
    </row>
    <row r="8528" spans="6:6">
      <c r="F8528" s="35"/>
    </row>
    <row r="8529" spans="6:6">
      <c r="F8529" s="35"/>
    </row>
    <row r="8530" spans="6:6">
      <c r="F8530" s="35"/>
    </row>
    <row r="8531" spans="6:6">
      <c r="F8531" s="35"/>
    </row>
    <row r="8532" spans="6:6">
      <c r="F8532" s="35"/>
    </row>
    <row r="8533" spans="6:6">
      <c r="F8533" s="35"/>
    </row>
    <row r="8534" spans="6:6">
      <c r="F8534" s="35"/>
    </row>
    <row r="8535" spans="6:6">
      <c r="F8535" s="35"/>
    </row>
    <row r="8536" spans="6:6">
      <c r="F8536" s="35"/>
    </row>
    <row r="8537" spans="6:6">
      <c r="F8537" s="35"/>
    </row>
    <row r="8538" spans="6:6">
      <c r="F8538" s="35"/>
    </row>
    <row r="8539" spans="6:6">
      <c r="F8539" s="35"/>
    </row>
    <row r="8540" spans="6:6">
      <c r="F8540" s="35"/>
    </row>
    <row r="8541" spans="6:6">
      <c r="F8541" s="35"/>
    </row>
    <row r="8542" spans="6:6">
      <c r="F8542" s="35"/>
    </row>
    <row r="8543" spans="6:6">
      <c r="F8543" s="35"/>
    </row>
    <row r="8544" spans="6:6">
      <c r="F8544" s="35"/>
    </row>
    <row r="8545" spans="6:6">
      <c r="F8545" s="35"/>
    </row>
    <row r="8546" spans="6:6">
      <c r="F8546" s="35"/>
    </row>
    <row r="8547" spans="6:6">
      <c r="F8547" s="35"/>
    </row>
    <row r="8548" spans="6:6">
      <c r="F8548" s="35"/>
    </row>
    <row r="8549" spans="6:6">
      <c r="F8549" s="35"/>
    </row>
    <row r="8550" spans="6:6">
      <c r="F8550" s="35"/>
    </row>
    <row r="8551" spans="6:6">
      <c r="F8551" s="35"/>
    </row>
    <row r="8552" spans="6:6">
      <c r="F8552" s="35"/>
    </row>
    <row r="8553" spans="6:6">
      <c r="F8553" s="35"/>
    </row>
    <row r="8554" spans="6:6">
      <c r="F8554" s="35"/>
    </row>
    <row r="8555" spans="6:6">
      <c r="F8555" s="35"/>
    </row>
    <row r="8556" spans="6:6">
      <c r="F8556" s="35"/>
    </row>
    <row r="8557" spans="6:6">
      <c r="F8557" s="35"/>
    </row>
    <row r="8558" spans="6:6">
      <c r="F8558" s="35"/>
    </row>
    <row r="8559" spans="6:6">
      <c r="F8559" s="35"/>
    </row>
    <row r="8560" spans="6:6">
      <c r="F8560" s="35"/>
    </row>
    <row r="8561" spans="6:6">
      <c r="F8561" s="35"/>
    </row>
    <row r="8562" spans="6:6">
      <c r="F8562" s="35"/>
    </row>
    <row r="8563" spans="6:6">
      <c r="F8563" s="35"/>
    </row>
    <row r="8564" spans="6:6">
      <c r="F8564" s="35"/>
    </row>
    <row r="8565" spans="6:6">
      <c r="F8565" s="35"/>
    </row>
    <row r="8566" spans="6:6">
      <c r="F8566" s="35"/>
    </row>
    <row r="8567" spans="6:6">
      <c r="F8567" s="35"/>
    </row>
    <row r="8568" spans="6:6">
      <c r="F8568" s="35"/>
    </row>
    <row r="8569" spans="6:6">
      <c r="F8569" s="35"/>
    </row>
    <row r="8570" spans="6:6">
      <c r="F8570" s="35"/>
    </row>
    <row r="8571" spans="6:6">
      <c r="F8571" s="35"/>
    </row>
    <row r="8572" spans="6:6">
      <c r="F8572" s="35"/>
    </row>
    <row r="8573" spans="6:6">
      <c r="F8573" s="35"/>
    </row>
    <row r="8574" spans="6:6">
      <c r="F8574" s="35"/>
    </row>
    <row r="8575" spans="6:6">
      <c r="F8575" s="35"/>
    </row>
    <row r="8576" spans="6:6">
      <c r="F8576" s="35"/>
    </row>
    <row r="8577" spans="6:6">
      <c r="F8577" s="35"/>
    </row>
    <row r="8578" spans="6:6">
      <c r="F8578" s="35"/>
    </row>
    <row r="8579" spans="6:6">
      <c r="F8579" s="35"/>
    </row>
    <row r="8580" spans="6:6">
      <c r="F8580" s="35"/>
    </row>
    <row r="8581" spans="6:6">
      <c r="F8581" s="35"/>
    </row>
    <row r="8582" spans="6:6">
      <c r="F8582" s="35"/>
    </row>
    <row r="8583" spans="6:6">
      <c r="F8583" s="35"/>
    </row>
    <row r="8584" spans="6:6">
      <c r="F8584" s="35"/>
    </row>
    <row r="8585" spans="6:6">
      <c r="F8585" s="35"/>
    </row>
    <row r="8586" spans="6:6">
      <c r="F8586" s="35"/>
    </row>
    <row r="8587" spans="6:6">
      <c r="F8587" s="35"/>
    </row>
    <row r="8588" spans="6:6">
      <c r="F8588" s="35"/>
    </row>
    <row r="8589" spans="6:6">
      <c r="F8589" s="35"/>
    </row>
    <row r="8590" spans="6:6">
      <c r="F8590" s="35"/>
    </row>
    <row r="8591" spans="6:6">
      <c r="F8591" s="35"/>
    </row>
    <row r="8592" spans="6:6">
      <c r="F8592" s="35"/>
    </row>
    <row r="8593" spans="6:6">
      <c r="F8593" s="35"/>
    </row>
    <row r="8594" spans="6:6">
      <c r="F8594" s="35"/>
    </row>
    <row r="8595" spans="6:6">
      <c r="F8595" s="35"/>
    </row>
    <row r="8596" spans="6:6">
      <c r="F8596" s="35"/>
    </row>
    <row r="8597" spans="6:6">
      <c r="F8597" s="35"/>
    </row>
    <row r="8598" spans="6:6">
      <c r="F8598" s="35"/>
    </row>
    <row r="8599" spans="6:6">
      <c r="F8599" s="35"/>
    </row>
    <row r="8600" spans="6:6">
      <c r="F8600" s="35"/>
    </row>
    <row r="8601" spans="6:6">
      <c r="F8601" s="35"/>
    </row>
    <row r="8602" spans="6:6">
      <c r="F8602" s="35"/>
    </row>
    <row r="8603" spans="6:6">
      <c r="F8603" s="35"/>
    </row>
    <row r="8604" spans="6:6">
      <c r="F8604" s="35"/>
    </row>
    <row r="8605" spans="6:6">
      <c r="F8605" s="35"/>
    </row>
    <row r="8606" spans="6:6">
      <c r="F8606" s="35"/>
    </row>
    <row r="8607" spans="6:6">
      <c r="F8607" s="35"/>
    </row>
    <row r="8608" spans="6:6">
      <c r="F8608" s="35"/>
    </row>
    <row r="8609" spans="6:6">
      <c r="F8609" s="35"/>
    </row>
    <row r="8610" spans="6:6">
      <c r="F8610" s="35"/>
    </row>
    <row r="8611" spans="6:6">
      <c r="F8611" s="35"/>
    </row>
    <row r="8612" spans="6:6">
      <c r="F8612" s="35"/>
    </row>
    <row r="8613" spans="6:6">
      <c r="F8613" s="35"/>
    </row>
    <row r="8614" spans="6:6">
      <c r="F8614" s="35"/>
    </row>
    <row r="8615" spans="6:6">
      <c r="F8615" s="35"/>
    </row>
    <row r="8616" spans="6:6">
      <c r="F8616" s="35"/>
    </row>
    <row r="8617" spans="6:6">
      <c r="F8617" s="35"/>
    </row>
    <row r="8618" spans="6:6">
      <c r="F8618" s="35"/>
    </row>
    <row r="8619" spans="6:6">
      <c r="F8619" s="35"/>
    </row>
    <row r="8620" spans="6:6">
      <c r="F8620" s="35"/>
    </row>
    <row r="8621" spans="6:6">
      <c r="F8621" s="35"/>
    </row>
    <row r="8622" spans="6:6">
      <c r="F8622" s="35"/>
    </row>
    <row r="8623" spans="6:6">
      <c r="F8623" s="35"/>
    </row>
    <row r="8624" spans="6:6">
      <c r="F8624" s="35"/>
    </row>
    <row r="8625" spans="6:6">
      <c r="F8625" s="35"/>
    </row>
    <row r="8626" spans="6:6">
      <c r="F8626" s="35"/>
    </row>
    <row r="8627" spans="6:6">
      <c r="F8627" s="35"/>
    </row>
    <row r="8628" spans="6:6">
      <c r="F8628" s="35"/>
    </row>
    <row r="8629" spans="6:6">
      <c r="F8629" s="35"/>
    </row>
    <row r="8630" spans="6:6">
      <c r="F8630" s="35"/>
    </row>
    <row r="8631" spans="6:6">
      <c r="F8631" s="35"/>
    </row>
    <row r="8632" spans="6:6">
      <c r="F8632" s="35"/>
    </row>
    <row r="8633" spans="6:6">
      <c r="F8633" s="35"/>
    </row>
    <row r="8634" spans="6:6">
      <c r="F8634" s="35"/>
    </row>
    <row r="8635" spans="6:6">
      <c r="F8635" s="35"/>
    </row>
    <row r="8636" spans="6:6">
      <c r="F8636" s="35"/>
    </row>
    <row r="8637" spans="6:6">
      <c r="F8637" s="35"/>
    </row>
    <row r="8638" spans="6:6">
      <c r="F8638" s="35"/>
    </row>
    <row r="8639" spans="6:6">
      <c r="F8639" s="35"/>
    </row>
    <row r="8640" spans="6:6">
      <c r="F8640" s="35"/>
    </row>
    <row r="8641" spans="6:6">
      <c r="F8641" s="35"/>
    </row>
    <row r="8642" spans="6:6">
      <c r="F8642" s="35"/>
    </row>
    <row r="8643" spans="6:6">
      <c r="F8643" s="35"/>
    </row>
    <row r="8644" spans="6:6">
      <c r="F8644" s="35"/>
    </row>
    <row r="8645" spans="6:6">
      <c r="F8645" s="35"/>
    </row>
    <row r="8646" spans="6:6">
      <c r="F8646" s="35"/>
    </row>
    <row r="8647" spans="6:6">
      <c r="F8647" s="35"/>
    </row>
    <row r="8648" spans="6:6">
      <c r="F8648" s="35"/>
    </row>
    <row r="8649" spans="6:6">
      <c r="F8649" s="35"/>
    </row>
    <row r="8650" spans="6:6">
      <c r="F8650" s="35"/>
    </row>
    <row r="8651" spans="6:6">
      <c r="F8651" s="35"/>
    </row>
    <row r="8652" spans="6:6">
      <c r="F8652" s="35"/>
    </row>
    <row r="8653" spans="6:6">
      <c r="F8653" s="35"/>
    </row>
    <row r="8654" spans="6:6">
      <c r="F8654" s="35"/>
    </row>
    <row r="8655" spans="6:6">
      <c r="F8655" s="35"/>
    </row>
    <row r="8656" spans="6:6">
      <c r="F8656" s="35"/>
    </row>
    <row r="8657" spans="6:6">
      <c r="F8657" s="35"/>
    </row>
    <row r="8658" spans="6:6">
      <c r="F8658" s="35"/>
    </row>
    <row r="8659" spans="6:6">
      <c r="F8659" s="35"/>
    </row>
    <row r="8660" spans="6:6">
      <c r="F8660" s="35"/>
    </row>
    <row r="8661" spans="6:6">
      <c r="F8661" s="35"/>
    </row>
    <row r="8662" spans="6:6">
      <c r="F8662" s="35"/>
    </row>
    <row r="8663" spans="6:6">
      <c r="F8663" s="35"/>
    </row>
    <row r="8664" spans="6:6">
      <c r="F8664" s="35"/>
    </row>
    <row r="8665" spans="6:6">
      <c r="F8665" s="35"/>
    </row>
    <row r="8666" spans="6:6">
      <c r="F8666" s="35"/>
    </row>
    <row r="8667" spans="6:6">
      <c r="F8667" s="35"/>
    </row>
    <row r="8668" spans="6:6">
      <c r="F8668" s="35"/>
    </row>
    <row r="8669" spans="6:6">
      <c r="F8669" s="35"/>
    </row>
    <row r="8670" spans="6:6">
      <c r="F8670" s="35"/>
    </row>
    <row r="8671" spans="6:6">
      <c r="F8671" s="35"/>
    </row>
    <row r="8672" spans="6:6">
      <c r="F8672" s="35"/>
    </row>
    <row r="8673" spans="6:6">
      <c r="F8673" s="35"/>
    </row>
    <row r="8674" spans="6:6">
      <c r="F8674" s="35"/>
    </row>
    <row r="8675" spans="6:6">
      <c r="F8675" s="35"/>
    </row>
    <row r="8676" spans="6:6">
      <c r="F8676" s="35"/>
    </row>
    <row r="8677" spans="6:6">
      <c r="F8677" s="35"/>
    </row>
    <row r="8678" spans="6:6">
      <c r="F8678" s="35"/>
    </row>
    <row r="8679" spans="6:6">
      <c r="F8679" s="35"/>
    </row>
    <row r="8680" spans="6:6">
      <c r="F8680" s="35"/>
    </row>
    <row r="8681" spans="6:6">
      <c r="F8681" s="35"/>
    </row>
    <row r="8682" spans="6:6">
      <c r="F8682" s="35"/>
    </row>
    <row r="8683" spans="6:6">
      <c r="F8683" s="35"/>
    </row>
    <row r="8684" spans="6:6">
      <c r="F8684" s="35"/>
    </row>
    <row r="8685" spans="6:6">
      <c r="F8685" s="35"/>
    </row>
    <row r="8686" spans="6:6">
      <c r="F8686" s="35"/>
    </row>
    <row r="8687" spans="6:6">
      <c r="F8687" s="35"/>
    </row>
    <row r="8688" spans="6:6">
      <c r="F8688" s="35"/>
    </row>
    <row r="8689" spans="6:6">
      <c r="F8689" s="35"/>
    </row>
    <row r="8690" spans="6:6">
      <c r="F8690" s="35"/>
    </row>
    <row r="8691" spans="6:6">
      <c r="F8691" s="35"/>
    </row>
    <row r="8692" spans="6:6">
      <c r="F8692" s="35"/>
    </row>
    <row r="8693" spans="6:6">
      <c r="F8693" s="35"/>
    </row>
    <row r="8694" spans="6:6">
      <c r="F8694" s="35"/>
    </row>
    <row r="8695" spans="6:6">
      <c r="F8695" s="35"/>
    </row>
    <row r="8696" spans="6:6">
      <c r="F8696" s="35"/>
    </row>
    <row r="8697" spans="6:6">
      <c r="F8697" s="35"/>
    </row>
    <row r="8698" spans="6:6">
      <c r="F8698" s="35"/>
    </row>
    <row r="8699" spans="6:6">
      <c r="F8699" s="35"/>
    </row>
    <row r="8700" spans="6:6">
      <c r="F8700" s="35"/>
    </row>
    <row r="8701" spans="6:6">
      <c r="F8701" s="35"/>
    </row>
    <row r="8702" spans="6:6">
      <c r="F8702" s="35"/>
    </row>
    <row r="8703" spans="6:6">
      <c r="F8703" s="35"/>
    </row>
    <row r="8704" spans="6:6">
      <c r="F8704" s="35"/>
    </row>
    <row r="8705" spans="6:6">
      <c r="F8705" s="35"/>
    </row>
    <row r="8706" spans="6:6">
      <c r="F8706" s="35"/>
    </row>
    <row r="8707" spans="6:6">
      <c r="F8707" s="35"/>
    </row>
    <row r="8708" spans="6:6">
      <c r="F8708" s="35"/>
    </row>
    <row r="8709" spans="6:6">
      <c r="F8709" s="35"/>
    </row>
    <row r="8710" spans="6:6">
      <c r="F8710" s="35"/>
    </row>
    <row r="8711" spans="6:6">
      <c r="F8711" s="35"/>
    </row>
    <row r="8712" spans="6:6">
      <c r="F8712" s="35"/>
    </row>
    <row r="8713" spans="6:6">
      <c r="F8713" s="35"/>
    </row>
    <row r="8714" spans="6:6">
      <c r="F8714" s="35"/>
    </row>
    <row r="8715" spans="6:6">
      <c r="F8715" s="35"/>
    </row>
    <row r="8716" spans="6:6">
      <c r="F8716" s="35"/>
    </row>
    <row r="8717" spans="6:6">
      <c r="F8717" s="35"/>
    </row>
    <row r="8718" spans="6:6">
      <c r="F8718" s="35"/>
    </row>
    <row r="8719" spans="6:6">
      <c r="F8719" s="35"/>
    </row>
    <row r="8720" spans="6:6">
      <c r="F8720" s="35"/>
    </row>
    <row r="8721" spans="6:6">
      <c r="F8721" s="35"/>
    </row>
    <row r="8722" spans="6:6">
      <c r="F8722" s="35"/>
    </row>
    <row r="8723" spans="6:6">
      <c r="F8723" s="35"/>
    </row>
    <row r="8724" spans="6:6">
      <c r="F8724" s="35"/>
    </row>
    <row r="8725" spans="6:6">
      <c r="F8725" s="35"/>
    </row>
    <row r="8726" spans="6:6">
      <c r="F8726" s="35"/>
    </row>
    <row r="8727" spans="6:6">
      <c r="F8727" s="35"/>
    </row>
    <row r="8728" spans="6:6">
      <c r="F8728" s="35"/>
    </row>
    <row r="8729" spans="6:6">
      <c r="F8729" s="35"/>
    </row>
    <row r="8730" spans="6:6">
      <c r="F8730" s="35"/>
    </row>
    <row r="8731" spans="6:6">
      <c r="F8731" s="35"/>
    </row>
    <row r="8732" spans="6:6">
      <c r="F8732" s="35"/>
    </row>
    <row r="8733" spans="6:6">
      <c r="F8733" s="35"/>
    </row>
    <row r="8734" spans="6:6">
      <c r="F8734" s="35"/>
    </row>
    <row r="8735" spans="6:6">
      <c r="F8735" s="35"/>
    </row>
    <row r="8736" spans="6:6">
      <c r="F8736" s="35"/>
    </row>
    <row r="8737" spans="6:6">
      <c r="F8737" s="35"/>
    </row>
    <row r="8738" spans="6:6">
      <c r="F8738" s="35"/>
    </row>
    <row r="8739" spans="6:6">
      <c r="F8739" s="35"/>
    </row>
    <row r="8740" spans="6:6">
      <c r="F8740" s="35"/>
    </row>
    <row r="8741" spans="6:6">
      <c r="F8741" s="35"/>
    </row>
    <row r="8742" spans="6:6">
      <c r="F8742" s="35"/>
    </row>
    <row r="8743" spans="6:6">
      <c r="F8743" s="35"/>
    </row>
    <row r="8744" spans="6:6">
      <c r="F8744" s="35"/>
    </row>
    <row r="8745" spans="6:6">
      <c r="F8745" s="35"/>
    </row>
    <row r="8746" spans="6:6">
      <c r="F8746" s="35"/>
    </row>
    <row r="8747" spans="6:6">
      <c r="F8747" s="35"/>
    </row>
    <row r="8748" spans="6:6">
      <c r="F8748" s="35"/>
    </row>
    <row r="8749" spans="6:6">
      <c r="F8749" s="35"/>
    </row>
    <row r="8750" spans="6:6">
      <c r="F8750" s="35"/>
    </row>
    <row r="8751" spans="6:6">
      <c r="F8751" s="35"/>
    </row>
    <row r="8752" spans="6:6">
      <c r="F8752" s="35"/>
    </row>
    <row r="8753" spans="6:6">
      <c r="F8753" s="35"/>
    </row>
    <row r="8754" spans="6:6">
      <c r="F8754" s="35"/>
    </row>
    <row r="8755" spans="6:6">
      <c r="F8755" s="35"/>
    </row>
    <row r="8756" spans="6:6">
      <c r="F8756" s="35"/>
    </row>
    <row r="8757" spans="6:6">
      <c r="F8757" s="35"/>
    </row>
    <row r="8758" spans="6:6">
      <c r="F8758" s="35"/>
    </row>
    <row r="8759" spans="6:6">
      <c r="F8759" s="35"/>
    </row>
    <row r="8760" spans="6:6">
      <c r="F8760" s="35"/>
    </row>
    <row r="8761" spans="6:6">
      <c r="F8761" s="35"/>
    </row>
    <row r="8762" spans="6:6">
      <c r="F8762" s="35"/>
    </row>
    <row r="8763" spans="6:6">
      <c r="F8763" s="35"/>
    </row>
    <row r="8764" spans="6:6">
      <c r="F8764" s="35"/>
    </row>
    <row r="8765" spans="6:6">
      <c r="F8765" s="35"/>
    </row>
    <row r="8766" spans="6:6">
      <c r="F8766" s="35"/>
    </row>
    <row r="8767" spans="6:6">
      <c r="F8767" s="35"/>
    </row>
    <row r="8768" spans="6:6">
      <c r="F8768" s="35"/>
    </row>
    <row r="8769" spans="6:6">
      <c r="F8769" s="35"/>
    </row>
    <row r="8770" spans="6:6">
      <c r="F8770" s="35"/>
    </row>
    <row r="8771" spans="6:6">
      <c r="F8771" s="35"/>
    </row>
    <row r="8772" spans="6:6">
      <c r="F8772" s="35"/>
    </row>
    <row r="8773" spans="6:6">
      <c r="F8773" s="35"/>
    </row>
    <row r="8774" spans="6:6">
      <c r="F8774" s="35"/>
    </row>
    <row r="8775" spans="6:6">
      <c r="F8775" s="35"/>
    </row>
    <row r="8776" spans="6:6">
      <c r="F8776" s="35"/>
    </row>
    <row r="8777" spans="6:6">
      <c r="F8777" s="35"/>
    </row>
    <row r="8778" spans="6:6">
      <c r="F8778" s="35"/>
    </row>
    <row r="8779" spans="6:6">
      <c r="F8779" s="35"/>
    </row>
    <row r="8780" spans="6:6">
      <c r="F8780" s="35"/>
    </row>
    <row r="8781" spans="6:6">
      <c r="F8781" s="35"/>
    </row>
    <row r="8782" spans="6:6">
      <c r="F8782" s="35"/>
    </row>
    <row r="8783" spans="6:6">
      <c r="F8783" s="35"/>
    </row>
    <row r="8784" spans="6:6">
      <c r="F8784" s="35"/>
    </row>
    <row r="8785" spans="6:6">
      <c r="F8785" s="35"/>
    </row>
    <row r="8786" spans="6:6">
      <c r="F8786" s="35"/>
    </row>
    <row r="8787" spans="6:6">
      <c r="F8787" s="35"/>
    </row>
    <row r="8788" spans="6:6">
      <c r="F8788" s="35"/>
    </row>
    <row r="8789" spans="6:6">
      <c r="F8789" s="35"/>
    </row>
    <row r="8790" spans="6:6">
      <c r="F8790" s="35"/>
    </row>
    <row r="8791" spans="6:6">
      <c r="F8791" s="35"/>
    </row>
    <row r="8792" spans="6:6">
      <c r="F8792" s="35"/>
    </row>
    <row r="8793" spans="6:6">
      <c r="F8793" s="35"/>
    </row>
    <row r="8794" spans="6:6">
      <c r="F8794" s="35"/>
    </row>
    <row r="8795" spans="6:6">
      <c r="F8795" s="35"/>
    </row>
    <row r="8796" spans="6:6">
      <c r="F8796" s="35"/>
    </row>
    <row r="8797" spans="6:6">
      <c r="F8797" s="35"/>
    </row>
    <row r="8798" spans="6:6">
      <c r="F8798" s="35"/>
    </row>
    <row r="8799" spans="6:6">
      <c r="F8799" s="35"/>
    </row>
    <row r="8800" spans="6:6">
      <c r="F8800" s="35"/>
    </row>
    <row r="8801" spans="6:6">
      <c r="F8801" s="35"/>
    </row>
    <row r="8802" spans="6:6">
      <c r="F8802" s="35"/>
    </row>
    <row r="8803" spans="6:6">
      <c r="F8803" s="35"/>
    </row>
    <row r="8804" spans="6:6">
      <c r="F8804" s="35"/>
    </row>
    <row r="8805" spans="6:6">
      <c r="F8805" s="35"/>
    </row>
    <row r="8806" spans="6:6">
      <c r="F8806" s="35"/>
    </row>
    <row r="8807" spans="6:6">
      <c r="F8807" s="35"/>
    </row>
    <row r="8808" spans="6:6">
      <c r="F8808" s="35"/>
    </row>
    <row r="8809" spans="6:6">
      <c r="F8809" s="35"/>
    </row>
    <row r="8810" spans="6:6">
      <c r="F8810" s="35"/>
    </row>
    <row r="8811" spans="6:6">
      <c r="F8811" s="35"/>
    </row>
    <row r="8812" spans="6:6">
      <c r="F8812" s="35"/>
    </row>
    <row r="8813" spans="6:6">
      <c r="F8813" s="35"/>
    </row>
    <row r="8814" spans="6:6">
      <c r="F8814" s="35"/>
    </row>
    <row r="8815" spans="6:6">
      <c r="F8815" s="35"/>
    </row>
    <row r="8816" spans="6:6">
      <c r="F8816" s="35"/>
    </row>
    <row r="8817" spans="6:6">
      <c r="F8817" s="35"/>
    </row>
    <row r="8818" spans="6:6">
      <c r="F8818" s="35"/>
    </row>
    <row r="8819" spans="6:6">
      <c r="F8819" s="35"/>
    </row>
    <row r="8820" spans="6:6">
      <c r="F8820" s="35"/>
    </row>
    <row r="8821" spans="6:6">
      <c r="F8821" s="35"/>
    </row>
    <row r="8822" spans="6:6">
      <c r="F8822" s="35"/>
    </row>
    <row r="8823" spans="6:6">
      <c r="F8823" s="35"/>
    </row>
    <row r="8824" spans="6:6">
      <c r="F8824" s="35"/>
    </row>
    <row r="8825" spans="6:6">
      <c r="F8825" s="35"/>
    </row>
    <row r="8826" spans="6:6">
      <c r="F8826" s="35"/>
    </row>
    <row r="8827" spans="6:6">
      <c r="F8827" s="35"/>
    </row>
    <row r="8828" spans="6:6">
      <c r="F8828" s="35"/>
    </row>
    <row r="8829" spans="6:6">
      <c r="F8829" s="35"/>
    </row>
    <row r="8830" spans="6:6">
      <c r="F8830" s="35"/>
    </row>
    <row r="8831" spans="6:6">
      <c r="F8831" s="35"/>
    </row>
    <row r="8832" spans="6:6">
      <c r="F8832" s="35"/>
    </row>
    <row r="8833" spans="6:6">
      <c r="F8833" s="35"/>
    </row>
    <row r="8834" spans="6:6">
      <c r="F8834" s="35"/>
    </row>
    <row r="8835" spans="6:6">
      <c r="F8835" s="35"/>
    </row>
    <row r="8836" spans="6:6">
      <c r="F8836" s="35"/>
    </row>
    <row r="8837" spans="6:6">
      <c r="F8837" s="35"/>
    </row>
    <row r="8838" spans="6:6">
      <c r="F8838" s="35"/>
    </row>
    <row r="8839" spans="6:6">
      <c r="F8839" s="35"/>
    </row>
    <row r="8840" spans="6:6">
      <c r="F8840" s="35"/>
    </row>
    <row r="8841" spans="6:6">
      <c r="F8841" s="35"/>
    </row>
    <row r="8842" spans="6:6">
      <c r="F8842" s="35"/>
    </row>
    <row r="8843" spans="6:6">
      <c r="F8843" s="35"/>
    </row>
    <row r="8844" spans="6:6">
      <c r="F8844" s="35"/>
    </row>
    <row r="8845" spans="6:6">
      <c r="F8845" s="35"/>
    </row>
    <row r="8846" spans="6:6">
      <c r="F8846" s="35"/>
    </row>
    <row r="8847" spans="6:6">
      <c r="F8847" s="35"/>
    </row>
    <row r="8848" spans="6:6">
      <c r="F8848" s="35"/>
    </row>
    <row r="8849" spans="6:6">
      <c r="F8849" s="35"/>
    </row>
    <row r="8850" spans="6:6">
      <c r="F8850" s="35"/>
    </row>
    <row r="8851" spans="6:6">
      <c r="F8851" s="35"/>
    </row>
    <row r="8852" spans="6:6">
      <c r="F8852" s="35"/>
    </row>
    <row r="8853" spans="6:6">
      <c r="F8853" s="35"/>
    </row>
    <row r="8854" spans="6:6">
      <c r="F8854" s="35"/>
    </row>
    <row r="8855" spans="6:6">
      <c r="F8855" s="35"/>
    </row>
    <row r="8856" spans="6:6">
      <c r="F8856" s="35"/>
    </row>
    <row r="8857" spans="6:6">
      <c r="F8857" s="35"/>
    </row>
    <row r="8858" spans="6:6">
      <c r="F8858" s="35"/>
    </row>
    <row r="8859" spans="6:6">
      <c r="F8859" s="35"/>
    </row>
    <row r="8860" spans="6:6">
      <c r="F8860" s="35"/>
    </row>
    <row r="8861" spans="6:6">
      <c r="F8861" s="35"/>
    </row>
    <row r="8862" spans="6:6">
      <c r="F8862" s="35"/>
    </row>
    <row r="8863" spans="6:6">
      <c r="F8863" s="35"/>
    </row>
    <row r="8864" spans="6:6">
      <c r="F8864" s="35"/>
    </row>
    <row r="8865" spans="6:6">
      <c r="F8865" s="35"/>
    </row>
    <row r="8866" spans="6:6">
      <c r="F8866" s="35"/>
    </row>
    <row r="8867" spans="6:6">
      <c r="F8867" s="35"/>
    </row>
    <row r="8868" spans="6:6">
      <c r="F8868" s="35"/>
    </row>
    <row r="8869" spans="6:6">
      <c r="F8869" s="35"/>
    </row>
    <row r="8870" spans="6:6">
      <c r="F8870" s="35"/>
    </row>
    <row r="8871" spans="6:6">
      <c r="F8871" s="35"/>
    </row>
    <row r="8872" spans="6:6">
      <c r="F8872" s="35"/>
    </row>
    <row r="8873" spans="6:6">
      <c r="F8873" s="35"/>
    </row>
    <row r="8874" spans="6:6">
      <c r="F8874" s="35"/>
    </row>
    <row r="8875" spans="6:6">
      <c r="F8875" s="35"/>
    </row>
    <row r="8876" spans="6:6">
      <c r="F8876" s="35"/>
    </row>
    <row r="8877" spans="6:6">
      <c r="F8877" s="35"/>
    </row>
    <row r="8878" spans="6:6">
      <c r="F8878" s="35"/>
    </row>
    <row r="8879" spans="6:6">
      <c r="F8879" s="35"/>
    </row>
    <row r="8880" spans="6:6">
      <c r="F8880" s="35"/>
    </row>
    <row r="8881" spans="6:6">
      <c r="F8881" s="35"/>
    </row>
    <row r="8882" spans="6:6">
      <c r="F8882" s="35"/>
    </row>
    <row r="8883" spans="6:6">
      <c r="F8883" s="35"/>
    </row>
    <row r="8884" spans="6:6">
      <c r="F8884" s="35"/>
    </row>
    <row r="8885" spans="6:6">
      <c r="F8885" s="35"/>
    </row>
    <row r="8886" spans="6:6">
      <c r="F8886" s="35"/>
    </row>
    <row r="8887" spans="6:6">
      <c r="F8887" s="35"/>
    </row>
    <row r="8888" spans="6:6">
      <c r="F8888" s="35"/>
    </row>
    <row r="8889" spans="6:6">
      <c r="F8889" s="35"/>
    </row>
    <row r="8890" spans="6:6">
      <c r="F8890" s="35"/>
    </row>
    <row r="8891" spans="6:6">
      <c r="F8891" s="35"/>
    </row>
    <row r="8892" spans="6:6">
      <c r="F8892" s="35"/>
    </row>
    <row r="8893" spans="6:6">
      <c r="F8893" s="35"/>
    </row>
    <row r="8894" spans="6:6">
      <c r="F8894" s="35"/>
    </row>
    <row r="8895" spans="6:6">
      <c r="F8895" s="35"/>
    </row>
    <row r="8896" spans="6:6">
      <c r="F8896" s="35"/>
    </row>
    <row r="8897" spans="6:6">
      <c r="F8897" s="35"/>
    </row>
    <row r="8898" spans="6:6">
      <c r="F8898" s="35"/>
    </row>
    <row r="8899" spans="6:6">
      <c r="F8899" s="35"/>
    </row>
    <row r="8900" spans="6:6">
      <c r="F8900" s="35"/>
    </row>
    <row r="8901" spans="6:6">
      <c r="F8901" s="35"/>
    </row>
    <row r="8902" spans="6:6">
      <c r="F8902" s="35"/>
    </row>
    <row r="8903" spans="6:6">
      <c r="F8903" s="35"/>
    </row>
    <row r="8904" spans="6:6">
      <c r="F8904" s="35"/>
    </row>
    <row r="8905" spans="6:6">
      <c r="F8905" s="35"/>
    </row>
    <row r="8906" spans="6:6">
      <c r="F8906" s="35"/>
    </row>
    <row r="8907" spans="6:6">
      <c r="F8907" s="35"/>
    </row>
    <row r="8908" spans="6:6">
      <c r="F8908" s="35"/>
    </row>
    <row r="8909" spans="6:6">
      <c r="F8909" s="35"/>
    </row>
    <row r="8910" spans="6:6">
      <c r="F8910" s="35"/>
    </row>
    <row r="8911" spans="6:6">
      <c r="F8911" s="35"/>
    </row>
    <row r="8912" spans="6:6">
      <c r="F8912" s="35"/>
    </row>
    <row r="8913" spans="6:6">
      <c r="F8913" s="35"/>
    </row>
    <row r="8914" spans="6:6">
      <c r="F8914" s="35"/>
    </row>
    <row r="8915" spans="6:6">
      <c r="F8915" s="35"/>
    </row>
    <row r="8916" spans="6:6">
      <c r="F8916" s="35"/>
    </row>
    <row r="8917" spans="6:6">
      <c r="F8917" s="35"/>
    </row>
    <row r="8918" spans="6:6">
      <c r="F8918" s="35"/>
    </row>
    <row r="8919" spans="6:6">
      <c r="F8919" s="35"/>
    </row>
    <row r="8920" spans="6:6">
      <c r="F8920" s="35"/>
    </row>
    <row r="8921" spans="6:6">
      <c r="F8921" s="35"/>
    </row>
    <row r="8922" spans="6:6">
      <c r="F8922" s="35"/>
    </row>
    <row r="8923" spans="6:6">
      <c r="F8923" s="35"/>
    </row>
    <row r="8924" spans="6:6">
      <c r="F8924" s="35"/>
    </row>
    <row r="8925" spans="6:6">
      <c r="F8925" s="35"/>
    </row>
    <row r="8926" spans="6:6">
      <c r="F8926" s="35"/>
    </row>
    <row r="8927" spans="6:6">
      <c r="F8927" s="35"/>
    </row>
    <row r="8928" spans="6:6">
      <c r="F8928" s="35"/>
    </row>
    <row r="8929" spans="6:6">
      <c r="F8929" s="35"/>
    </row>
    <row r="8930" spans="6:6">
      <c r="F8930" s="35"/>
    </row>
    <row r="8931" spans="6:6">
      <c r="F8931" s="35"/>
    </row>
    <row r="8932" spans="6:6">
      <c r="F8932" s="35"/>
    </row>
    <row r="8933" spans="6:6">
      <c r="F8933" s="35"/>
    </row>
    <row r="8934" spans="6:6">
      <c r="F8934" s="35"/>
    </row>
    <row r="8935" spans="6:6">
      <c r="F8935" s="35"/>
    </row>
    <row r="8936" spans="6:6">
      <c r="F8936" s="35"/>
    </row>
    <row r="8937" spans="6:6">
      <c r="F8937" s="35"/>
    </row>
    <row r="8938" spans="6:6">
      <c r="F8938" s="35"/>
    </row>
    <row r="8939" spans="6:6">
      <c r="F8939" s="35"/>
    </row>
    <row r="8940" spans="6:6">
      <c r="F8940" s="35"/>
    </row>
    <row r="8941" spans="6:6">
      <c r="F8941" s="35"/>
    </row>
    <row r="8942" spans="6:6">
      <c r="F8942" s="35"/>
    </row>
    <row r="8943" spans="6:6">
      <c r="F8943" s="35"/>
    </row>
    <row r="8944" spans="6:6">
      <c r="F8944" s="35"/>
    </row>
    <row r="8945" spans="6:6">
      <c r="F8945" s="35"/>
    </row>
    <row r="8946" spans="6:6">
      <c r="F8946" s="35"/>
    </row>
    <row r="8947" spans="6:6">
      <c r="F8947" s="35"/>
    </row>
    <row r="8948" spans="6:6">
      <c r="F8948" s="35"/>
    </row>
    <row r="8949" spans="6:6">
      <c r="F8949" s="35"/>
    </row>
    <row r="8950" spans="6:6">
      <c r="F8950" s="35"/>
    </row>
    <row r="8951" spans="6:6">
      <c r="F8951" s="35"/>
    </row>
    <row r="8952" spans="6:6">
      <c r="F8952" s="35"/>
    </row>
    <row r="8953" spans="6:6">
      <c r="F8953" s="35"/>
    </row>
    <row r="8954" spans="6:6">
      <c r="F8954" s="35"/>
    </row>
    <row r="8955" spans="6:6">
      <c r="F8955" s="35"/>
    </row>
    <row r="8956" spans="6:6">
      <c r="F8956" s="35"/>
    </row>
    <row r="8957" spans="6:6">
      <c r="F8957" s="35"/>
    </row>
    <row r="8958" spans="6:6">
      <c r="F8958" s="35"/>
    </row>
    <row r="8959" spans="6:6">
      <c r="F8959" s="35"/>
    </row>
    <row r="8960" spans="6:6">
      <c r="F8960" s="35"/>
    </row>
    <row r="8961" spans="6:6">
      <c r="F8961" s="35"/>
    </row>
    <row r="8962" spans="6:6">
      <c r="F8962" s="35"/>
    </row>
    <row r="8963" spans="6:6">
      <c r="F8963" s="35"/>
    </row>
    <row r="8964" spans="6:6">
      <c r="F8964" s="35"/>
    </row>
    <row r="8965" spans="6:6">
      <c r="F8965" s="35"/>
    </row>
    <row r="8966" spans="6:6">
      <c r="F8966" s="35"/>
    </row>
    <row r="8967" spans="6:6">
      <c r="F8967" s="35"/>
    </row>
    <row r="8968" spans="6:6">
      <c r="F8968" s="35"/>
    </row>
    <row r="8969" spans="6:6">
      <c r="F8969" s="35"/>
    </row>
    <row r="8970" spans="6:6">
      <c r="F8970" s="35"/>
    </row>
    <row r="8971" spans="6:6">
      <c r="F8971" s="35"/>
    </row>
    <row r="8972" spans="6:6">
      <c r="F8972" s="35"/>
    </row>
    <row r="8973" spans="6:6">
      <c r="F8973" s="35"/>
    </row>
    <row r="8974" spans="6:6">
      <c r="F8974" s="35"/>
    </row>
    <row r="8975" spans="6:6">
      <c r="F8975" s="35"/>
    </row>
    <row r="8976" spans="6:6">
      <c r="F8976" s="35"/>
    </row>
    <row r="8977" spans="6:6">
      <c r="F8977" s="35"/>
    </row>
    <row r="8978" spans="6:6">
      <c r="F8978" s="35"/>
    </row>
    <row r="8979" spans="6:6">
      <c r="F8979" s="35"/>
    </row>
    <row r="8980" spans="6:6">
      <c r="F8980" s="35"/>
    </row>
    <row r="8981" spans="6:6">
      <c r="F8981" s="35"/>
    </row>
    <row r="8982" spans="6:6">
      <c r="F8982" s="35"/>
    </row>
    <row r="8983" spans="6:6">
      <c r="F8983" s="35"/>
    </row>
    <row r="8984" spans="6:6">
      <c r="F8984" s="35"/>
    </row>
    <row r="8985" spans="6:6">
      <c r="F8985" s="35"/>
    </row>
    <row r="8986" spans="6:6">
      <c r="F8986" s="35"/>
    </row>
    <row r="8987" spans="6:6">
      <c r="F8987" s="35"/>
    </row>
    <row r="8988" spans="6:6">
      <c r="F8988" s="35"/>
    </row>
    <row r="8989" spans="6:6">
      <c r="F8989" s="35"/>
    </row>
    <row r="8990" spans="6:6">
      <c r="F8990" s="35"/>
    </row>
    <row r="8991" spans="6:6">
      <c r="F8991" s="35"/>
    </row>
    <row r="8992" spans="6:6">
      <c r="F8992" s="35"/>
    </row>
    <row r="8993" spans="6:6">
      <c r="F8993" s="35"/>
    </row>
    <row r="8994" spans="6:6">
      <c r="F8994" s="35"/>
    </row>
    <row r="8995" spans="6:6">
      <c r="F8995" s="35"/>
    </row>
    <row r="8996" spans="6:6">
      <c r="F8996" s="35"/>
    </row>
    <row r="8997" spans="6:6">
      <c r="F8997" s="35"/>
    </row>
    <row r="8998" spans="6:6">
      <c r="F8998" s="35"/>
    </row>
    <row r="8999" spans="6:6">
      <c r="F8999" s="35"/>
    </row>
    <row r="9000" spans="6:6">
      <c r="F9000" s="35"/>
    </row>
    <row r="9001" spans="6:6">
      <c r="F9001" s="35"/>
    </row>
    <row r="9002" spans="6:6">
      <c r="F9002" s="35"/>
    </row>
    <row r="9003" spans="6:6">
      <c r="F9003" s="35"/>
    </row>
    <row r="9004" spans="6:6">
      <c r="F9004" s="35"/>
    </row>
    <row r="9005" spans="6:6">
      <c r="F9005" s="35"/>
    </row>
    <row r="9006" spans="6:6">
      <c r="F9006" s="35"/>
    </row>
    <row r="9007" spans="6:6">
      <c r="F9007" s="35"/>
    </row>
    <row r="9008" spans="6:6">
      <c r="F9008" s="35"/>
    </row>
    <row r="9009" spans="6:6">
      <c r="F9009" s="35"/>
    </row>
    <row r="9010" spans="6:6">
      <c r="F9010" s="35"/>
    </row>
    <row r="9011" spans="6:6">
      <c r="F9011" s="35"/>
    </row>
    <row r="9012" spans="6:6">
      <c r="F9012" s="35"/>
    </row>
    <row r="9013" spans="6:6">
      <c r="F9013" s="35"/>
    </row>
    <row r="9014" spans="6:6">
      <c r="F9014" s="35"/>
    </row>
    <row r="9015" spans="6:6">
      <c r="F9015" s="35"/>
    </row>
    <row r="9016" spans="6:6">
      <c r="F9016" s="35"/>
    </row>
    <row r="9017" spans="6:6">
      <c r="F9017" s="35"/>
    </row>
    <row r="9018" spans="6:6">
      <c r="F9018" s="35"/>
    </row>
    <row r="9019" spans="6:6">
      <c r="F9019" s="35"/>
    </row>
    <row r="9020" spans="6:6">
      <c r="F9020" s="35"/>
    </row>
    <row r="9021" spans="6:6">
      <c r="F9021" s="35"/>
    </row>
    <row r="9022" spans="6:6">
      <c r="F9022" s="35"/>
    </row>
    <row r="9023" spans="6:6">
      <c r="F9023" s="35"/>
    </row>
    <row r="9024" spans="6:6">
      <c r="F9024" s="35"/>
    </row>
    <row r="9025" spans="6:6">
      <c r="F9025" s="35"/>
    </row>
    <row r="9026" spans="6:6">
      <c r="F9026" s="35"/>
    </row>
    <row r="9027" spans="6:6">
      <c r="F9027" s="35"/>
    </row>
    <row r="9028" spans="6:6">
      <c r="F9028" s="35"/>
    </row>
    <row r="9029" spans="6:6">
      <c r="F9029" s="35"/>
    </row>
    <row r="9030" spans="6:6">
      <c r="F9030" s="35"/>
    </row>
    <row r="9031" spans="6:6">
      <c r="F9031" s="35"/>
    </row>
    <row r="9032" spans="6:6">
      <c r="F9032" s="35"/>
    </row>
    <row r="9033" spans="6:6">
      <c r="F9033" s="35"/>
    </row>
    <row r="9034" spans="6:6">
      <c r="F9034" s="35"/>
    </row>
    <row r="9035" spans="6:6">
      <c r="F9035" s="35"/>
    </row>
    <row r="9036" spans="6:6">
      <c r="F9036" s="35"/>
    </row>
    <row r="9037" spans="6:6">
      <c r="F9037" s="35"/>
    </row>
    <row r="9038" spans="6:6">
      <c r="F9038" s="35"/>
    </row>
    <row r="9039" spans="6:6">
      <c r="F9039" s="35"/>
    </row>
    <row r="9040" spans="6:6">
      <c r="F9040" s="35"/>
    </row>
    <row r="9041" spans="6:6">
      <c r="F9041" s="35"/>
    </row>
    <row r="9042" spans="6:6">
      <c r="F9042" s="35"/>
    </row>
    <row r="9043" spans="6:6">
      <c r="F9043" s="35"/>
    </row>
    <row r="9044" spans="6:6">
      <c r="F9044" s="35"/>
    </row>
    <row r="9045" spans="6:6">
      <c r="F9045" s="35"/>
    </row>
    <row r="9046" spans="6:6">
      <c r="F9046" s="35"/>
    </row>
    <row r="9047" spans="6:6">
      <c r="F9047" s="35"/>
    </row>
    <row r="9048" spans="6:6">
      <c r="F9048" s="35"/>
    </row>
    <row r="9049" spans="6:6">
      <c r="F9049" s="35"/>
    </row>
    <row r="9050" spans="6:6">
      <c r="F9050" s="35"/>
    </row>
    <row r="9051" spans="6:6">
      <c r="F9051" s="35"/>
    </row>
    <row r="9052" spans="6:6">
      <c r="F9052" s="35"/>
    </row>
    <row r="9053" spans="6:6">
      <c r="F9053" s="35"/>
    </row>
    <row r="9054" spans="6:6">
      <c r="F9054" s="35"/>
    </row>
    <row r="9055" spans="6:6">
      <c r="F9055" s="35"/>
    </row>
    <row r="9056" spans="6:6">
      <c r="F9056" s="35"/>
    </row>
    <row r="9057" spans="6:6">
      <c r="F9057" s="35"/>
    </row>
    <row r="9058" spans="6:6">
      <c r="F9058" s="35"/>
    </row>
    <row r="9059" spans="6:6">
      <c r="F9059" s="35"/>
    </row>
    <row r="9060" spans="6:6">
      <c r="F9060" s="35"/>
    </row>
    <row r="9061" spans="6:6">
      <c r="F9061" s="35"/>
    </row>
    <row r="9062" spans="6:6">
      <c r="F9062" s="35"/>
    </row>
    <row r="9063" spans="6:6">
      <c r="F9063" s="35"/>
    </row>
    <row r="9064" spans="6:6">
      <c r="F9064" s="35"/>
    </row>
    <row r="9065" spans="6:6">
      <c r="F9065" s="35"/>
    </row>
    <row r="9066" spans="6:6">
      <c r="F9066" s="35"/>
    </row>
    <row r="9067" spans="6:6">
      <c r="F9067" s="35"/>
    </row>
    <row r="9068" spans="6:6">
      <c r="F9068" s="35"/>
    </row>
    <row r="9069" spans="6:6">
      <c r="F9069" s="35"/>
    </row>
    <row r="9070" spans="6:6">
      <c r="F9070" s="35"/>
    </row>
    <row r="9071" spans="6:6">
      <c r="F9071" s="35"/>
    </row>
    <row r="9072" spans="6:6">
      <c r="F9072" s="35"/>
    </row>
    <row r="9073" spans="6:6">
      <c r="F9073" s="35"/>
    </row>
    <row r="9074" spans="6:6">
      <c r="F9074" s="35"/>
    </row>
    <row r="9075" spans="6:6">
      <c r="F9075" s="35"/>
    </row>
    <row r="9076" spans="6:6">
      <c r="F9076" s="35"/>
    </row>
    <row r="9077" spans="6:6">
      <c r="F9077" s="35"/>
    </row>
    <row r="9078" spans="6:6">
      <c r="F9078" s="35"/>
    </row>
    <row r="9079" spans="6:6">
      <c r="F9079" s="35"/>
    </row>
    <row r="9080" spans="6:6">
      <c r="F9080" s="35"/>
    </row>
    <row r="9081" spans="6:6">
      <c r="F9081" s="35"/>
    </row>
    <row r="9082" spans="6:6">
      <c r="F9082" s="35"/>
    </row>
    <row r="9083" spans="6:6">
      <c r="F9083" s="35"/>
    </row>
    <row r="9084" spans="6:6">
      <c r="F9084" s="35"/>
    </row>
    <row r="9085" spans="6:6">
      <c r="F9085" s="35"/>
    </row>
    <row r="9086" spans="6:6">
      <c r="F9086" s="35"/>
    </row>
    <row r="9087" spans="6:6">
      <c r="F9087" s="35"/>
    </row>
    <row r="9088" spans="6:6">
      <c r="F9088" s="35"/>
    </row>
    <row r="9089" spans="6:6">
      <c r="F9089" s="35"/>
    </row>
    <row r="9090" spans="6:6">
      <c r="F9090" s="35"/>
    </row>
    <row r="9091" spans="6:6">
      <c r="F9091" s="35"/>
    </row>
    <row r="9092" spans="6:6">
      <c r="F9092" s="35"/>
    </row>
    <row r="9093" spans="6:6">
      <c r="F9093" s="35"/>
    </row>
    <row r="9094" spans="6:6">
      <c r="F9094" s="35"/>
    </row>
    <row r="9095" spans="6:6">
      <c r="F9095" s="35"/>
    </row>
    <row r="9096" spans="6:6">
      <c r="F9096" s="35"/>
    </row>
    <row r="9097" spans="6:6">
      <c r="F9097" s="35"/>
    </row>
    <row r="9098" spans="6:6">
      <c r="F9098" s="35"/>
    </row>
    <row r="9099" spans="6:6">
      <c r="F9099" s="35"/>
    </row>
    <row r="9100" spans="6:6">
      <c r="F9100" s="35"/>
    </row>
    <row r="9101" spans="6:6">
      <c r="F9101" s="35"/>
    </row>
    <row r="9102" spans="6:6">
      <c r="F9102" s="35"/>
    </row>
    <row r="9103" spans="6:6">
      <c r="F9103" s="35"/>
    </row>
    <row r="9104" spans="6:6">
      <c r="F9104" s="35"/>
    </row>
    <row r="9105" spans="6:6">
      <c r="F9105" s="35"/>
    </row>
    <row r="9106" spans="6:6">
      <c r="F9106" s="35"/>
    </row>
    <row r="9107" spans="6:6">
      <c r="F9107" s="35"/>
    </row>
    <row r="9108" spans="6:6">
      <c r="F9108" s="35"/>
    </row>
    <row r="9109" spans="6:6">
      <c r="F9109" s="35"/>
    </row>
    <row r="9110" spans="6:6">
      <c r="F9110" s="35"/>
    </row>
    <row r="9111" spans="6:6">
      <c r="F9111" s="35"/>
    </row>
    <row r="9112" spans="6:6">
      <c r="F9112" s="35"/>
    </row>
    <row r="9113" spans="6:6">
      <c r="F9113" s="35"/>
    </row>
    <row r="9114" spans="6:6">
      <c r="F9114" s="35"/>
    </row>
    <row r="9115" spans="6:6">
      <c r="F9115" s="35"/>
    </row>
    <row r="9116" spans="6:6">
      <c r="F9116" s="35"/>
    </row>
    <row r="9117" spans="6:6">
      <c r="F9117" s="35"/>
    </row>
    <row r="9118" spans="6:6">
      <c r="F9118" s="35"/>
    </row>
    <row r="9119" spans="6:6">
      <c r="F9119" s="35"/>
    </row>
    <row r="9120" spans="6:6">
      <c r="F9120" s="35"/>
    </row>
    <row r="9121" spans="6:6">
      <c r="F9121" s="35"/>
    </row>
    <row r="9122" spans="6:6">
      <c r="F9122" s="35"/>
    </row>
    <row r="9123" spans="6:6">
      <c r="F9123" s="35"/>
    </row>
    <row r="9124" spans="6:6">
      <c r="F9124" s="35"/>
    </row>
    <row r="9125" spans="6:6">
      <c r="F9125" s="35"/>
    </row>
    <row r="9126" spans="6:6">
      <c r="F9126" s="35"/>
    </row>
    <row r="9127" spans="6:6">
      <c r="F9127" s="35"/>
    </row>
    <row r="9128" spans="6:6">
      <c r="F9128" s="35"/>
    </row>
    <row r="9129" spans="6:6">
      <c r="F9129" s="35"/>
    </row>
    <row r="9130" spans="6:6">
      <c r="F9130" s="35"/>
    </row>
    <row r="9131" spans="6:6">
      <c r="F9131" s="35"/>
    </row>
    <row r="9132" spans="6:6">
      <c r="F9132" s="35"/>
    </row>
    <row r="9133" spans="6:6">
      <c r="F9133" s="35"/>
    </row>
    <row r="9134" spans="6:6">
      <c r="F9134" s="35"/>
    </row>
    <row r="9135" spans="6:6">
      <c r="F9135" s="35"/>
    </row>
    <row r="9136" spans="6:6">
      <c r="F9136" s="35"/>
    </row>
    <row r="9137" spans="6:6">
      <c r="F9137" s="35"/>
    </row>
    <row r="9138" spans="6:6">
      <c r="F9138" s="35"/>
    </row>
    <row r="9139" spans="6:6">
      <c r="F9139" s="35"/>
    </row>
    <row r="9140" spans="6:6">
      <c r="F9140" s="35"/>
    </row>
    <row r="9141" spans="6:6">
      <c r="F9141" s="35"/>
    </row>
    <row r="9142" spans="6:6">
      <c r="F9142" s="35"/>
    </row>
    <row r="9143" spans="6:6">
      <c r="F9143" s="35"/>
    </row>
    <row r="9144" spans="6:6">
      <c r="F9144" s="35"/>
    </row>
    <row r="9145" spans="6:6">
      <c r="F9145" s="35"/>
    </row>
    <row r="9146" spans="6:6">
      <c r="F9146" s="35"/>
    </row>
    <row r="9147" spans="6:6">
      <c r="F9147" s="35"/>
    </row>
    <row r="9148" spans="6:6">
      <c r="F9148" s="35"/>
    </row>
    <row r="9149" spans="6:6">
      <c r="F9149" s="35"/>
    </row>
    <row r="9150" spans="6:6">
      <c r="F9150" s="35"/>
    </row>
    <row r="9151" spans="6:6">
      <c r="F9151" s="35"/>
    </row>
    <row r="9152" spans="6:6">
      <c r="F9152" s="35"/>
    </row>
    <row r="9153" spans="6:6">
      <c r="F9153" s="35"/>
    </row>
    <row r="9154" spans="6:6">
      <c r="F9154" s="35"/>
    </row>
    <row r="9155" spans="6:6">
      <c r="F9155" s="35"/>
    </row>
    <row r="9156" spans="6:6">
      <c r="F9156" s="35"/>
    </row>
    <row r="9157" spans="6:6">
      <c r="F9157" s="35"/>
    </row>
    <row r="9158" spans="6:6">
      <c r="F9158" s="35"/>
    </row>
    <row r="9159" spans="6:6">
      <c r="F9159" s="35"/>
    </row>
    <row r="9160" spans="6:6">
      <c r="F9160" s="35"/>
    </row>
    <row r="9161" spans="6:6">
      <c r="F9161" s="35"/>
    </row>
    <row r="9162" spans="6:6">
      <c r="F9162" s="35"/>
    </row>
    <row r="9163" spans="6:6">
      <c r="F9163" s="35"/>
    </row>
    <row r="9164" spans="6:6">
      <c r="F9164" s="35"/>
    </row>
    <row r="9165" spans="6:6">
      <c r="F9165" s="35"/>
    </row>
    <row r="9166" spans="6:6">
      <c r="F9166" s="35"/>
    </row>
    <row r="9167" spans="6:6">
      <c r="F9167" s="35"/>
    </row>
    <row r="9168" spans="6:6">
      <c r="F9168" s="35"/>
    </row>
    <row r="9169" spans="6:6">
      <c r="F9169" s="35"/>
    </row>
    <row r="9170" spans="6:6">
      <c r="F9170" s="35"/>
    </row>
    <row r="9171" spans="6:6">
      <c r="F9171" s="35"/>
    </row>
    <row r="9172" spans="6:6">
      <c r="F9172" s="35"/>
    </row>
    <row r="9173" spans="6:6">
      <c r="F9173" s="35"/>
    </row>
    <row r="9174" spans="6:6">
      <c r="F9174" s="35"/>
    </row>
    <row r="9175" spans="6:6">
      <c r="F9175" s="35"/>
    </row>
    <row r="9176" spans="6:6">
      <c r="F9176" s="35"/>
    </row>
    <row r="9177" spans="6:6">
      <c r="F9177" s="35"/>
    </row>
    <row r="9178" spans="6:6">
      <c r="F9178" s="35"/>
    </row>
    <row r="9179" spans="6:6">
      <c r="F9179" s="35"/>
    </row>
    <row r="9180" spans="6:6">
      <c r="F9180" s="35"/>
    </row>
    <row r="9181" spans="6:6">
      <c r="F9181" s="35"/>
    </row>
    <row r="9182" spans="6:6">
      <c r="F9182" s="35"/>
    </row>
    <row r="9183" spans="6:6">
      <c r="F9183" s="35"/>
    </row>
    <row r="9184" spans="6:6">
      <c r="F9184" s="35"/>
    </row>
    <row r="9185" spans="6:6">
      <c r="F9185" s="35"/>
    </row>
    <row r="9186" spans="6:6">
      <c r="F9186" s="35"/>
    </row>
    <row r="9187" spans="6:6">
      <c r="F9187" s="35"/>
    </row>
    <row r="9188" spans="6:6">
      <c r="F9188" s="35"/>
    </row>
    <row r="9189" spans="6:6">
      <c r="F9189" s="35"/>
    </row>
    <row r="9190" spans="6:6">
      <c r="F9190" s="35"/>
    </row>
    <row r="9191" spans="6:6">
      <c r="F9191" s="35"/>
    </row>
    <row r="9192" spans="6:6">
      <c r="F9192" s="35"/>
    </row>
    <row r="9193" spans="6:6">
      <c r="F9193" s="35"/>
    </row>
    <row r="9194" spans="6:6">
      <c r="F9194" s="35"/>
    </row>
    <row r="9195" spans="6:6">
      <c r="F9195" s="35"/>
    </row>
    <row r="9196" spans="6:6">
      <c r="F9196" s="35"/>
    </row>
    <row r="9197" spans="6:6">
      <c r="F9197" s="35"/>
    </row>
    <row r="9198" spans="6:6">
      <c r="F9198" s="35"/>
    </row>
    <row r="9199" spans="6:6">
      <c r="F9199" s="35"/>
    </row>
    <row r="9200" spans="6:6">
      <c r="F9200" s="35"/>
    </row>
    <row r="9201" spans="6:6">
      <c r="F9201" s="35"/>
    </row>
    <row r="9202" spans="6:6">
      <c r="F9202" s="35"/>
    </row>
    <row r="9203" spans="6:6">
      <c r="F9203" s="35"/>
    </row>
    <row r="9204" spans="6:6">
      <c r="F9204" s="35"/>
    </row>
    <row r="9205" spans="6:6">
      <c r="F9205" s="35"/>
    </row>
    <row r="9206" spans="6:6">
      <c r="F9206" s="35"/>
    </row>
    <row r="9207" spans="6:6">
      <c r="F9207" s="35"/>
    </row>
    <row r="9208" spans="6:6">
      <c r="F9208" s="35"/>
    </row>
    <row r="9209" spans="6:6">
      <c r="F9209" s="35"/>
    </row>
    <row r="9210" spans="6:6">
      <c r="F9210" s="35"/>
    </row>
    <row r="9211" spans="6:6">
      <c r="F9211" s="35"/>
    </row>
    <row r="9212" spans="6:6">
      <c r="F9212" s="35"/>
    </row>
    <row r="9213" spans="6:6">
      <c r="F9213" s="35"/>
    </row>
    <row r="9214" spans="6:6">
      <c r="F9214" s="35"/>
    </row>
    <row r="9215" spans="6:6">
      <c r="F9215" s="35"/>
    </row>
    <row r="9216" spans="6:6">
      <c r="F9216" s="35"/>
    </row>
    <row r="9217" spans="6:6">
      <c r="F9217" s="35"/>
    </row>
    <row r="9218" spans="6:6">
      <c r="F9218" s="35"/>
    </row>
    <row r="9219" spans="6:6">
      <c r="F9219" s="35"/>
    </row>
    <row r="9220" spans="6:6">
      <c r="F9220" s="35"/>
    </row>
    <row r="9221" spans="6:6">
      <c r="F9221" s="35"/>
    </row>
    <row r="9222" spans="6:6">
      <c r="F9222" s="35"/>
    </row>
    <row r="9223" spans="6:6">
      <c r="F9223" s="35"/>
    </row>
    <row r="9224" spans="6:6">
      <c r="F9224" s="35"/>
    </row>
    <row r="9225" spans="6:6">
      <c r="F9225" s="35"/>
    </row>
    <row r="9226" spans="6:6">
      <c r="F9226" s="35"/>
    </row>
    <row r="9227" spans="6:6">
      <c r="F9227" s="35"/>
    </row>
    <row r="9228" spans="6:6">
      <c r="F9228" s="35"/>
    </row>
    <row r="9229" spans="6:6">
      <c r="F9229" s="35"/>
    </row>
    <row r="9230" spans="6:6">
      <c r="F9230" s="35"/>
    </row>
    <row r="9231" spans="6:6">
      <c r="F9231" s="35"/>
    </row>
    <row r="9232" spans="6:6">
      <c r="F9232" s="35"/>
    </row>
    <row r="9233" spans="6:6">
      <c r="F9233" s="35"/>
    </row>
    <row r="9234" spans="6:6">
      <c r="F9234" s="35"/>
    </row>
    <row r="9235" spans="6:6">
      <c r="F9235" s="35"/>
    </row>
    <row r="9236" spans="6:6">
      <c r="F9236" s="35"/>
    </row>
    <row r="9237" spans="6:6">
      <c r="F9237" s="35"/>
    </row>
    <row r="9238" spans="6:6">
      <c r="F9238" s="35"/>
    </row>
    <row r="9239" spans="6:6">
      <c r="F9239" s="35"/>
    </row>
    <row r="9240" spans="6:6">
      <c r="F9240" s="35"/>
    </row>
    <row r="9241" spans="6:6">
      <c r="F9241" s="35"/>
    </row>
    <row r="9242" spans="6:6">
      <c r="F9242" s="35"/>
    </row>
    <row r="9243" spans="6:6">
      <c r="F9243" s="35"/>
    </row>
    <row r="9244" spans="6:6">
      <c r="F9244" s="35"/>
    </row>
    <row r="9245" spans="6:6">
      <c r="F9245" s="35"/>
    </row>
    <row r="9246" spans="6:6">
      <c r="F9246" s="35"/>
    </row>
    <row r="9247" spans="6:6">
      <c r="F9247" s="35"/>
    </row>
    <row r="9248" spans="6:6">
      <c r="F9248" s="35"/>
    </row>
    <row r="9249" spans="6:6">
      <c r="F9249" s="35"/>
    </row>
    <row r="9250" spans="6:6">
      <c r="F9250" s="35"/>
    </row>
    <row r="9251" spans="6:6">
      <c r="F9251" s="35"/>
    </row>
    <row r="9252" spans="6:6">
      <c r="F9252" s="35"/>
    </row>
    <row r="9253" spans="6:6">
      <c r="F9253" s="35"/>
    </row>
    <row r="9254" spans="6:6">
      <c r="F9254" s="35"/>
    </row>
    <row r="9255" spans="6:6">
      <c r="F9255" s="35"/>
    </row>
    <row r="9256" spans="6:6">
      <c r="F9256" s="35"/>
    </row>
    <row r="9257" spans="6:6">
      <c r="F9257" s="35"/>
    </row>
    <row r="9258" spans="6:6">
      <c r="F9258" s="35"/>
    </row>
    <row r="9259" spans="6:6">
      <c r="F9259" s="35"/>
    </row>
    <row r="9260" spans="6:6">
      <c r="F9260" s="35"/>
    </row>
    <row r="9261" spans="6:6">
      <c r="F9261" s="35"/>
    </row>
    <row r="9262" spans="6:6">
      <c r="F9262" s="35"/>
    </row>
    <row r="9263" spans="6:6">
      <c r="F9263" s="35"/>
    </row>
    <row r="9264" spans="6:6">
      <c r="F9264" s="35"/>
    </row>
    <row r="9265" spans="6:6">
      <c r="F9265" s="35"/>
    </row>
    <row r="9266" spans="6:6">
      <c r="F9266" s="35"/>
    </row>
    <row r="9267" spans="6:6">
      <c r="F9267" s="35"/>
    </row>
    <row r="9268" spans="6:6">
      <c r="F9268" s="35"/>
    </row>
    <row r="9269" spans="6:6">
      <c r="F9269" s="35"/>
    </row>
    <row r="9270" spans="6:6">
      <c r="F9270" s="35"/>
    </row>
    <row r="9271" spans="6:6">
      <c r="F9271" s="35"/>
    </row>
    <row r="9272" spans="6:6">
      <c r="F9272" s="35"/>
    </row>
    <row r="9273" spans="6:6">
      <c r="F9273" s="35"/>
    </row>
    <row r="9274" spans="6:6">
      <c r="F9274" s="35"/>
    </row>
    <row r="9275" spans="6:6">
      <c r="F9275" s="35"/>
    </row>
    <row r="9276" spans="6:6">
      <c r="F9276" s="35"/>
    </row>
    <row r="9277" spans="6:6">
      <c r="F9277" s="35"/>
    </row>
    <row r="9278" spans="6:6">
      <c r="F9278" s="35"/>
    </row>
    <row r="9279" spans="6:6">
      <c r="F9279" s="35"/>
    </row>
    <row r="9280" spans="6:6">
      <c r="F9280" s="35"/>
    </row>
    <row r="9281" spans="6:6">
      <c r="F9281" s="35"/>
    </row>
    <row r="9282" spans="6:6">
      <c r="F9282" s="35"/>
    </row>
    <row r="9283" spans="6:6">
      <c r="F9283" s="35"/>
    </row>
    <row r="9284" spans="6:6">
      <c r="F9284" s="35"/>
    </row>
    <row r="9285" spans="6:6">
      <c r="F9285" s="35"/>
    </row>
    <row r="9286" spans="6:6">
      <c r="F9286" s="35"/>
    </row>
    <row r="9287" spans="6:6">
      <c r="F9287" s="35"/>
    </row>
    <row r="9288" spans="6:6">
      <c r="F9288" s="35"/>
    </row>
    <row r="9289" spans="6:6">
      <c r="F9289" s="35"/>
    </row>
    <row r="9290" spans="6:6">
      <c r="F9290" s="35"/>
    </row>
    <row r="9291" spans="6:6">
      <c r="F9291" s="35"/>
    </row>
    <row r="9292" spans="6:6">
      <c r="F9292" s="35"/>
    </row>
    <row r="9293" spans="6:6">
      <c r="F9293" s="35"/>
    </row>
    <row r="9294" spans="6:6">
      <c r="F9294" s="35"/>
    </row>
    <row r="9295" spans="6:6">
      <c r="F9295" s="35"/>
    </row>
    <row r="9296" spans="6:6">
      <c r="F9296" s="35"/>
    </row>
    <row r="9297" spans="6:6">
      <c r="F9297" s="35"/>
    </row>
    <row r="9298" spans="6:6">
      <c r="F9298" s="35"/>
    </row>
    <row r="9299" spans="6:6">
      <c r="F9299" s="35"/>
    </row>
    <row r="9300" spans="6:6">
      <c r="F9300" s="35"/>
    </row>
    <row r="9301" spans="6:6">
      <c r="F9301" s="35"/>
    </row>
    <row r="9302" spans="6:6">
      <c r="F9302" s="35"/>
    </row>
    <row r="9303" spans="6:6">
      <c r="F9303" s="35"/>
    </row>
    <row r="9304" spans="6:6">
      <c r="F9304" s="35"/>
    </row>
    <row r="9305" spans="6:6">
      <c r="F9305" s="35"/>
    </row>
    <row r="9306" spans="6:6">
      <c r="F9306" s="35"/>
    </row>
    <row r="9307" spans="6:6">
      <c r="F9307" s="35"/>
    </row>
    <row r="9308" spans="6:6">
      <c r="F9308" s="35"/>
    </row>
    <row r="9309" spans="6:6">
      <c r="F9309" s="35"/>
    </row>
    <row r="9310" spans="6:6">
      <c r="F9310" s="35"/>
    </row>
    <row r="9311" spans="6:6">
      <c r="F9311" s="35"/>
    </row>
    <row r="9312" spans="6:6">
      <c r="F9312" s="35"/>
    </row>
    <row r="9313" spans="6:6">
      <c r="F9313" s="35"/>
    </row>
    <row r="9314" spans="6:6">
      <c r="F9314" s="35"/>
    </row>
    <row r="9315" spans="6:6">
      <c r="F9315" s="35"/>
    </row>
    <row r="9316" spans="6:6">
      <c r="F9316" s="35"/>
    </row>
    <row r="9317" spans="6:6">
      <c r="F9317" s="35"/>
    </row>
    <row r="9318" spans="6:6">
      <c r="F9318" s="35"/>
    </row>
    <row r="9319" spans="6:6">
      <c r="F9319" s="35"/>
    </row>
    <row r="9320" spans="6:6">
      <c r="F9320" s="35"/>
    </row>
    <row r="9321" spans="6:6">
      <c r="F9321" s="35"/>
    </row>
    <row r="9322" spans="6:6">
      <c r="F9322" s="35"/>
    </row>
    <row r="9323" spans="6:6">
      <c r="F9323" s="35"/>
    </row>
    <row r="9324" spans="6:6">
      <c r="F9324" s="35"/>
    </row>
    <row r="9325" spans="6:6">
      <c r="F9325" s="35"/>
    </row>
    <row r="9326" spans="6:6">
      <c r="F9326" s="35"/>
    </row>
    <row r="9327" spans="6:6">
      <c r="F9327" s="35"/>
    </row>
    <row r="9328" spans="6:6">
      <c r="F9328" s="35"/>
    </row>
    <row r="9329" spans="6:6">
      <c r="F9329" s="35"/>
    </row>
    <row r="9330" spans="6:6">
      <c r="F9330" s="35"/>
    </row>
    <row r="9331" spans="6:6">
      <c r="F9331" s="35"/>
    </row>
    <row r="9332" spans="6:6">
      <c r="F9332" s="35"/>
    </row>
    <row r="9333" spans="6:6">
      <c r="F9333" s="35"/>
    </row>
    <row r="9334" spans="6:6">
      <c r="F9334" s="35"/>
    </row>
    <row r="9335" spans="6:6">
      <c r="F9335" s="35"/>
    </row>
    <row r="9336" spans="6:6">
      <c r="F9336" s="35"/>
    </row>
    <row r="9337" spans="6:6">
      <c r="F9337" s="35"/>
    </row>
    <row r="9338" spans="6:6">
      <c r="F9338" s="35"/>
    </row>
    <row r="9339" spans="6:6">
      <c r="F9339" s="35"/>
    </row>
    <row r="9340" spans="6:6">
      <c r="F9340" s="35"/>
    </row>
    <row r="9341" spans="6:6">
      <c r="F9341" s="35"/>
    </row>
    <row r="9342" spans="6:6">
      <c r="F9342" s="35"/>
    </row>
    <row r="9343" spans="6:6">
      <c r="F9343" s="35"/>
    </row>
    <row r="9344" spans="6:6">
      <c r="F9344" s="35"/>
    </row>
    <row r="9345" spans="6:6">
      <c r="F9345" s="35"/>
    </row>
    <row r="9346" spans="6:6">
      <c r="F9346" s="35"/>
    </row>
    <row r="9347" spans="6:6">
      <c r="F9347" s="35"/>
    </row>
    <row r="9348" spans="6:6">
      <c r="F9348" s="35"/>
    </row>
    <row r="9349" spans="6:6">
      <c r="F9349" s="35"/>
    </row>
    <row r="9350" spans="6:6">
      <c r="F9350" s="35"/>
    </row>
    <row r="9351" spans="6:6">
      <c r="F9351" s="35"/>
    </row>
    <row r="9352" spans="6:6">
      <c r="F9352" s="35"/>
    </row>
    <row r="9353" spans="6:6">
      <c r="F9353" s="35"/>
    </row>
    <row r="9354" spans="6:6">
      <c r="F9354" s="35"/>
    </row>
    <row r="9355" spans="6:6">
      <c r="F9355" s="35"/>
    </row>
    <row r="9356" spans="6:6">
      <c r="F9356" s="35"/>
    </row>
    <row r="9357" spans="6:6">
      <c r="F9357" s="35"/>
    </row>
    <row r="9358" spans="6:6">
      <c r="F9358" s="35"/>
    </row>
    <row r="9359" spans="6:6">
      <c r="F9359" s="35"/>
    </row>
    <row r="9360" spans="6:6">
      <c r="F9360" s="35"/>
    </row>
    <row r="9361" spans="6:6">
      <c r="F9361" s="35"/>
    </row>
    <row r="9362" spans="6:6">
      <c r="F9362" s="35"/>
    </row>
    <row r="9363" spans="6:6">
      <c r="F9363" s="35"/>
    </row>
    <row r="9364" spans="6:6">
      <c r="F9364" s="35"/>
    </row>
    <row r="9365" spans="6:6">
      <c r="F9365" s="35"/>
    </row>
    <row r="9366" spans="6:6">
      <c r="F9366" s="35"/>
    </row>
    <row r="9367" spans="6:6">
      <c r="F9367" s="35"/>
    </row>
    <row r="9368" spans="6:6">
      <c r="F9368" s="35"/>
    </row>
    <row r="9369" spans="6:6">
      <c r="F9369" s="35"/>
    </row>
    <row r="9370" spans="6:6">
      <c r="F9370" s="35"/>
    </row>
    <row r="9371" spans="6:6">
      <c r="F9371" s="35"/>
    </row>
    <row r="9372" spans="6:6">
      <c r="F9372" s="35"/>
    </row>
    <row r="9373" spans="6:6">
      <c r="F9373" s="35"/>
    </row>
    <row r="9374" spans="6:6">
      <c r="F9374" s="35"/>
    </row>
    <row r="9375" spans="6:6">
      <c r="F9375" s="35"/>
    </row>
    <row r="9376" spans="6:6">
      <c r="F9376" s="35"/>
    </row>
    <row r="9377" spans="6:6">
      <c r="F9377" s="35"/>
    </row>
    <row r="9378" spans="6:6">
      <c r="F9378" s="35"/>
    </row>
    <row r="9379" spans="6:6">
      <c r="F9379" s="35"/>
    </row>
    <row r="9380" spans="6:6">
      <c r="F9380" s="35"/>
    </row>
    <row r="9381" spans="6:6">
      <c r="F9381" s="35"/>
    </row>
    <row r="9382" spans="6:6">
      <c r="F9382" s="35"/>
    </row>
    <row r="9383" spans="6:6">
      <c r="F9383" s="35"/>
    </row>
    <row r="9384" spans="6:6">
      <c r="F9384" s="35"/>
    </row>
    <row r="9385" spans="6:6">
      <c r="F9385" s="35"/>
    </row>
    <row r="9386" spans="6:6">
      <c r="F9386" s="35"/>
    </row>
    <row r="9387" spans="6:6">
      <c r="F9387" s="35"/>
    </row>
    <row r="9388" spans="6:6">
      <c r="F9388" s="35"/>
    </row>
    <row r="9389" spans="6:6">
      <c r="F9389" s="35"/>
    </row>
    <row r="9390" spans="6:6">
      <c r="F9390" s="35"/>
    </row>
    <row r="9391" spans="6:6">
      <c r="F9391" s="35"/>
    </row>
    <row r="9392" spans="6:6">
      <c r="F9392" s="35"/>
    </row>
    <row r="9393" spans="6:6">
      <c r="F9393" s="35"/>
    </row>
    <row r="9394" spans="6:6">
      <c r="F9394" s="35"/>
    </row>
    <row r="9395" spans="6:6">
      <c r="F9395" s="35"/>
    </row>
    <row r="9396" spans="6:6">
      <c r="F9396" s="35"/>
    </row>
    <row r="9397" spans="6:6">
      <c r="F9397" s="35"/>
    </row>
    <row r="9398" spans="6:6">
      <c r="F9398" s="35"/>
    </row>
    <row r="9399" spans="6:6">
      <c r="F9399" s="35"/>
    </row>
    <row r="9400" spans="6:6">
      <c r="F9400" s="35"/>
    </row>
    <row r="9401" spans="6:6">
      <c r="F9401" s="35"/>
    </row>
    <row r="9402" spans="6:6">
      <c r="F9402" s="35"/>
    </row>
    <row r="9403" spans="6:6">
      <c r="F9403" s="35"/>
    </row>
    <row r="9404" spans="6:6">
      <c r="F9404" s="35"/>
    </row>
    <row r="9405" spans="6:6">
      <c r="F9405" s="35"/>
    </row>
    <row r="9406" spans="6:6">
      <c r="F9406" s="35"/>
    </row>
    <row r="9407" spans="6:6">
      <c r="F9407" s="35"/>
    </row>
    <row r="9408" spans="6:6">
      <c r="F9408" s="35"/>
    </row>
    <row r="9409" spans="6:6">
      <c r="F9409" s="35"/>
    </row>
    <row r="9410" spans="6:6">
      <c r="F9410" s="35"/>
    </row>
    <row r="9411" spans="6:6">
      <c r="F9411" s="35"/>
    </row>
    <row r="9412" spans="6:6">
      <c r="F9412" s="35"/>
    </row>
    <row r="9413" spans="6:6">
      <c r="F9413" s="35"/>
    </row>
    <row r="9414" spans="6:6">
      <c r="F9414" s="35"/>
    </row>
    <row r="9415" spans="6:6">
      <c r="F9415" s="35"/>
    </row>
    <row r="9416" spans="6:6">
      <c r="F9416" s="35"/>
    </row>
    <row r="9417" spans="6:6">
      <c r="F9417" s="35"/>
    </row>
    <row r="9418" spans="6:6">
      <c r="F9418" s="35"/>
    </row>
    <row r="9419" spans="6:6">
      <c r="F9419" s="35"/>
    </row>
    <row r="9420" spans="6:6">
      <c r="F9420" s="35"/>
    </row>
    <row r="9421" spans="6:6">
      <c r="F9421" s="35"/>
    </row>
    <row r="9422" spans="6:6">
      <c r="F9422" s="35"/>
    </row>
    <row r="9423" spans="6:6">
      <c r="F9423" s="35"/>
    </row>
    <row r="9424" spans="6:6">
      <c r="F9424" s="35"/>
    </row>
    <row r="9425" spans="6:6">
      <c r="F9425" s="35"/>
    </row>
    <row r="9426" spans="6:6">
      <c r="F9426" s="35"/>
    </row>
    <row r="9427" spans="6:6">
      <c r="F9427" s="35"/>
    </row>
    <row r="9428" spans="6:6">
      <c r="F9428" s="35"/>
    </row>
    <row r="9429" spans="6:6">
      <c r="F9429" s="35"/>
    </row>
    <row r="9430" spans="6:6">
      <c r="F9430" s="35"/>
    </row>
    <row r="9431" spans="6:6">
      <c r="F9431" s="35"/>
    </row>
    <row r="9432" spans="6:6">
      <c r="F9432" s="35"/>
    </row>
    <row r="9433" spans="6:6">
      <c r="F9433" s="35"/>
    </row>
    <row r="9434" spans="6:6">
      <c r="F9434" s="35"/>
    </row>
    <row r="9435" spans="6:6">
      <c r="F9435" s="35"/>
    </row>
    <row r="9436" spans="6:6">
      <c r="F9436" s="35"/>
    </row>
    <row r="9437" spans="6:6">
      <c r="F9437" s="35"/>
    </row>
    <row r="9438" spans="6:6">
      <c r="F9438" s="35"/>
    </row>
    <row r="9439" spans="6:6">
      <c r="F9439" s="35"/>
    </row>
    <row r="9440" spans="6:6">
      <c r="F9440" s="35"/>
    </row>
    <row r="9441" spans="6:6">
      <c r="F9441" s="35"/>
    </row>
    <row r="9442" spans="6:6">
      <c r="F9442" s="35"/>
    </row>
    <row r="9443" spans="6:6">
      <c r="F9443" s="35"/>
    </row>
    <row r="9444" spans="6:6">
      <c r="F9444" s="35"/>
    </row>
    <row r="9445" spans="6:6">
      <c r="F9445" s="35"/>
    </row>
    <row r="9446" spans="6:6">
      <c r="F9446" s="35"/>
    </row>
    <row r="9447" spans="6:6">
      <c r="F9447" s="35"/>
    </row>
    <row r="9448" spans="6:6">
      <c r="F9448" s="35"/>
    </row>
    <row r="9449" spans="6:6">
      <c r="F9449" s="35"/>
    </row>
    <row r="9450" spans="6:6">
      <c r="F9450" s="35"/>
    </row>
    <row r="9451" spans="6:6">
      <c r="F9451" s="35"/>
    </row>
    <row r="9452" spans="6:6">
      <c r="F9452" s="35"/>
    </row>
    <row r="9453" spans="6:6">
      <c r="F9453" s="35"/>
    </row>
    <row r="9454" spans="6:6">
      <c r="F9454" s="35"/>
    </row>
    <row r="9455" spans="6:6">
      <c r="F9455" s="35"/>
    </row>
    <row r="9456" spans="6:6">
      <c r="F9456" s="35"/>
    </row>
    <row r="9457" spans="6:6">
      <c r="F9457" s="35"/>
    </row>
    <row r="9458" spans="6:6">
      <c r="F9458" s="35"/>
    </row>
    <row r="9459" spans="6:6">
      <c r="F9459" s="35"/>
    </row>
    <row r="9460" spans="6:6">
      <c r="F9460" s="35"/>
    </row>
    <row r="9461" spans="6:6">
      <c r="F9461" s="35"/>
    </row>
    <row r="9462" spans="6:6">
      <c r="F9462" s="35"/>
    </row>
    <row r="9463" spans="6:6">
      <c r="F9463" s="35"/>
    </row>
    <row r="9464" spans="6:6">
      <c r="F9464" s="35"/>
    </row>
    <row r="9465" spans="6:6">
      <c r="F9465" s="35"/>
    </row>
    <row r="9466" spans="6:6">
      <c r="F9466" s="35"/>
    </row>
    <row r="9467" spans="6:6">
      <c r="F9467" s="35"/>
    </row>
    <row r="9468" spans="6:6">
      <c r="F9468" s="35"/>
    </row>
    <row r="9469" spans="6:6">
      <c r="F9469" s="35"/>
    </row>
    <row r="9470" spans="6:6">
      <c r="F9470" s="35"/>
    </row>
    <row r="9471" spans="6:6">
      <c r="F9471" s="35"/>
    </row>
    <row r="9472" spans="6:6">
      <c r="F9472" s="35"/>
    </row>
    <row r="9473" spans="6:6">
      <c r="F9473" s="35"/>
    </row>
    <row r="9474" spans="6:6">
      <c r="F9474" s="35"/>
    </row>
    <row r="9475" spans="6:6">
      <c r="F9475" s="35"/>
    </row>
    <row r="9476" spans="6:6">
      <c r="F9476" s="35"/>
    </row>
    <row r="9477" spans="6:6">
      <c r="F9477" s="35"/>
    </row>
    <row r="9478" spans="6:6">
      <c r="F9478" s="35"/>
    </row>
    <row r="9479" spans="6:6">
      <c r="F9479" s="35"/>
    </row>
    <row r="9480" spans="6:6">
      <c r="F9480" s="35"/>
    </row>
    <row r="9481" spans="6:6">
      <c r="F9481" s="35"/>
    </row>
    <row r="9482" spans="6:6">
      <c r="F9482" s="35"/>
    </row>
    <row r="9483" spans="6:6">
      <c r="F9483" s="35"/>
    </row>
    <row r="9484" spans="6:6">
      <c r="F9484" s="35"/>
    </row>
    <row r="9485" spans="6:6">
      <c r="F9485" s="35"/>
    </row>
    <row r="9486" spans="6:6">
      <c r="F9486" s="35"/>
    </row>
    <row r="9487" spans="6:6">
      <c r="F9487" s="35"/>
    </row>
    <row r="9488" spans="6:6">
      <c r="F9488" s="35"/>
    </row>
    <row r="9489" spans="6:6">
      <c r="F9489" s="35"/>
    </row>
    <row r="9490" spans="6:6">
      <c r="F9490" s="35"/>
    </row>
    <row r="9491" spans="6:6">
      <c r="F9491" s="35"/>
    </row>
    <row r="9492" spans="6:6">
      <c r="F9492" s="35"/>
    </row>
    <row r="9493" spans="6:6">
      <c r="F9493" s="35"/>
    </row>
    <row r="9494" spans="6:6">
      <c r="F9494" s="35"/>
    </row>
    <row r="9495" spans="6:6">
      <c r="F9495" s="35"/>
    </row>
    <row r="9496" spans="6:6">
      <c r="F9496" s="35"/>
    </row>
    <row r="9497" spans="6:6">
      <c r="F9497" s="35"/>
    </row>
    <row r="9498" spans="6:6">
      <c r="F9498" s="35"/>
    </row>
    <row r="9499" spans="6:6">
      <c r="F9499" s="35"/>
    </row>
    <row r="9500" spans="6:6">
      <c r="F9500" s="35"/>
    </row>
    <row r="9501" spans="6:6">
      <c r="F9501" s="35"/>
    </row>
    <row r="9502" spans="6:6">
      <c r="F9502" s="35"/>
    </row>
    <row r="9503" spans="6:6">
      <c r="F9503" s="35"/>
    </row>
    <row r="9504" spans="6:6">
      <c r="F9504" s="35"/>
    </row>
    <row r="9505" spans="6:6">
      <c r="F9505" s="35"/>
    </row>
    <row r="9506" spans="6:6">
      <c r="F9506" s="35"/>
    </row>
    <row r="9507" spans="6:6">
      <c r="F9507" s="35"/>
    </row>
    <row r="9508" spans="6:6">
      <c r="F9508" s="35"/>
    </row>
    <row r="9509" spans="6:6">
      <c r="F9509" s="35"/>
    </row>
    <row r="9510" spans="6:6">
      <c r="F9510" s="35"/>
    </row>
    <row r="9511" spans="6:6">
      <c r="F9511" s="35"/>
    </row>
    <row r="9512" spans="6:6">
      <c r="F9512" s="35"/>
    </row>
    <row r="9513" spans="6:6">
      <c r="F9513" s="35"/>
    </row>
    <row r="9514" spans="6:6">
      <c r="F9514" s="35"/>
    </row>
    <row r="9515" spans="6:6">
      <c r="F9515" s="35"/>
    </row>
    <row r="9516" spans="6:6">
      <c r="F9516" s="35"/>
    </row>
    <row r="9517" spans="6:6">
      <c r="F9517" s="35"/>
    </row>
    <row r="9518" spans="6:6">
      <c r="F9518" s="35"/>
    </row>
    <row r="9519" spans="6:6">
      <c r="F9519" s="35"/>
    </row>
    <row r="9520" spans="6:6">
      <c r="F9520" s="35"/>
    </row>
    <row r="9521" spans="6:6">
      <c r="F9521" s="35"/>
    </row>
    <row r="9522" spans="6:6">
      <c r="F9522" s="35"/>
    </row>
    <row r="9523" spans="6:6">
      <c r="F9523" s="35"/>
    </row>
    <row r="9524" spans="6:6">
      <c r="F9524" s="35"/>
    </row>
    <row r="9525" spans="6:6">
      <c r="F9525" s="35"/>
    </row>
    <row r="9526" spans="6:6">
      <c r="F9526" s="35"/>
    </row>
    <row r="9527" spans="6:6">
      <c r="F9527" s="35"/>
    </row>
    <row r="9528" spans="6:6">
      <c r="F9528" s="35"/>
    </row>
    <row r="9529" spans="6:6">
      <c r="F9529" s="35"/>
    </row>
    <row r="9530" spans="6:6">
      <c r="F9530" s="35"/>
    </row>
    <row r="9531" spans="6:6">
      <c r="F9531" s="35"/>
    </row>
    <row r="9532" spans="6:6">
      <c r="F9532" s="35"/>
    </row>
    <row r="9533" spans="6:6">
      <c r="F9533" s="35"/>
    </row>
    <row r="9534" spans="6:6">
      <c r="F9534" s="35"/>
    </row>
    <row r="9535" spans="6:6">
      <c r="F9535" s="35"/>
    </row>
    <row r="9536" spans="6:6">
      <c r="F9536" s="35"/>
    </row>
    <row r="9537" spans="6:6">
      <c r="F9537" s="35"/>
    </row>
    <row r="9538" spans="6:6">
      <c r="F9538" s="35"/>
    </row>
    <row r="9539" spans="6:6">
      <c r="F9539" s="35"/>
    </row>
    <row r="9540" spans="6:6">
      <c r="F9540" s="35"/>
    </row>
    <row r="9541" spans="6:6">
      <c r="F9541" s="35"/>
    </row>
    <row r="9542" spans="6:6">
      <c r="F9542" s="35"/>
    </row>
    <row r="9543" spans="6:6">
      <c r="F9543" s="35"/>
    </row>
    <row r="9544" spans="6:6">
      <c r="F9544" s="35"/>
    </row>
    <row r="9545" spans="6:6">
      <c r="F9545" s="35"/>
    </row>
    <row r="9546" spans="6:6">
      <c r="F9546" s="35"/>
    </row>
    <row r="9547" spans="6:6">
      <c r="F9547" s="35"/>
    </row>
    <row r="9548" spans="6:6">
      <c r="F9548" s="35"/>
    </row>
    <row r="9549" spans="6:6">
      <c r="F9549" s="35"/>
    </row>
    <row r="9550" spans="6:6">
      <c r="F9550" s="35"/>
    </row>
    <row r="9551" spans="6:6">
      <c r="F9551" s="35"/>
    </row>
    <row r="9552" spans="6:6">
      <c r="F9552" s="35"/>
    </row>
    <row r="9553" spans="6:6">
      <c r="F9553" s="35"/>
    </row>
    <row r="9554" spans="6:6">
      <c r="F9554" s="35"/>
    </row>
    <row r="9555" spans="6:6">
      <c r="F9555" s="35"/>
    </row>
    <row r="9556" spans="6:6">
      <c r="F9556" s="35"/>
    </row>
    <row r="9557" spans="6:6">
      <c r="F9557" s="35"/>
    </row>
    <row r="9558" spans="6:6">
      <c r="F9558" s="35"/>
    </row>
    <row r="9559" spans="6:6">
      <c r="F9559" s="35"/>
    </row>
    <row r="9560" spans="6:6">
      <c r="F9560" s="35"/>
    </row>
    <row r="9561" spans="6:6">
      <c r="F9561" s="35"/>
    </row>
    <row r="9562" spans="6:6">
      <c r="F9562" s="35"/>
    </row>
    <row r="9563" spans="6:6">
      <c r="F9563" s="35"/>
    </row>
    <row r="9564" spans="6:6">
      <c r="F9564" s="35"/>
    </row>
    <row r="9565" spans="6:6">
      <c r="F9565" s="35"/>
    </row>
    <row r="9566" spans="6:6">
      <c r="F9566" s="35"/>
    </row>
    <row r="9567" spans="6:6">
      <c r="F9567" s="35"/>
    </row>
    <row r="9568" spans="6:6">
      <c r="F9568" s="35"/>
    </row>
    <row r="9569" spans="6:6">
      <c r="F9569" s="35"/>
    </row>
    <row r="9570" spans="6:6">
      <c r="F9570" s="35"/>
    </row>
    <row r="9571" spans="6:6">
      <c r="F9571" s="35"/>
    </row>
    <row r="9572" spans="6:6">
      <c r="F9572" s="35"/>
    </row>
    <row r="9573" spans="6:6">
      <c r="F9573" s="35"/>
    </row>
    <row r="9574" spans="6:6">
      <c r="F9574" s="35"/>
    </row>
    <row r="9575" spans="6:6">
      <c r="F9575" s="35"/>
    </row>
    <row r="9576" spans="6:6">
      <c r="F9576" s="35"/>
    </row>
    <row r="9577" spans="6:6">
      <c r="F9577" s="35"/>
    </row>
    <row r="9578" spans="6:6">
      <c r="F9578" s="35"/>
    </row>
    <row r="9579" spans="6:6">
      <c r="F9579" s="35"/>
    </row>
    <row r="9580" spans="6:6">
      <c r="F9580" s="35"/>
    </row>
    <row r="9581" spans="6:6">
      <c r="F9581" s="35"/>
    </row>
    <row r="9582" spans="6:6">
      <c r="F9582" s="35"/>
    </row>
    <row r="9583" spans="6:6">
      <c r="F9583" s="35"/>
    </row>
    <row r="9584" spans="6:6">
      <c r="F9584" s="35"/>
    </row>
    <row r="9585" spans="6:6">
      <c r="F9585" s="35"/>
    </row>
    <row r="9586" spans="6:6">
      <c r="F9586" s="35"/>
    </row>
    <row r="9587" spans="6:6">
      <c r="F9587" s="35"/>
    </row>
    <row r="9588" spans="6:6">
      <c r="F9588" s="35"/>
    </row>
    <row r="9589" spans="6:6">
      <c r="F9589" s="35"/>
    </row>
    <row r="9590" spans="6:6">
      <c r="F9590" s="35"/>
    </row>
    <row r="9591" spans="6:6">
      <c r="F9591" s="35"/>
    </row>
    <row r="9592" spans="6:6">
      <c r="F9592" s="35"/>
    </row>
    <row r="9593" spans="6:6">
      <c r="F9593" s="35"/>
    </row>
    <row r="9594" spans="6:6">
      <c r="F9594" s="35"/>
    </row>
    <row r="9595" spans="6:6">
      <c r="F9595" s="35"/>
    </row>
    <row r="9596" spans="6:6">
      <c r="F9596" s="35"/>
    </row>
    <row r="9597" spans="6:6">
      <c r="F9597" s="35"/>
    </row>
    <row r="9598" spans="6:6">
      <c r="F9598" s="35"/>
    </row>
    <row r="9599" spans="6:6">
      <c r="F9599" s="35"/>
    </row>
    <row r="9600" spans="6:6">
      <c r="F9600" s="35"/>
    </row>
    <row r="9601" spans="6:6">
      <c r="F9601" s="35"/>
    </row>
    <row r="9602" spans="6:6">
      <c r="F9602" s="35"/>
    </row>
    <row r="9603" spans="6:6">
      <c r="F9603" s="35"/>
    </row>
    <row r="9604" spans="6:6">
      <c r="F9604" s="35"/>
    </row>
    <row r="9605" spans="6:6">
      <c r="F9605" s="35"/>
    </row>
    <row r="9606" spans="6:6">
      <c r="F9606" s="35"/>
    </row>
    <row r="9607" spans="6:6">
      <c r="F9607" s="35"/>
    </row>
    <row r="9608" spans="6:6">
      <c r="F9608" s="35"/>
    </row>
    <row r="9609" spans="6:6">
      <c r="F9609" s="35"/>
    </row>
    <row r="9610" spans="6:6">
      <c r="F9610" s="35"/>
    </row>
    <row r="9611" spans="6:6">
      <c r="F9611" s="35"/>
    </row>
    <row r="9612" spans="6:6">
      <c r="F9612" s="35"/>
    </row>
    <row r="9613" spans="6:6">
      <c r="F9613" s="35"/>
    </row>
    <row r="9614" spans="6:6">
      <c r="F9614" s="35"/>
    </row>
    <row r="9615" spans="6:6">
      <c r="F9615" s="35"/>
    </row>
    <row r="9616" spans="6:6">
      <c r="F9616" s="35"/>
    </row>
    <row r="9617" spans="6:6">
      <c r="F9617" s="35"/>
    </row>
    <row r="9618" spans="6:6">
      <c r="F9618" s="35"/>
    </row>
    <row r="9619" spans="6:6">
      <c r="F9619" s="35"/>
    </row>
    <row r="9620" spans="6:6">
      <c r="F9620" s="35"/>
    </row>
    <row r="9621" spans="6:6">
      <c r="F9621" s="35"/>
    </row>
    <row r="9622" spans="6:6">
      <c r="F9622" s="35"/>
    </row>
    <row r="9623" spans="6:6">
      <c r="F9623" s="35"/>
    </row>
    <row r="9624" spans="6:6">
      <c r="F9624" s="35"/>
    </row>
    <row r="9625" spans="6:6">
      <c r="F9625" s="35"/>
    </row>
    <row r="9626" spans="6:6">
      <c r="F9626" s="35"/>
    </row>
    <row r="9627" spans="6:6">
      <c r="F9627" s="35"/>
    </row>
    <row r="9628" spans="6:6">
      <c r="F9628" s="35"/>
    </row>
    <row r="9629" spans="6:6">
      <c r="F9629" s="35"/>
    </row>
    <row r="9630" spans="6:6">
      <c r="F9630" s="35"/>
    </row>
    <row r="9631" spans="6:6">
      <c r="F9631" s="35"/>
    </row>
    <row r="9632" spans="6:6">
      <c r="F9632" s="35"/>
    </row>
    <row r="9633" spans="6:6">
      <c r="F9633" s="35"/>
    </row>
    <row r="9634" spans="6:6">
      <c r="F9634" s="35"/>
    </row>
    <row r="9635" spans="6:6">
      <c r="F9635" s="35"/>
    </row>
    <row r="9636" spans="6:6">
      <c r="F9636" s="35"/>
    </row>
    <row r="9637" spans="6:6">
      <c r="F9637" s="35"/>
    </row>
    <row r="9638" spans="6:6">
      <c r="F9638" s="35"/>
    </row>
    <row r="9639" spans="6:6">
      <c r="F9639" s="35"/>
    </row>
    <row r="9640" spans="6:6">
      <c r="F9640" s="35"/>
    </row>
    <row r="9641" spans="6:6">
      <c r="F9641" s="35"/>
    </row>
    <row r="9642" spans="6:6">
      <c r="F9642" s="35"/>
    </row>
    <row r="9643" spans="6:6">
      <c r="F9643" s="35"/>
    </row>
    <row r="9644" spans="6:6">
      <c r="F9644" s="35"/>
    </row>
    <row r="9645" spans="6:6">
      <c r="F9645" s="35"/>
    </row>
    <row r="9646" spans="6:6">
      <c r="F9646" s="35"/>
    </row>
    <row r="9647" spans="6:6">
      <c r="F9647" s="35"/>
    </row>
    <row r="9648" spans="6:6">
      <c r="F9648" s="35"/>
    </row>
    <row r="9649" spans="6:6">
      <c r="F9649" s="35"/>
    </row>
    <row r="9650" spans="6:6">
      <c r="F9650" s="35"/>
    </row>
    <row r="9651" spans="6:6">
      <c r="F9651" s="35"/>
    </row>
    <row r="9652" spans="6:6">
      <c r="F9652" s="35"/>
    </row>
    <row r="9653" spans="6:6">
      <c r="F9653" s="35"/>
    </row>
    <row r="9654" spans="6:6">
      <c r="F9654" s="35"/>
    </row>
    <row r="9655" spans="6:6">
      <c r="F9655" s="35"/>
    </row>
    <row r="9656" spans="6:6">
      <c r="F9656" s="35"/>
    </row>
    <row r="9657" spans="6:6">
      <c r="F9657" s="35"/>
    </row>
    <row r="9658" spans="6:6">
      <c r="F9658" s="35"/>
    </row>
    <row r="9659" spans="6:6">
      <c r="F9659" s="35"/>
    </row>
    <row r="9660" spans="6:6">
      <c r="F9660" s="35"/>
    </row>
    <row r="9661" spans="6:6">
      <c r="F9661" s="35"/>
    </row>
    <row r="9662" spans="6:6">
      <c r="F9662" s="35"/>
    </row>
    <row r="9663" spans="6:6">
      <c r="F9663" s="35"/>
    </row>
    <row r="9664" spans="6:6">
      <c r="F9664" s="35"/>
    </row>
    <row r="9665" spans="6:6">
      <c r="F9665" s="35"/>
    </row>
    <row r="9666" spans="6:6">
      <c r="F9666" s="35"/>
    </row>
    <row r="9667" spans="6:6">
      <c r="F9667" s="35"/>
    </row>
    <row r="9668" spans="6:6">
      <c r="F9668" s="35"/>
    </row>
    <row r="9669" spans="6:6">
      <c r="F9669" s="35"/>
    </row>
    <row r="9670" spans="6:6">
      <c r="F9670" s="35"/>
    </row>
    <row r="9671" spans="6:6">
      <c r="F9671" s="35"/>
    </row>
    <row r="9672" spans="6:6">
      <c r="F9672" s="35"/>
    </row>
    <row r="9673" spans="6:6">
      <c r="F9673" s="35"/>
    </row>
    <row r="9674" spans="6:6">
      <c r="F9674" s="35"/>
    </row>
    <row r="9675" spans="6:6">
      <c r="F9675" s="35"/>
    </row>
    <row r="9676" spans="6:6">
      <c r="F9676" s="35"/>
    </row>
    <row r="9677" spans="6:6">
      <c r="F9677" s="35"/>
    </row>
    <row r="9678" spans="6:6">
      <c r="F9678" s="35"/>
    </row>
    <row r="9679" spans="6:6">
      <c r="F9679" s="35"/>
    </row>
    <row r="9680" spans="6:6">
      <c r="F9680" s="35"/>
    </row>
    <row r="9681" spans="6:6">
      <c r="F9681" s="35"/>
    </row>
    <row r="9682" spans="6:6">
      <c r="F9682" s="35"/>
    </row>
    <row r="9683" spans="6:6">
      <c r="F9683" s="35"/>
    </row>
    <row r="9684" spans="6:6">
      <c r="F9684" s="35"/>
    </row>
    <row r="9685" spans="6:6">
      <c r="F9685" s="35"/>
    </row>
    <row r="9686" spans="6:6">
      <c r="F9686" s="35"/>
    </row>
    <row r="9687" spans="6:6">
      <c r="F9687" s="35"/>
    </row>
    <row r="9688" spans="6:6">
      <c r="F9688" s="35"/>
    </row>
    <row r="9689" spans="6:6">
      <c r="F9689" s="35"/>
    </row>
    <row r="9690" spans="6:6">
      <c r="F9690" s="35"/>
    </row>
    <row r="9691" spans="6:6">
      <c r="F9691" s="35"/>
    </row>
    <row r="9692" spans="6:6">
      <c r="F9692" s="35"/>
    </row>
    <row r="9693" spans="6:6">
      <c r="F9693" s="35"/>
    </row>
    <row r="9694" spans="6:6">
      <c r="F9694" s="35"/>
    </row>
    <row r="9695" spans="6:6">
      <c r="F9695" s="35"/>
    </row>
    <row r="9696" spans="6:6">
      <c r="F9696" s="35"/>
    </row>
    <row r="9697" spans="6:6">
      <c r="F9697" s="35"/>
    </row>
    <row r="9698" spans="6:6">
      <c r="F9698" s="35"/>
    </row>
    <row r="9699" spans="6:6">
      <c r="F9699" s="35"/>
    </row>
    <row r="9700" spans="6:6">
      <c r="F9700" s="35"/>
    </row>
    <row r="9701" spans="6:6">
      <c r="F9701" s="35"/>
    </row>
    <row r="9702" spans="6:6">
      <c r="F9702" s="35"/>
    </row>
    <row r="9703" spans="6:6">
      <c r="F9703" s="35"/>
    </row>
    <row r="9704" spans="6:6">
      <c r="F9704" s="35"/>
    </row>
    <row r="9705" spans="6:6">
      <c r="F9705" s="35"/>
    </row>
    <row r="9706" spans="6:6">
      <c r="F9706" s="35"/>
    </row>
    <row r="9707" spans="6:6">
      <c r="F9707" s="35"/>
    </row>
    <row r="9708" spans="6:6">
      <c r="F9708" s="35"/>
    </row>
    <row r="9709" spans="6:6">
      <c r="F9709" s="35"/>
    </row>
    <row r="9710" spans="6:6">
      <c r="F9710" s="35"/>
    </row>
    <row r="9711" spans="6:6">
      <c r="F9711" s="35"/>
    </row>
    <row r="9712" spans="6:6">
      <c r="F9712" s="35"/>
    </row>
    <row r="9713" spans="6:6">
      <c r="F9713" s="35"/>
    </row>
    <row r="9714" spans="6:6">
      <c r="F9714" s="35"/>
    </row>
    <row r="9715" spans="6:6">
      <c r="F9715" s="35"/>
    </row>
    <row r="9716" spans="6:6">
      <c r="F9716" s="35"/>
    </row>
    <row r="9717" spans="6:6">
      <c r="F9717" s="35"/>
    </row>
    <row r="9718" spans="6:6">
      <c r="F9718" s="35"/>
    </row>
    <row r="9719" spans="6:6">
      <c r="F9719" s="35"/>
    </row>
    <row r="9720" spans="6:6">
      <c r="F9720" s="35"/>
    </row>
    <row r="9721" spans="6:6">
      <c r="F9721" s="35"/>
    </row>
    <row r="9722" spans="6:6">
      <c r="F9722" s="35"/>
    </row>
    <row r="9723" spans="6:6">
      <c r="F9723" s="35"/>
    </row>
    <row r="9724" spans="6:6">
      <c r="F9724" s="35"/>
    </row>
    <row r="9725" spans="6:6">
      <c r="F9725" s="35"/>
    </row>
    <row r="9726" spans="6:6">
      <c r="F9726" s="35"/>
    </row>
    <row r="9727" spans="6:6">
      <c r="F9727" s="35"/>
    </row>
    <row r="9728" spans="6:6">
      <c r="F9728" s="35"/>
    </row>
    <row r="9729" spans="6:6">
      <c r="F9729" s="35"/>
    </row>
    <row r="9730" spans="6:6">
      <c r="F9730" s="35"/>
    </row>
    <row r="9731" spans="6:6">
      <c r="F9731" s="35"/>
    </row>
    <row r="9732" spans="6:6">
      <c r="F9732" s="35"/>
    </row>
    <row r="9733" spans="6:6">
      <c r="F9733" s="35"/>
    </row>
    <row r="9734" spans="6:6">
      <c r="F9734" s="35"/>
    </row>
    <row r="9735" spans="6:6">
      <c r="F9735" s="35"/>
    </row>
    <row r="9736" spans="6:6">
      <c r="F9736" s="35"/>
    </row>
    <row r="9737" spans="6:6">
      <c r="F9737" s="35"/>
    </row>
    <row r="9738" spans="6:6">
      <c r="F9738" s="35"/>
    </row>
    <row r="9739" spans="6:6">
      <c r="F9739" s="35"/>
    </row>
    <row r="9740" spans="6:6">
      <c r="F9740" s="35"/>
    </row>
    <row r="9741" spans="6:6">
      <c r="F9741" s="35"/>
    </row>
    <row r="9742" spans="6:6">
      <c r="F9742" s="35"/>
    </row>
    <row r="9743" spans="6:6">
      <c r="F9743" s="35"/>
    </row>
    <row r="9744" spans="6:6">
      <c r="F9744" s="35"/>
    </row>
    <row r="9745" spans="6:6">
      <c r="F9745" s="35"/>
    </row>
    <row r="9746" spans="6:6">
      <c r="F9746" s="35"/>
    </row>
    <row r="9747" spans="6:6">
      <c r="F9747" s="35"/>
    </row>
    <row r="9748" spans="6:6">
      <c r="F9748" s="35"/>
    </row>
    <row r="9749" spans="6:6">
      <c r="F9749" s="35"/>
    </row>
    <row r="9750" spans="6:6">
      <c r="F9750" s="35"/>
    </row>
    <row r="9751" spans="6:6">
      <c r="F9751" s="35"/>
    </row>
    <row r="9752" spans="6:6">
      <c r="F9752" s="35"/>
    </row>
    <row r="9753" spans="6:6">
      <c r="F9753" s="35"/>
    </row>
    <row r="9754" spans="6:6">
      <c r="F9754" s="35"/>
    </row>
    <row r="9755" spans="6:6">
      <c r="F9755" s="35"/>
    </row>
    <row r="9756" spans="6:6">
      <c r="F9756" s="35"/>
    </row>
    <row r="9757" spans="6:6">
      <c r="F9757" s="35"/>
    </row>
    <row r="9758" spans="6:6">
      <c r="F9758" s="35"/>
    </row>
    <row r="9759" spans="6:6">
      <c r="F9759" s="35"/>
    </row>
    <row r="9760" spans="6:6">
      <c r="F9760" s="35"/>
    </row>
    <row r="9761" spans="6:6">
      <c r="F9761" s="35"/>
    </row>
    <row r="9762" spans="6:6">
      <c r="F9762" s="35"/>
    </row>
    <row r="9763" spans="6:6">
      <c r="F9763" s="35"/>
    </row>
    <row r="9764" spans="6:6">
      <c r="F9764" s="35"/>
    </row>
    <row r="9765" spans="6:6">
      <c r="F9765" s="35"/>
    </row>
    <row r="9766" spans="6:6">
      <c r="F9766" s="35"/>
    </row>
    <row r="9767" spans="6:6">
      <c r="F9767" s="35"/>
    </row>
    <row r="9768" spans="6:6">
      <c r="F9768" s="35"/>
    </row>
    <row r="9769" spans="6:6">
      <c r="F9769" s="35"/>
    </row>
    <row r="9770" spans="6:6">
      <c r="F9770" s="35"/>
    </row>
    <row r="9771" spans="6:6">
      <c r="F9771" s="35"/>
    </row>
    <row r="9772" spans="6:6">
      <c r="F9772" s="35"/>
    </row>
    <row r="9773" spans="6:6">
      <c r="F9773" s="35"/>
    </row>
    <row r="9774" spans="6:6">
      <c r="F9774" s="35"/>
    </row>
    <row r="9775" spans="6:6">
      <c r="F9775" s="35"/>
    </row>
    <row r="9776" spans="6:6">
      <c r="F9776" s="35"/>
    </row>
    <row r="9777" spans="6:6">
      <c r="F9777" s="35"/>
    </row>
    <row r="9778" spans="6:6">
      <c r="F9778" s="35"/>
    </row>
    <row r="9779" spans="6:6">
      <c r="F9779" s="35"/>
    </row>
    <row r="9780" spans="6:6">
      <c r="F9780" s="35"/>
    </row>
    <row r="9781" spans="6:6">
      <c r="F9781" s="35"/>
    </row>
    <row r="9782" spans="6:6">
      <c r="F9782" s="35"/>
    </row>
    <row r="9783" spans="6:6">
      <c r="F9783" s="35"/>
    </row>
    <row r="9784" spans="6:6">
      <c r="F9784" s="35"/>
    </row>
    <row r="9785" spans="6:6">
      <c r="F9785" s="35"/>
    </row>
    <row r="9786" spans="6:6">
      <c r="F9786" s="35"/>
    </row>
    <row r="9787" spans="6:6">
      <c r="F9787" s="35"/>
    </row>
    <row r="9788" spans="6:6">
      <c r="F9788" s="35"/>
    </row>
    <row r="9789" spans="6:6">
      <c r="F9789" s="35"/>
    </row>
    <row r="9790" spans="6:6">
      <c r="F9790" s="35"/>
    </row>
    <row r="9791" spans="6:6">
      <c r="F9791" s="35"/>
    </row>
    <row r="9792" spans="6:6">
      <c r="F9792" s="35"/>
    </row>
    <row r="9793" spans="6:6">
      <c r="F9793" s="35"/>
    </row>
    <row r="9794" spans="6:6">
      <c r="F9794" s="35"/>
    </row>
    <row r="9795" spans="6:6">
      <c r="F9795" s="35"/>
    </row>
    <row r="9796" spans="6:6">
      <c r="F9796" s="35"/>
    </row>
    <row r="9797" spans="6:6">
      <c r="F9797" s="35"/>
    </row>
    <row r="9798" spans="6:6">
      <c r="F9798" s="35"/>
    </row>
    <row r="9799" spans="6:6">
      <c r="F9799" s="35"/>
    </row>
    <row r="9800" spans="6:6">
      <c r="F9800" s="35"/>
    </row>
    <row r="9801" spans="6:6">
      <c r="F9801" s="35"/>
    </row>
    <row r="9802" spans="6:6">
      <c r="F9802" s="35"/>
    </row>
    <row r="9803" spans="6:6">
      <c r="F9803" s="35"/>
    </row>
    <row r="9804" spans="6:6">
      <c r="F9804" s="35"/>
    </row>
    <row r="9805" spans="6:6">
      <c r="F9805" s="35"/>
    </row>
    <row r="9806" spans="6:6">
      <c r="F9806" s="35"/>
    </row>
    <row r="9807" spans="6:6">
      <c r="F9807" s="35"/>
    </row>
    <row r="9808" spans="6:6">
      <c r="F9808" s="35"/>
    </row>
    <row r="9809" spans="6:6">
      <c r="F9809" s="35"/>
    </row>
    <row r="9810" spans="6:6">
      <c r="F9810" s="35"/>
    </row>
    <row r="9811" spans="6:6">
      <c r="F9811" s="35"/>
    </row>
    <row r="9812" spans="6:6">
      <c r="F9812" s="35"/>
    </row>
    <row r="9813" spans="6:6">
      <c r="F9813" s="35"/>
    </row>
    <row r="9814" spans="6:6">
      <c r="F9814" s="35"/>
    </row>
    <row r="9815" spans="6:6">
      <c r="F9815" s="35"/>
    </row>
    <row r="9816" spans="6:6">
      <c r="F9816" s="35"/>
    </row>
    <row r="9817" spans="6:6">
      <c r="F9817" s="35"/>
    </row>
    <row r="9818" spans="6:6">
      <c r="F9818" s="35"/>
    </row>
    <row r="9819" spans="6:6">
      <c r="F9819" s="35"/>
    </row>
    <row r="9820" spans="6:6">
      <c r="F9820" s="35"/>
    </row>
    <row r="9821" spans="6:6">
      <c r="F9821" s="35"/>
    </row>
    <row r="9822" spans="6:6">
      <c r="F9822" s="35"/>
    </row>
    <row r="9823" spans="6:6">
      <c r="F9823" s="35"/>
    </row>
    <row r="9824" spans="6:6">
      <c r="F9824" s="35"/>
    </row>
    <row r="9825" spans="6:6">
      <c r="F9825" s="35"/>
    </row>
    <row r="9826" spans="6:6">
      <c r="F9826" s="35"/>
    </row>
    <row r="9827" spans="6:6">
      <c r="F9827" s="35"/>
    </row>
    <row r="9828" spans="6:6">
      <c r="F9828" s="35"/>
    </row>
    <row r="9829" spans="6:6">
      <c r="F9829" s="35"/>
    </row>
    <row r="9830" spans="6:6">
      <c r="F9830" s="35"/>
    </row>
    <row r="9831" spans="6:6">
      <c r="F9831" s="35"/>
    </row>
    <row r="9832" spans="6:6">
      <c r="F9832" s="35"/>
    </row>
    <row r="9833" spans="6:6">
      <c r="F9833" s="35"/>
    </row>
    <row r="9834" spans="6:6">
      <c r="F9834" s="35"/>
    </row>
    <row r="9835" spans="6:6">
      <c r="F9835" s="35"/>
    </row>
    <row r="9836" spans="6:6">
      <c r="F9836" s="35"/>
    </row>
    <row r="9837" spans="6:6">
      <c r="F9837" s="35"/>
    </row>
    <row r="9838" spans="6:6">
      <c r="F9838" s="35"/>
    </row>
    <row r="9839" spans="6:6">
      <c r="F9839" s="35"/>
    </row>
    <row r="9840" spans="6:6">
      <c r="F9840" s="35"/>
    </row>
    <row r="9841" spans="6:6">
      <c r="F9841" s="35"/>
    </row>
    <row r="9842" spans="6:6">
      <c r="F9842" s="35"/>
    </row>
    <row r="9843" spans="6:6">
      <c r="F9843" s="35"/>
    </row>
    <row r="9844" spans="6:6">
      <c r="F9844" s="35"/>
    </row>
    <row r="9845" spans="6:6">
      <c r="F9845" s="35"/>
    </row>
    <row r="9846" spans="6:6">
      <c r="F9846" s="35"/>
    </row>
    <row r="9847" spans="6:6">
      <c r="F9847" s="35"/>
    </row>
    <row r="9848" spans="6:6">
      <c r="F9848" s="35"/>
    </row>
    <row r="9849" spans="6:6">
      <c r="F9849" s="35"/>
    </row>
    <row r="9850" spans="6:6">
      <c r="F9850" s="35"/>
    </row>
    <row r="9851" spans="6:6">
      <c r="F9851" s="35"/>
    </row>
    <row r="9852" spans="6:6">
      <c r="F9852" s="35"/>
    </row>
    <row r="9853" spans="6:6">
      <c r="F9853" s="35"/>
    </row>
    <row r="9854" spans="6:6">
      <c r="F9854" s="35"/>
    </row>
    <row r="9855" spans="6:6">
      <c r="F9855" s="35"/>
    </row>
    <row r="9856" spans="6:6">
      <c r="F9856" s="35"/>
    </row>
    <row r="9857" spans="6:6">
      <c r="F9857" s="35"/>
    </row>
    <row r="9858" spans="6:6">
      <c r="F9858" s="35"/>
    </row>
    <row r="9859" spans="6:6">
      <c r="F9859" s="35"/>
    </row>
    <row r="9860" spans="6:6">
      <c r="F9860" s="35"/>
    </row>
    <row r="9861" spans="6:6">
      <c r="F9861" s="35"/>
    </row>
    <row r="9862" spans="6:6">
      <c r="F9862" s="35"/>
    </row>
    <row r="9863" spans="6:6">
      <c r="F9863" s="35"/>
    </row>
    <row r="9864" spans="6:6">
      <c r="F9864" s="35"/>
    </row>
    <row r="9865" spans="6:6">
      <c r="F9865" s="35"/>
    </row>
    <row r="9866" spans="6:6">
      <c r="F9866" s="35"/>
    </row>
    <row r="9867" spans="6:6">
      <c r="F9867" s="35"/>
    </row>
    <row r="9868" spans="6:6">
      <c r="F9868" s="35"/>
    </row>
    <row r="9869" spans="6:6">
      <c r="F9869" s="35"/>
    </row>
    <row r="9870" spans="6:6">
      <c r="F9870" s="35"/>
    </row>
    <row r="9871" spans="6:6">
      <c r="F9871" s="35"/>
    </row>
    <row r="9872" spans="6:6">
      <c r="F9872" s="35"/>
    </row>
    <row r="9873" spans="6:6">
      <c r="F9873" s="35"/>
    </row>
    <row r="9874" spans="6:6">
      <c r="F9874" s="35"/>
    </row>
    <row r="9875" spans="6:6">
      <c r="F9875" s="35"/>
    </row>
    <row r="9876" spans="6:6">
      <c r="F9876" s="35"/>
    </row>
    <row r="9877" spans="6:6">
      <c r="F9877" s="35"/>
    </row>
    <row r="9878" spans="6:6">
      <c r="F9878" s="35"/>
    </row>
    <row r="9879" spans="6:6">
      <c r="F9879" s="35"/>
    </row>
    <row r="9880" spans="6:6">
      <c r="F9880" s="35"/>
    </row>
    <row r="9881" spans="6:6">
      <c r="F9881" s="35"/>
    </row>
    <row r="9882" spans="6:6">
      <c r="F9882" s="35"/>
    </row>
    <row r="9883" spans="6:6">
      <c r="F9883" s="35"/>
    </row>
    <row r="9884" spans="6:6">
      <c r="F9884" s="35"/>
    </row>
    <row r="9885" spans="6:6">
      <c r="F9885" s="35"/>
    </row>
    <row r="9886" spans="6:6">
      <c r="F9886" s="35"/>
    </row>
    <row r="9887" spans="6:6">
      <c r="F9887" s="35"/>
    </row>
    <row r="9888" spans="6:6">
      <c r="F9888" s="35"/>
    </row>
    <row r="9889" spans="6:6">
      <c r="F9889" s="35"/>
    </row>
    <row r="9890" spans="6:6">
      <c r="F9890" s="35"/>
    </row>
    <row r="9891" spans="6:6">
      <c r="F9891" s="35"/>
    </row>
    <row r="9892" spans="6:6">
      <c r="F9892" s="35"/>
    </row>
    <row r="9893" spans="6:6">
      <c r="F9893" s="35"/>
    </row>
    <row r="9894" spans="6:6">
      <c r="F9894" s="35"/>
    </row>
    <row r="9895" spans="6:6">
      <c r="F9895" s="35"/>
    </row>
    <row r="9896" spans="6:6">
      <c r="F9896" s="35"/>
    </row>
    <row r="9897" spans="6:6">
      <c r="F9897" s="35"/>
    </row>
    <row r="9898" spans="6:6">
      <c r="F9898" s="35"/>
    </row>
    <row r="9899" spans="6:6">
      <c r="F9899" s="35"/>
    </row>
    <row r="9900" spans="6:6">
      <c r="F9900" s="35"/>
    </row>
    <row r="9901" spans="6:6">
      <c r="F9901" s="35"/>
    </row>
    <row r="9902" spans="6:6">
      <c r="F9902" s="35"/>
    </row>
    <row r="9903" spans="6:6">
      <c r="F9903" s="35"/>
    </row>
    <row r="9904" spans="6:6">
      <c r="F9904" s="35"/>
    </row>
    <row r="9905" spans="6:6">
      <c r="F9905" s="35"/>
    </row>
    <row r="9906" spans="6:6">
      <c r="F9906" s="35"/>
    </row>
    <row r="9907" spans="6:6">
      <c r="F9907" s="35"/>
    </row>
    <row r="9908" spans="6:6">
      <c r="F9908" s="35"/>
    </row>
    <row r="9909" spans="6:6">
      <c r="F9909" s="35"/>
    </row>
    <row r="9910" spans="6:6">
      <c r="F9910" s="35"/>
    </row>
    <row r="9911" spans="6:6">
      <c r="F9911" s="35"/>
    </row>
    <row r="9912" spans="6:6">
      <c r="F9912" s="35"/>
    </row>
    <row r="9913" spans="6:6">
      <c r="F9913" s="35"/>
    </row>
    <row r="9914" spans="6:6">
      <c r="F9914" s="35"/>
    </row>
    <row r="9915" spans="6:6">
      <c r="F9915" s="35"/>
    </row>
    <row r="9916" spans="6:6">
      <c r="F9916" s="35"/>
    </row>
    <row r="9917" spans="6:6">
      <c r="F9917" s="35"/>
    </row>
    <row r="9918" spans="6:6">
      <c r="F9918" s="35"/>
    </row>
    <row r="9919" spans="6:6">
      <c r="F9919" s="35"/>
    </row>
    <row r="9920" spans="6:6">
      <c r="F9920" s="35"/>
    </row>
    <row r="9921" spans="6:6">
      <c r="F9921" s="35"/>
    </row>
    <row r="9922" spans="6:6">
      <c r="F9922" s="35"/>
    </row>
    <row r="9923" spans="6:6">
      <c r="F9923" s="35"/>
    </row>
    <row r="9924" spans="6:6">
      <c r="F9924" s="35"/>
    </row>
    <row r="9925" spans="6:6">
      <c r="F9925" s="35"/>
    </row>
    <row r="9926" spans="6:6">
      <c r="F9926" s="35"/>
    </row>
    <row r="9927" spans="6:6">
      <c r="F9927" s="35"/>
    </row>
    <row r="9928" spans="6:6">
      <c r="F9928" s="35"/>
    </row>
    <row r="9929" spans="6:6">
      <c r="F9929" s="35"/>
    </row>
    <row r="9930" spans="6:6">
      <c r="F9930" s="35"/>
    </row>
    <row r="9931" spans="6:6">
      <c r="F9931" s="35"/>
    </row>
    <row r="9932" spans="6:6">
      <c r="F9932" s="35"/>
    </row>
    <row r="9933" spans="6:6">
      <c r="F9933" s="35"/>
    </row>
    <row r="9934" spans="6:6">
      <c r="F9934" s="35"/>
    </row>
    <row r="9935" spans="6:6">
      <c r="F9935" s="35"/>
    </row>
    <row r="9936" spans="6:6">
      <c r="F9936" s="35"/>
    </row>
    <row r="9937" spans="6:6">
      <c r="F9937" s="35"/>
    </row>
    <row r="9938" spans="6:6">
      <c r="F9938" s="35"/>
    </row>
    <row r="9939" spans="6:6">
      <c r="F9939" s="35"/>
    </row>
    <row r="9940" spans="6:6">
      <c r="F9940" s="35"/>
    </row>
    <row r="9941" spans="6:6">
      <c r="F9941" s="35"/>
    </row>
    <row r="9942" spans="6:6">
      <c r="F9942" s="35"/>
    </row>
    <row r="9943" spans="6:6">
      <c r="F9943" s="35"/>
    </row>
    <row r="9944" spans="6:6">
      <c r="F9944" s="35"/>
    </row>
    <row r="9945" spans="6:6">
      <c r="F9945" s="35"/>
    </row>
    <row r="9946" spans="6:6">
      <c r="F9946" s="35"/>
    </row>
    <row r="9947" spans="6:6">
      <c r="F9947" s="35"/>
    </row>
    <row r="9948" spans="6:6">
      <c r="F9948" s="35"/>
    </row>
    <row r="9949" spans="6:6">
      <c r="F9949" s="35"/>
    </row>
    <row r="9950" spans="6:6">
      <c r="F9950" s="35"/>
    </row>
    <row r="9951" spans="6:6">
      <c r="F9951" s="35"/>
    </row>
    <row r="9952" spans="6:6">
      <c r="F9952" s="35"/>
    </row>
    <row r="9953" spans="6:6">
      <c r="F9953" s="35"/>
    </row>
    <row r="9954" spans="6:6">
      <c r="F9954" s="35"/>
    </row>
    <row r="9955" spans="6:6">
      <c r="F9955" s="35"/>
    </row>
    <row r="9956" spans="6:6">
      <c r="F9956" s="35"/>
    </row>
    <row r="9957" spans="6:6">
      <c r="F9957" s="35"/>
    </row>
    <row r="9958" spans="6:6">
      <c r="F9958" s="35"/>
    </row>
    <row r="9959" spans="6:6">
      <c r="F9959" s="35"/>
    </row>
    <row r="9960" spans="6:6">
      <c r="F9960" s="35"/>
    </row>
    <row r="9961" spans="6:6">
      <c r="F9961" s="35"/>
    </row>
    <row r="9962" spans="6:6">
      <c r="F9962" s="35"/>
    </row>
    <row r="9963" spans="6:6">
      <c r="F9963" s="35"/>
    </row>
    <row r="9964" spans="6:6">
      <c r="F9964" s="35"/>
    </row>
    <row r="9965" spans="6:6">
      <c r="F9965" s="35"/>
    </row>
    <row r="9966" spans="6:6">
      <c r="F9966" s="35"/>
    </row>
    <row r="9967" spans="6:6">
      <c r="F9967" s="35"/>
    </row>
    <row r="9968" spans="6:6">
      <c r="F9968" s="35"/>
    </row>
    <row r="9969" spans="6:6">
      <c r="F9969" s="35"/>
    </row>
    <row r="9970" spans="6:6">
      <c r="F9970" s="35"/>
    </row>
    <row r="9971" spans="6:6">
      <c r="F9971" s="35"/>
    </row>
    <row r="9972" spans="6:6">
      <c r="F9972" s="35"/>
    </row>
    <row r="9973" spans="6:6">
      <c r="F9973" s="35"/>
    </row>
    <row r="9974" spans="6:6">
      <c r="F9974" s="35"/>
    </row>
    <row r="9975" spans="6:6">
      <c r="F9975" s="35"/>
    </row>
    <row r="9976" spans="6:6">
      <c r="F9976" s="35"/>
    </row>
    <row r="9977" spans="6:6">
      <c r="F9977" s="35"/>
    </row>
    <row r="9978" spans="6:6">
      <c r="F9978" s="35"/>
    </row>
    <row r="9979" spans="6:6">
      <c r="F9979" s="35"/>
    </row>
    <row r="9980" spans="6:6">
      <c r="F9980" s="35"/>
    </row>
    <row r="9981" spans="6:6">
      <c r="F9981" s="35"/>
    </row>
    <row r="9982" spans="6:6">
      <c r="F9982" s="35"/>
    </row>
    <row r="9983" spans="6:6">
      <c r="F9983" s="35"/>
    </row>
    <row r="9984" spans="6:6">
      <c r="F9984" s="35"/>
    </row>
    <row r="9985" spans="6:6">
      <c r="F9985" s="35"/>
    </row>
    <row r="9986" spans="6:6">
      <c r="F9986" s="35"/>
    </row>
    <row r="9987" spans="6:6">
      <c r="F9987" s="35"/>
    </row>
    <row r="9988" spans="6:6">
      <c r="F9988" s="35"/>
    </row>
    <row r="9989" spans="6:6">
      <c r="F9989" s="35"/>
    </row>
    <row r="9990" spans="6:6">
      <c r="F9990" s="35"/>
    </row>
    <row r="9991" spans="6:6">
      <c r="F9991" s="35"/>
    </row>
    <row r="9992" spans="6:6">
      <c r="F9992" s="35"/>
    </row>
    <row r="9993" spans="6:6">
      <c r="F9993" s="35"/>
    </row>
    <row r="9994" spans="6:6">
      <c r="F9994" s="35"/>
    </row>
    <row r="9995" spans="6:6">
      <c r="F9995" s="35"/>
    </row>
    <row r="9996" spans="6:6">
      <c r="F9996" s="35"/>
    </row>
    <row r="9997" spans="6:6">
      <c r="F9997" s="35"/>
    </row>
    <row r="9998" spans="6:6">
      <c r="F9998" s="35"/>
    </row>
    <row r="9999" spans="6:6">
      <c r="F9999" s="35"/>
    </row>
    <row r="10000" spans="6:6">
      <c r="F10000" s="35"/>
    </row>
    <row r="10001" spans="6:6">
      <c r="F10001" s="35"/>
    </row>
    <row r="10002" spans="6:6">
      <c r="F10002" s="35"/>
    </row>
    <row r="10003" spans="6:6">
      <c r="F10003" s="35"/>
    </row>
    <row r="10004" spans="6:6">
      <c r="F10004" s="35"/>
    </row>
    <row r="10005" spans="6:6">
      <c r="F10005" s="35"/>
    </row>
    <row r="10006" spans="6:6">
      <c r="F10006" s="35"/>
    </row>
    <row r="10007" spans="6:6">
      <c r="F10007" s="35"/>
    </row>
    <row r="10008" spans="6:6">
      <c r="F10008" s="35"/>
    </row>
    <row r="10009" spans="6:6">
      <c r="F10009" s="35"/>
    </row>
    <row r="10010" spans="6:6">
      <c r="F10010" s="35"/>
    </row>
    <row r="10011" spans="6:6">
      <c r="F10011" s="35"/>
    </row>
    <row r="10012" spans="6:6">
      <c r="F10012" s="35"/>
    </row>
    <row r="10013" spans="6:6">
      <c r="F10013" s="35"/>
    </row>
    <row r="10014" spans="6:6">
      <c r="F10014" s="35"/>
    </row>
    <row r="10015" spans="6:6">
      <c r="F10015" s="35"/>
    </row>
    <row r="10016" spans="6:6">
      <c r="F10016" s="35"/>
    </row>
    <row r="10017" spans="6:6">
      <c r="F10017" s="35"/>
    </row>
    <row r="10018" spans="6:6">
      <c r="F10018" s="35"/>
    </row>
    <row r="10019" spans="6:6">
      <c r="F10019" s="35"/>
    </row>
    <row r="10020" spans="6:6">
      <c r="F10020" s="35"/>
    </row>
    <row r="10021" spans="6:6">
      <c r="F10021" s="35"/>
    </row>
    <row r="10022" spans="6:6">
      <c r="F10022" s="35"/>
    </row>
    <row r="10023" spans="6:6">
      <c r="F10023" s="35"/>
    </row>
    <row r="10024" spans="6:6">
      <c r="F10024" s="35"/>
    </row>
    <row r="10025" spans="6:6">
      <c r="F10025" s="35"/>
    </row>
    <row r="10026" spans="6:6">
      <c r="F10026" s="35"/>
    </row>
    <row r="10027" spans="6:6">
      <c r="F10027" s="35"/>
    </row>
    <row r="10028" spans="6:6">
      <c r="F10028" s="35"/>
    </row>
    <row r="10029" spans="6:6">
      <c r="F10029" s="35"/>
    </row>
    <row r="10030" spans="6:6">
      <c r="F10030" s="35"/>
    </row>
    <row r="10031" spans="6:6">
      <c r="F10031" s="35"/>
    </row>
    <row r="10032" spans="6:6">
      <c r="F10032" s="35"/>
    </row>
    <row r="10033" spans="6:6">
      <c r="F10033" s="35"/>
    </row>
    <row r="10034" spans="6:6">
      <c r="F10034" s="35"/>
    </row>
    <row r="10035" spans="6:6">
      <c r="F10035" s="35"/>
    </row>
    <row r="10036" spans="6:6">
      <c r="F10036" s="35"/>
    </row>
    <row r="10037" spans="6:6">
      <c r="F10037" s="35"/>
    </row>
    <row r="10038" spans="6:6">
      <c r="F10038" s="35"/>
    </row>
    <row r="10039" spans="6:6">
      <c r="F10039" s="35"/>
    </row>
    <row r="10040" spans="6:6">
      <c r="F10040" s="35"/>
    </row>
    <row r="10041" spans="6:6">
      <c r="F10041" s="35"/>
    </row>
    <row r="10042" spans="6:6">
      <c r="F10042" s="35"/>
    </row>
    <row r="10043" spans="6:6">
      <c r="F10043" s="35"/>
    </row>
    <row r="10044" spans="6:6">
      <c r="F10044" s="35"/>
    </row>
    <row r="10045" spans="6:6">
      <c r="F10045" s="35"/>
    </row>
    <row r="10046" spans="6:6">
      <c r="F10046" s="35"/>
    </row>
    <row r="10047" spans="6:6">
      <c r="F10047" s="35"/>
    </row>
    <row r="10048" spans="6:6">
      <c r="F10048" s="35"/>
    </row>
    <row r="10049" spans="6:6">
      <c r="F10049" s="35"/>
    </row>
    <row r="10050" spans="6:6">
      <c r="F10050" s="35"/>
    </row>
    <row r="10051" spans="6:6">
      <c r="F10051" s="35"/>
    </row>
    <row r="10052" spans="6:6">
      <c r="F10052" s="35"/>
    </row>
    <row r="10053" spans="6:6">
      <c r="F10053" s="35"/>
    </row>
    <row r="10054" spans="6:6">
      <c r="F10054" s="35"/>
    </row>
    <row r="10055" spans="6:6">
      <c r="F10055" s="35"/>
    </row>
    <row r="10056" spans="6:6">
      <c r="F10056" s="35"/>
    </row>
    <row r="10057" spans="6:6">
      <c r="F10057" s="35"/>
    </row>
    <row r="10058" spans="6:6">
      <c r="F10058" s="35"/>
    </row>
    <row r="10059" spans="6:6">
      <c r="F10059" s="35"/>
    </row>
    <row r="10060" spans="6:6">
      <c r="F10060" s="35"/>
    </row>
    <row r="10061" spans="6:6">
      <c r="F10061" s="35"/>
    </row>
    <row r="10062" spans="6:6">
      <c r="F10062" s="35"/>
    </row>
    <row r="10063" spans="6:6">
      <c r="F10063" s="35"/>
    </row>
    <row r="10064" spans="6:6">
      <c r="F10064" s="35"/>
    </row>
    <row r="10065" spans="6:6">
      <c r="F10065" s="35"/>
    </row>
    <row r="10066" spans="6:6">
      <c r="F10066" s="35"/>
    </row>
    <row r="10067" spans="6:6">
      <c r="F10067" s="35"/>
    </row>
    <row r="10068" spans="6:6">
      <c r="F10068" s="35"/>
    </row>
    <row r="10069" spans="6:6">
      <c r="F10069" s="35"/>
    </row>
    <row r="10070" spans="6:6">
      <c r="F10070" s="35"/>
    </row>
    <row r="10071" spans="6:6">
      <c r="F10071" s="35"/>
    </row>
    <row r="10072" spans="6:6">
      <c r="F10072" s="35"/>
    </row>
    <row r="10073" spans="6:6">
      <c r="F10073" s="35"/>
    </row>
    <row r="10074" spans="6:6">
      <c r="F10074" s="35"/>
    </row>
    <row r="10075" spans="6:6">
      <c r="F10075" s="35"/>
    </row>
    <row r="10076" spans="6:6">
      <c r="F10076" s="35"/>
    </row>
    <row r="10077" spans="6:6">
      <c r="F10077" s="35"/>
    </row>
    <row r="10078" spans="6:6">
      <c r="F10078" s="35"/>
    </row>
    <row r="10079" spans="6:6">
      <c r="F10079" s="35"/>
    </row>
    <row r="10080" spans="6:6">
      <c r="F10080" s="35"/>
    </row>
    <row r="10081" spans="6:6">
      <c r="F10081" s="35"/>
    </row>
    <row r="10082" spans="6:6">
      <c r="F10082" s="35"/>
    </row>
    <row r="10083" spans="6:6">
      <c r="F10083" s="35"/>
    </row>
    <row r="10084" spans="6:6">
      <c r="F10084" s="35"/>
    </row>
    <row r="10085" spans="6:6">
      <c r="F10085" s="35"/>
    </row>
    <row r="10086" spans="6:6">
      <c r="F10086" s="35"/>
    </row>
    <row r="10087" spans="6:6">
      <c r="F10087" s="35"/>
    </row>
    <row r="10088" spans="6:6">
      <c r="F10088" s="35"/>
    </row>
    <row r="10089" spans="6:6">
      <c r="F10089" s="35"/>
    </row>
    <row r="10090" spans="6:6">
      <c r="F10090" s="35"/>
    </row>
    <row r="10091" spans="6:6">
      <c r="F10091" s="35"/>
    </row>
    <row r="10092" spans="6:6">
      <c r="F10092" s="35"/>
    </row>
    <row r="10093" spans="6:6">
      <c r="F10093" s="35"/>
    </row>
    <row r="10094" spans="6:6">
      <c r="F10094" s="35"/>
    </row>
    <row r="10095" spans="6:6">
      <c r="F10095" s="35"/>
    </row>
    <row r="10096" spans="6:6">
      <c r="F10096" s="35"/>
    </row>
    <row r="10097" spans="6:6">
      <c r="F10097" s="35"/>
    </row>
    <row r="10098" spans="6:6">
      <c r="F10098" s="35"/>
    </row>
    <row r="10099" spans="6:6">
      <c r="F10099" s="35"/>
    </row>
    <row r="10100" spans="6:6">
      <c r="F10100" s="35"/>
    </row>
    <row r="10101" spans="6:6">
      <c r="F10101" s="35"/>
    </row>
    <row r="10102" spans="6:6">
      <c r="F10102" s="35"/>
    </row>
    <row r="10103" spans="6:6">
      <c r="F10103" s="35"/>
    </row>
    <row r="10104" spans="6:6">
      <c r="F10104" s="35"/>
    </row>
    <row r="10105" spans="6:6">
      <c r="F10105" s="35"/>
    </row>
    <row r="10106" spans="6:6">
      <c r="F10106" s="35"/>
    </row>
    <row r="10107" spans="6:6">
      <c r="F10107" s="35"/>
    </row>
    <row r="10108" spans="6:6">
      <c r="F10108" s="35"/>
    </row>
    <row r="10109" spans="6:6">
      <c r="F10109" s="35"/>
    </row>
    <row r="10110" spans="6:6">
      <c r="F10110" s="35"/>
    </row>
    <row r="10111" spans="6:6">
      <c r="F10111" s="35"/>
    </row>
    <row r="10112" spans="6:6">
      <c r="F10112" s="35"/>
    </row>
    <row r="10113" spans="6:6">
      <c r="F10113" s="35"/>
    </row>
    <row r="10114" spans="6:6">
      <c r="F10114" s="35"/>
    </row>
    <row r="10115" spans="6:6">
      <c r="F10115" s="35"/>
    </row>
    <row r="10116" spans="6:6">
      <c r="F10116" s="35"/>
    </row>
    <row r="10117" spans="6:6">
      <c r="F10117" s="35"/>
    </row>
    <row r="10118" spans="6:6">
      <c r="F10118" s="35"/>
    </row>
    <row r="10119" spans="6:6">
      <c r="F10119" s="35"/>
    </row>
    <row r="10120" spans="6:6">
      <c r="F10120" s="35"/>
    </row>
    <row r="10121" spans="6:6">
      <c r="F10121" s="35"/>
    </row>
    <row r="10122" spans="6:6">
      <c r="F10122" s="35"/>
    </row>
    <row r="10123" spans="6:6">
      <c r="F10123" s="35"/>
    </row>
    <row r="10124" spans="6:6">
      <c r="F10124" s="35"/>
    </row>
    <row r="10125" spans="6:6">
      <c r="F10125" s="35"/>
    </row>
    <row r="10126" spans="6:6">
      <c r="F10126" s="35"/>
    </row>
    <row r="10127" spans="6:6">
      <c r="F10127" s="35"/>
    </row>
    <row r="10128" spans="6:6">
      <c r="F10128" s="35"/>
    </row>
    <row r="10129" spans="6:6">
      <c r="F10129" s="35"/>
    </row>
    <row r="10130" spans="6:6">
      <c r="F10130" s="35"/>
    </row>
    <row r="10131" spans="6:6">
      <c r="F10131" s="35"/>
    </row>
    <row r="10132" spans="6:6">
      <c r="F10132" s="35"/>
    </row>
    <row r="10133" spans="6:6">
      <c r="F10133" s="35"/>
    </row>
    <row r="10134" spans="6:6">
      <c r="F10134" s="35"/>
    </row>
    <row r="10135" spans="6:6">
      <c r="F10135" s="35"/>
    </row>
    <row r="10136" spans="6:6">
      <c r="F10136" s="35"/>
    </row>
    <row r="10137" spans="6:6">
      <c r="F10137" s="35"/>
    </row>
    <row r="10138" spans="6:6">
      <c r="F10138" s="35"/>
    </row>
    <row r="10139" spans="6:6">
      <c r="F10139" s="35"/>
    </row>
    <row r="10140" spans="6:6">
      <c r="F10140" s="35"/>
    </row>
    <row r="10141" spans="6:6">
      <c r="F10141" s="35"/>
    </row>
    <row r="10142" spans="6:6">
      <c r="F10142" s="35"/>
    </row>
    <row r="10143" spans="6:6">
      <c r="F10143" s="35"/>
    </row>
    <row r="10144" spans="6:6">
      <c r="F10144" s="35"/>
    </row>
    <row r="10145" spans="6:6">
      <c r="F10145" s="35"/>
    </row>
    <row r="10146" spans="6:6">
      <c r="F10146" s="35"/>
    </row>
    <row r="10147" spans="6:6">
      <c r="F10147" s="35"/>
    </row>
    <row r="10148" spans="6:6">
      <c r="F10148" s="35"/>
    </row>
    <row r="10149" spans="6:6">
      <c r="F10149" s="35"/>
    </row>
    <row r="10150" spans="6:6">
      <c r="F10150" s="35"/>
    </row>
    <row r="10151" spans="6:6">
      <c r="F10151" s="35"/>
    </row>
    <row r="10152" spans="6:6">
      <c r="F10152" s="35"/>
    </row>
    <row r="10153" spans="6:6">
      <c r="F10153" s="35"/>
    </row>
    <row r="10154" spans="6:6">
      <c r="F10154" s="35"/>
    </row>
    <row r="10155" spans="6:6">
      <c r="F10155" s="35"/>
    </row>
    <row r="10156" spans="6:6">
      <c r="F10156" s="35"/>
    </row>
    <row r="10157" spans="6:6">
      <c r="F10157" s="35"/>
    </row>
    <row r="10158" spans="6:6">
      <c r="F10158" s="35"/>
    </row>
    <row r="10159" spans="6:6">
      <c r="F10159" s="35"/>
    </row>
    <row r="10160" spans="6:6">
      <c r="F10160" s="35"/>
    </row>
    <row r="10161" spans="6:6">
      <c r="F10161" s="35"/>
    </row>
    <row r="10162" spans="6:6">
      <c r="F10162" s="35"/>
    </row>
    <row r="10163" spans="6:6">
      <c r="F10163" s="35"/>
    </row>
    <row r="10164" spans="6:6">
      <c r="F10164" s="35"/>
    </row>
    <row r="10165" spans="6:6">
      <c r="F10165" s="35"/>
    </row>
    <row r="10166" spans="6:6">
      <c r="F10166" s="35"/>
    </row>
    <row r="10167" spans="6:6">
      <c r="F10167" s="35"/>
    </row>
    <row r="10168" spans="6:6">
      <c r="F10168" s="35"/>
    </row>
    <row r="10169" spans="6:6">
      <c r="F10169" s="35"/>
    </row>
    <row r="10170" spans="6:6">
      <c r="F10170" s="35"/>
    </row>
    <row r="10171" spans="6:6">
      <c r="F10171" s="35"/>
    </row>
    <row r="10172" spans="6:6">
      <c r="F10172" s="35"/>
    </row>
    <row r="10173" spans="6:6">
      <c r="F10173" s="35"/>
    </row>
    <row r="10174" spans="6:6">
      <c r="F10174" s="35"/>
    </row>
    <row r="10175" spans="6:6">
      <c r="F10175" s="35"/>
    </row>
    <row r="10176" spans="6:6">
      <c r="F10176" s="35"/>
    </row>
    <row r="10177" spans="6:6">
      <c r="F10177" s="35"/>
    </row>
    <row r="10178" spans="6:6">
      <c r="F10178" s="35"/>
    </row>
    <row r="10179" spans="6:6">
      <c r="F10179" s="35"/>
    </row>
    <row r="10180" spans="6:6">
      <c r="F10180" s="35"/>
    </row>
    <row r="10181" spans="6:6">
      <c r="F10181" s="35"/>
    </row>
    <row r="10182" spans="6:6">
      <c r="F10182" s="35"/>
    </row>
    <row r="10183" spans="6:6">
      <c r="F10183" s="35"/>
    </row>
    <row r="10184" spans="6:6">
      <c r="F10184" s="35"/>
    </row>
    <row r="10185" spans="6:6">
      <c r="F10185" s="35"/>
    </row>
    <row r="10186" spans="6:6">
      <c r="F10186" s="35"/>
    </row>
    <row r="10187" spans="6:6">
      <c r="F10187" s="35"/>
    </row>
    <row r="10188" spans="6:6">
      <c r="F10188" s="35"/>
    </row>
    <row r="10189" spans="6:6">
      <c r="F10189" s="35"/>
    </row>
    <row r="10190" spans="6:6">
      <c r="F10190" s="35"/>
    </row>
    <row r="10191" spans="6:6">
      <c r="F10191" s="35"/>
    </row>
    <row r="10192" spans="6:6">
      <c r="F10192" s="35"/>
    </row>
    <row r="10193" spans="6:6">
      <c r="F10193" s="35"/>
    </row>
    <row r="10194" spans="6:6">
      <c r="F10194" s="35"/>
    </row>
    <row r="10195" spans="6:6">
      <c r="F10195" s="35"/>
    </row>
    <row r="10196" spans="6:6">
      <c r="F10196" s="35"/>
    </row>
    <row r="10197" spans="6:6">
      <c r="F10197" s="35"/>
    </row>
    <row r="10198" spans="6:6">
      <c r="F10198" s="35"/>
    </row>
    <row r="10199" spans="6:6">
      <c r="F10199" s="35"/>
    </row>
    <row r="10200" spans="6:6">
      <c r="F10200" s="35"/>
    </row>
    <row r="10201" spans="6:6">
      <c r="F10201" s="35"/>
    </row>
    <row r="10202" spans="6:6">
      <c r="F10202" s="35"/>
    </row>
    <row r="10203" spans="6:6">
      <c r="F10203" s="35"/>
    </row>
    <row r="10204" spans="6:6">
      <c r="F10204" s="35"/>
    </row>
    <row r="10205" spans="6:6">
      <c r="F10205" s="35"/>
    </row>
    <row r="10206" spans="6:6">
      <c r="F10206" s="35"/>
    </row>
    <row r="10207" spans="6:6">
      <c r="F10207" s="35"/>
    </row>
    <row r="10208" spans="6:6">
      <c r="F10208" s="35"/>
    </row>
    <row r="10209" spans="6:6">
      <c r="F10209" s="35"/>
    </row>
    <row r="10210" spans="6:6">
      <c r="F10210" s="35"/>
    </row>
    <row r="10211" spans="6:6">
      <c r="F10211" s="35"/>
    </row>
    <row r="10212" spans="6:6">
      <c r="F10212" s="35"/>
    </row>
    <row r="10213" spans="6:6">
      <c r="F10213" s="35"/>
    </row>
    <row r="10214" spans="6:6">
      <c r="F10214" s="35"/>
    </row>
    <row r="10215" spans="6:6">
      <c r="F10215" s="35"/>
    </row>
    <row r="10216" spans="6:6">
      <c r="F10216" s="35"/>
    </row>
    <row r="10217" spans="6:6">
      <c r="F10217" s="35"/>
    </row>
    <row r="10218" spans="6:6">
      <c r="F10218" s="35"/>
    </row>
    <row r="10219" spans="6:6">
      <c r="F10219" s="35"/>
    </row>
    <row r="10220" spans="6:6">
      <c r="F10220" s="35"/>
    </row>
    <row r="10221" spans="6:6">
      <c r="F10221" s="35"/>
    </row>
    <row r="10222" spans="6:6">
      <c r="F10222" s="35"/>
    </row>
    <row r="10223" spans="6:6">
      <c r="F10223" s="35"/>
    </row>
    <row r="10224" spans="6:6">
      <c r="F10224" s="35"/>
    </row>
    <row r="10225" spans="6:6">
      <c r="F10225" s="35"/>
    </row>
    <row r="10226" spans="6:6">
      <c r="F10226" s="35"/>
    </row>
    <row r="10227" spans="6:6">
      <c r="F10227" s="35"/>
    </row>
    <row r="10228" spans="6:6">
      <c r="F10228" s="35"/>
    </row>
    <row r="10229" spans="6:6">
      <c r="F10229" s="35"/>
    </row>
    <row r="10230" spans="6:6">
      <c r="F10230" s="35"/>
    </row>
    <row r="10231" spans="6:6">
      <c r="F10231" s="35"/>
    </row>
    <row r="10232" spans="6:6">
      <c r="F10232" s="35"/>
    </row>
    <row r="10233" spans="6:6">
      <c r="F10233" s="35"/>
    </row>
    <row r="10234" spans="6:6">
      <c r="F10234" s="35"/>
    </row>
    <row r="10235" spans="6:6">
      <c r="F10235" s="35"/>
    </row>
    <row r="10236" spans="6:6">
      <c r="F10236" s="35"/>
    </row>
    <row r="10237" spans="6:6">
      <c r="F10237" s="35"/>
    </row>
    <row r="10238" spans="6:6">
      <c r="F10238" s="35"/>
    </row>
    <row r="10239" spans="6:6">
      <c r="F10239" s="35"/>
    </row>
    <row r="10240" spans="6:6">
      <c r="F10240" s="35"/>
    </row>
    <row r="10241" spans="6:6">
      <c r="F10241" s="35"/>
    </row>
    <row r="10242" spans="6:6">
      <c r="F10242" s="35"/>
    </row>
    <row r="10243" spans="6:6">
      <c r="F10243" s="35"/>
    </row>
    <row r="10244" spans="6:6">
      <c r="F10244" s="35"/>
    </row>
    <row r="10245" spans="6:6">
      <c r="F10245" s="35"/>
    </row>
    <row r="10246" spans="6:6">
      <c r="F10246" s="35"/>
    </row>
    <row r="10247" spans="6:6">
      <c r="F10247" s="35"/>
    </row>
    <row r="10248" spans="6:6">
      <c r="F10248" s="35"/>
    </row>
    <row r="10249" spans="6:6">
      <c r="F10249" s="35"/>
    </row>
    <row r="10250" spans="6:6">
      <c r="F10250" s="35"/>
    </row>
    <row r="10251" spans="6:6">
      <c r="F10251" s="35"/>
    </row>
    <row r="10252" spans="6:6">
      <c r="F10252" s="35"/>
    </row>
    <row r="10253" spans="6:6">
      <c r="F10253" s="35"/>
    </row>
    <row r="10254" spans="6:6">
      <c r="F10254" s="35"/>
    </row>
    <row r="10255" spans="6:6">
      <c r="F10255" s="35"/>
    </row>
    <row r="10256" spans="6:6">
      <c r="F10256" s="35"/>
    </row>
    <row r="10257" spans="6:6">
      <c r="F10257" s="35"/>
    </row>
    <row r="10258" spans="6:6">
      <c r="F10258" s="35"/>
    </row>
    <row r="10259" spans="6:6">
      <c r="F10259" s="35"/>
    </row>
    <row r="10260" spans="6:6">
      <c r="F10260" s="35"/>
    </row>
    <row r="10261" spans="6:6">
      <c r="F10261" s="35"/>
    </row>
    <row r="10262" spans="6:6">
      <c r="F10262" s="35"/>
    </row>
    <row r="10263" spans="6:6">
      <c r="F10263" s="35"/>
    </row>
    <row r="10264" spans="6:6">
      <c r="F10264" s="35"/>
    </row>
    <row r="10265" spans="6:6">
      <c r="F10265" s="35"/>
    </row>
    <row r="10266" spans="6:6">
      <c r="F10266" s="35"/>
    </row>
    <row r="10267" spans="6:6">
      <c r="F10267" s="35"/>
    </row>
    <row r="10268" spans="6:6">
      <c r="F10268" s="35"/>
    </row>
    <row r="10269" spans="6:6">
      <c r="F10269" s="35"/>
    </row>
    <row r="10270" spans="6:6">
      <c r="F10270" s="35"/>
    </row>
    <row r="10271" spans="6:6">
      <c r="F10271" s="35"/>
    </row>
    <row r="10272" spans="6:6">
      <c r="F10272" s="35"/>
    </row>
    <row r="10273" spans="6:6">
      <c r="F10273" s="35"/>
    </row>
    <row r="10274" spans="6:6">
      <c r="F10274" s="35"/>
    </row>
    <row r="10275" spans="6:6">
      <c r="F10275" s="35"/>
    </row>
    <row r="10276" spans="6:6">
      <c r="F10276" s="35"/>
    </row>
    <row r="10277" spans="6:6">
      <c r="F10277" s="35"/>
    </row>
    <row r="10278" spans="6:6">
      <c r="F10278" s="35"/>
    </row>
    <row r="10279" spans="6:6">
      <c r="F10279" s="35"/>
    </row>
    <row r="10280" spans="6:6">
      <c r="F10280" s="35"/>
    </row>
    <row r="10281" spans="6:6">
      <c r="F10281" s="35"/>
    </row>
    <row r="10282" spans="6:6">
      <c r="F10282" s="35"/>
    </row>
    <row r="10283" spans="6:6">
      <c r="F10283" s="35"/>
    </row>
    <row r="10284" spans="6:6">
      <c r="F10284" s="35"/>
    </row>
    <row r="10285" spans="6:6">
      <c r="F10285" s="35"/>
    </row>
    <row r="10286" spans="6:6">
      <c r="F10286" s="35"/>
    </row>
    <row r="10287" spans="6:6">
      <c r="F10287" s="35"/>
    </row>
    <row r="10288" spans="6:6">
      <c r="F10288" s="35"/>
    </row>
    <row r="10289" spans="6:6">
      <c r="F10289" s="35"/>
    </row>
    <row r="10290" spans="6:6">
      <c r="F10290" s="35"/>
    </row>
    <row r="10291" spans="6:6">
      <c r="F10291" s="35"/>
    </row>
    <row r="10292" spans="6:6">
      <c r="F10292" s="35"/>
    </row>
    <row r="10293" spans="6:6">
      <c r="F10293" s="35"/>
    </row>
    <row r="10294" spans="6:6">
      <c r="F10294" s="35"/>
    </row>
    <row r="10295" spans="6:6">
      <c r="F10295" s="35"/>
    </row>
    <row r="10296" spans="6:6">
      <c r="F10296" s="35"/>
    </row>
    <row r="10297" spans="6:6">
      <c r="F10297" s="35"/>
    </row>
    <row r="10298" spans="6:6">
      <c r="F10298" s="35"/>
    </row>
    <row r="10299" spans="6:6">
      <c r="F10299" s="35"/>
    </row>
    <row r="10300" spans="6:6">
      <c r="F10300" s="35"/>
    </row>
    <row r="10301" spans="6:6">
      <c r="F10301" s="35"/>
    </row>
    <row r="10302" spans="6:6">
      <c r="F10302" s="35"/>
    </row>
    <row r="10303" spans="6:6">
      <c r="F10303" s="35"/>
    </row>
    <row r="10304" spans="6:6">
      <c r="F10304" s="35"/>
    </row>
    <row r="10305" spans="6:6">
      <c r="F10305" s="35"/>
    </row>
    <row r="10306" spans="6:6">
      <c r="F10306" s="35"/>
    </row>
    <row r="10307" spans="6:6">
      <c r="F10307" s="35"/>
    </row>
    <row r="10308" spans="6:6">
      <c r="F10308" s="35"/>
    </row>
    <row r="10309" spans="6:6">
      <c r="F10309" s="35"/>
    </row>
    <row r="10310" spans="6:6">
      <c r="F10310" s="35"/>
    </row>
    <row r="10311" spans="6:6">
      <c r="F10311" s="35"/>
    </row>
    <row r="10312" spans="6:6">
      <c r="F10312" s="35"/>
    </row>
    <row r="10313" spans="6:6">
      <c r="F10313" s="35"/>
    </row>
    <row r="10314" spans="6:6">
      <c r="F10314" s="35"/>
    </row>
    <row r="10315" spans="6:6">
      <c r="F10315" s="35"/>
    </row>
    <row r="10316" spans="6:6">
      <c r="F10316" s="35"/>
    </row>
    <row r="10317" spans="6:6">
      <c r="F10317" s="35"/>
    </row>
    <row r="10318" spans="6:6">
      <c r="F10318" s="35"/>
    </row>
    <row r="10319" spans="6:6">
      <c r="F10319" s="35"/>
    </row>
    <row r="10320" spans="6:6">
      <c r="F10320" s="35"/>
    </row>
    <row r="10321" spans="6:6">
      <c r="F10321" s="35"/>
    </row>
    <row r="10322" spans="6:6">
      <c r="F10322" s="35"/>
    </row>
    <row r="10323" spans="6:6">
      <c r="F10323" s="35"/>
    </row>
    <row r="10324" spans="6:6">
      <c r="F10324" s="35"/>
    </row>
    <row r="10325" spans="6:6">
      <c r="F10325" s="35"/>
    </row>
    <row r="10326" spans="6:6">
      <c r="F10326" s="35"/>
    </row>
    <row r="10327" spans="6:6">
      <c r="F10327" s="35"/>
    </row>
    <row r="10328" spans="6:6">
      <c r="F10328" s="35"/>
    </row>
    <row r="10329" spans="6:6">
      <c r="F10329" s="35"/>
    </row>
    <row r="10330" spans="6:6">
      <c r="F10330" s="35"/>
    </row>
    <row r="10331" spans="6:6">
      <c r="F10331" s="35"/>
    </row>
    <row r="10332" spans="6:6">
      <c r="F10332" s="35"/>
    </row>
    <row r="10333" spans="6:6">
      <c r="F10333" s="35"/>
    </row>
    <row r="10334" spans="6:6">
      <c r="F10334" s="35"/>
    </row>
    <row r="10335" spans="6:6">
      <c r="F10335" s="35"/>
    </row>
    <row r="10336" spans="6:6">
      <c r="F10336" s="35"/>
    </row>
    <row r="10337" spans="6:6">
      <c r="F10337" s="35"/>
    </row>
    <row r="10338" spans="6:6">
      <c r="F10338" s="35"/>
    </row>
    <row r="10339" spans="6:6">
      <c r="F10339" s="35"/>
    </row>
    <row r="10340" spans="6:6">
      <c r="F10340" s="35"/>
    </row>
    <row r="10341" spans="6:6">
      <c r="F10341" s="35"/>
    </row>
    <row r="10342" spans="6:6">
      <c r="F10342" s="35"/>
    </row>
    <row r="10343" spans="6:6">
      <c r="F10343" s="35"/>
    </row>
    <row r="10344" spans="6:6">
      <c r="F10344" s="35"/>
    </row>
    <row r="10345" spans="6:6">
      <c r="F10345" s="35"/>
    </row>
    <row r="10346" spans="6:6">
      <c r="F10346" s="35"/>
    </row>
    <row r="10347" spans="6:6">
      <c r="F10347" s="35"/>
    </row>
    <row r="10348" spans="6:6">
      <c r="F10348" s="35"/>
    </row>
    <row r="10349" spans="6:6">
      <c r="F10349" s="35"/>
    </row>
    <row r="10350" spans="6:6">
      <c r="F10350" s="35"/>
    </row>
    <row r="10351" spans="6:6">
      <c r="F10351" s="35"/>
    </row>
    <row r="10352" spans="6:6">
      <c r="F10352" s="35"/>
    </row>
    <row r="10353" spans="6:6">
      <c r="F10353" s="35"/>
    </row>
    <row r="10354" spans="6:6">
      <c r="F10354" s="35"/>
    </row>
    <row r="10355" spans="6:6">
      <c r="F10355" s="35"/>
    </row>
    <row r="10356" spans="6:6">
      <c r="F10356" s="35"/>
    </row>
    <row r="10357" spans="6:6">
      <c r="F10357" s="35"/>
    </row>
    <row r="10358" spans="6:6">
      <c r="F10358" s="35"/>
    </row>
    <row r="10359" spans="6:6">
      <c r="F10359" s="35"/>
    </row>
    <row r="10360" spans="6:6">
      <c r="F10360" s="35"/>
    </row>
    <row r="10361" spans="6:6">
      <c r="F10361" s="35"/>
    </row>
    <row r="10362" spans="6:6">
      <c r="F10362" s="35"/>
    </row>
    <row r="10363" spans="6:6">
      <c r="F10363" s="35"/>
    </row>
    <row r="10364" spans="6:6">
      <c r="F10364" s="35"/>
    </row>
    <row r="10365" spans="6:6">
      <c r="F10365" s="35"/>
    </row>
    <row r="10366" spans="6:6">
      <c r="F10366" s="35"/>
    </row>
    <row r="10367" spans="6:6">
      <c r="F10367" s="35"/>
    </row>
    <row r="10368" spans="6:6">
      <c r="F10368" s="35"/>
    </row>
    <row r="10369" spans="6:6">
      <c r="F10369" s="35"/>
    </row>
    <row r="10370" spans="6:6">
      <c r="F10370" s="35"/>
    </row>
    <row r="10371" spans="6:6">
      <c r="F10371" s="35"/>
    </row>
    <row r="10372" spans="6:6">
      <c r="F10372" s="35"/>
    </row>
    <row r="10373" spans="6:6">
      <c r="F10373" s="35"/>
    </row>
    <row r="10374" spans="6:6">
      <c r="F10374" s="35"/>
    </row>
    <row r="10375" spans="6:6">
      <c r="F10375" s="35"/>
    </row>
    <row r="10376" spans="6:6">
      <c r="F10376" s="35"/>
    </row>
    <row r="10377" spans="6:6">
      <c r="F10377" s="35"/>
    </row>
    <row r="10378" spans="6:6">
      <c r="F10378" s="35"/>
    </row>
    <row r="10379" spans="6:6">
      <c r="F10379" s="35"/>
    </row>
    <row r="10380" spans="6:6">
      <c r="F10380" s="35"/>
    </row>
    <row r="10381" spans="6:6">
      <c r="F10381" s="35"/>
    </row>
    <row r="10382" spans="6:6">
      <c r="F10382" s="35"/>
    </row>
    <row r="10383" spans="6:6">
      <c r="F10383" s="35"/>
    </row>
    <row r="10384" spans="6:6">
      <c r="F10384" s="35"/>
    </row>
    <row r="10385" spans="6:6">
      <c r="F10385" s="35"/>
    </row>
    <row r="10386" spans="6:6">
      <c r="F10386" s="35"/>
    </row>
    <row r="10387" spans="6:6">
      <c r="F10387" s="35"/>
    </row>
    <row r="10388" spans="6:6">
      <c r="F10388" s="35"/>
    </row>
    <row r="10389" spans="6:6">
      <c r="F10389" s="35"/>
    </row>
    <row r="10390" spans="6:6">
      <c r="F10390" s="35"/>
    </row>
    <row r="10391" spans="6:6">
      <c r="F10391" s="35"/>
    </row>
    <row r="10392" spans="6:6">
      <c r="F10392" s="35"/>
    </row>
    <row r="10393" spans="6:6">
      <c r="F10393" s="35"/>
    </row>
    <row r="10394" spans="6:6">
      <c r="F10394" s="35"/>
    </row>
    <row r="10395" spans="6:6">
      <c r="F10395" s="35"/>
    </row>
    <row r="10396" spans="6:6">
      <c r="F10396" s="35"/>
    </row>
    <row r="10397" spans="6:6">
      <c r="F10397" s="35"/>
    </row>
    <row r="10398" spans="6:6">
      <c r="F10398" s="35"/>
    </row>
    <row r="10399" spans="6:6">
      <c r="F10399" s="35"/>
    </row>
    <row r="10400" spans="6:6">
      <c r="F10400" s="35"/>
    </row>
    <row r="10401" spans="6:6">
      <c r="F10401" s="35"/>
    </row>
    <row r="10402" spans="6:6">
      <c r="F10402" s="35"/>
    </row>
    <row r="10403" spans="6:6">
      <c r="F10403" s="35"/>
    </row>
    <row r="10404" spans="6:6">
      <c r="F10404" s="35"/>
    </row>
    <row r="10405" spans="6:6">
      <c r="F10405" s="35"/>
    </row>
    <row r="10406" spans="6:6">
      <c r="F10406" s="35"/>
    </row>
    <row r="10407" spans="6:6">
      <c r="F10407" s="35"/>
    </row>
    <row r="10408" spans="6:6">
      <c r="F10408" s="35"/>
    </row>
    <row r="10409" spans="6:6">
      <c r="F10409" s="35"/>
    </row>
    <row r="10410" spans="6:6">
      <c r="F10410" s="35"/>
    </row>
    <row r="10411" spans="6:6">
      <c r="F10411" s="35"/>
    </row>
    <row r="10412" spans="6:6">
      <c r="F10412" s="35"/>
    </row>
    <row r="10413" spans="6:6">
      <c r="F10413" s="35"/>
    </row>
    <row r="10414" spans="6:6">
      <c r="F10414" s="35"/>
    </row>
    <row r="10415" spans="6:6">
      <c r="F10415" s="35"/>
    </row>
    <row r="10416" spans="6:6">
      <c r="F10416" s="35"/>
    </row>
    <row r="10417" spans="6:6">
      <c r="F10417" s="35"/>
    </row>
    <row r="10418" spans="6:6">
      <c r="F10418" s="35"/>
    </row>
    <row r="10419" spans="6:6">
      <c r="F10419" s="35"/>
    </row>
    <row r="10420" spans="6:6">
      <c r="F10420" s="35"/>
    </row>
    <row r="10421" spans="6:6">
      <c r="F10421" s="35"/>
    </row>
    <row r="10422" spans="6:6">
      <c r="F10422" s="35"/>
    </row>
    <row r="10423" spans="6:6">
      <c r="F10423" s="35"/>
    </row>
    <row r="10424" spans="6:6">
      <c r="F10424" s="35"/>
    </row>
    <row r="10425" spans="6:6">
      <c r="F10425" s="35"/>
    </row>
    <row r="10426" spans="6:6">
      <c r="F10426" s="35"/>
    </row>
    <row r="10427" spans="6:6">
      <c r="F10427" s="35"/>
    </row>
    <row r="10428" spans="6:6">
      <c r="F10428" s="35"/>
    </row>
    <row r="10429" spans="6:6">
      <c r="F10429" s="35"/>
    </row>
    <row r="10430" spans="6:6">
      <c r="F10430" s="35"/>
    </row>
    <row r="10431" spans="6:6">
      <c r="F10431" s="35"/>
    </row>
    <row r="10432" spans="6:6">
      <c r="F10432" s="35"/>
    </row>
    <row r="10433" spans="6:6">
      <c r="F10433" s="35"/>
    </row>
    <row r="10434" spans="6:6">
      <c r="F10434" s="35"/>
    </row>
    <row r="10435" spans="6:6">
      <c r="F10435" s="35"/>
    </row>
    <row r="10436" spans="6:6">
      <c r="F10436" s="35"/>
    </row>
    <row r="10437" spans="6:6">
      <c r="F10437" s="35"/>
    </row>
    <row r="10438" spans="6:6">
      <c r="F10438" s="35"/>
    </row>
    <row r="10439" spans="6:6">
      <c r="F10439" s="35"/>
    </row>
    <row r="10440" spans="6:6">
      <c r="F10440" s="35"/>
    </row>
    <row r="10441" spans="6:6">
      <c r="F10441" s="35"/>
    </row>
    <row r="10442" spans="6:6">
      <c r="F10442" s="35"/>
    </row>
    <row r="10443" spans="6:6">
      <c r="F10443" s="35"/>
    </row>
    <row r="10444" spans="6:6">
      <c r="F10444" s="35"/>
    </row>
    <row r="10445" spans="6:6">
      <c r="F10445" s="35"/>
    </row>
    <row r="10446" spans="6:6">
      <c r="F10446" s="35"/>
    </row>
    <row r="10447" spans="6:6">
      <c r="F10447" s="35"/>
    </row>
    <row r="10448" spans="6:6">
      <c r="F10448" s="35"/>
    </row>
    <row r="10449" spans="6:6">
      <c r="F10449" s="35"/>
    </row>
    <row r="10450" spans="6:6">
      <c r="F10450" s="35"/>
    </row>
    <row r="10451" spans="6:6">
      <c r="F10451" s="35"/>
    </row>
    <row r="10452" spans="6:6">
      <c r="F10452" s="35"/>
    </row>
    <row r="10453" spans="6:6">
      <c r="F10453" s="35"/>
    </row>
    <row r="10454" spans="6:6">
      <c r="F10454" s="35"/>
    </row>
    <row r="10455" spans="6:6">
      <c r="F10455" s="35"/>
    </row>
    <row r="10456" spans="6:6">
      <c r="F10456" s="35"/>
    </row>
    <row r="10457" spans="6:6">
      <c r="F10457" s="35"/>
    </row>
    <row r="10458" spans="6:6">
      <c r="F10458" s="35"/>
    </row>
    <row r="10459" spans="6:6">
      <c r="F10459" s="35"/>
    </row>
    <row r="10460" spans="6:6">
      <c r="F10460" s="35"/>
    </row>
    <row r="10461" spans="6:6">
      <c r="F10461" s="35"/>
    </row>
    <row r="10462" spans="6:6">
      <c r="F10462" s="35"/>
    </row>
    <row r="10463" spans="6:6">
      <c r="F10463" s="35"/>
    </row>
    <row r="10464" spans="6:6">
      <c r="F10464" s="35"/>
    </row>
    <row r="10465" spans="6:6">
      <c r="F10465" s="35"/>
    </row>
    <row r="10466" spans="6:6">
      <c r="F10466" s="35"/>
    </row>
    <row r="10467" spans="6:6">
      <c r="F10467" s="35"/>
    </row>
    <row r="10468" spans="6:6">
      <c r="F10468" s="35"/>
    </row>
    <row r="10469" spans="6:6">
      <c r="F10469" s="35"/>
    </row>
    <row r="10470" spans="6:6">
      <c r="F10470" s="35"/>
    </row>
    <row r="10471" spans="6:6">
      <c r="F10471" s="35"/>
    </row>
    <row r="10472" spans="6:6">
      <c r="F10472" s="35"/>
    </row>
    <row r="10473" spans="6:6">
      <c r="F10473" s="35"/>
    </row>
    <row r="10474" spans="6:6">
      <c r="F10474" s="35"/>
    </row>
    <row r="10475" spans="6:6">
      <c r="F10475" s="35"/>
    </row>
    <row r="10476" spans="6:6">
      <c r="F10476" s="35"/>
    </row>
    <row r="10477" spans="6:6">
      <c r="F10477" s="35"/>
    </row>
    <row r="10478" spans="6:6">
      <c r="F10478" s="35"/>
    </row>
    <row r="10479" spans="6:6">
      <c r="F10479" s="35"/>
    </row>
    <row r="10480" spans="6:6">
      <c r="F10480" s="35"/>
    </row>
    <row r="10481" spans="6:6">
      <c r="F10481" s="35"/>
    </row>
    <row r="10482" spans="6:6">
      <c r="F10482" s="35"/>
    </row>
    <row r="10483" spans="6:6">
      <c r="F10483" s="35"/>
    </row>
    <row r="10484" spans="6:6">
      <c r="F10484" s="35"/>
    </row>
    <row r="10485" spans="6:6">
      <c r="F10485" s="35"/>
    </row>
    <row r="10486" spans="6:6">
      <c r="F10486" s="35"/>
    </row>
    <row r="10487" spans="6:6">
      <c r="F10487" s="35"/>
    </row>
    <row r="10488" spans="6:6">
      <c r="F10488" s="35"/>
    </row>
    <row r="10489" spans="6:6">
      <c r="F10489" s="35"/>
    </row>
    <row r="10490" spans="6:6">
      <c r="F10490" s="35"/>
    </row>
    <row r="10491" spans="6:6">
      <c r="F10491" s="35"/>
    </row>
    <row r="10492" spans="6:6">
      <c r="F10492" s="35"/>
    </row>
    <row r="10493" spans="6:6">
      <c r="F10493" s="35"/>
    </row>
    <row r="10494" spans="6:6">
      <c r="F10494" s="35"/>
    </row>
    <row r="10495" spans="6:6">
      <c r="F10495" s="35"/>
    </row>
    <row r="10496" spans="6:6">
      <c r="F10496" s="35"/>
    </row>
    <row r="10497" spans="6:6">
      <c r="F10497" s="35"/>
    </row>
    <row r="10498" spans="6:6">
      <c r="F10498" s="35"/>
    </row>
    <row r="10499" spans="6:6">
      <c r="F10499" s="35"/>
    </row>
    <row r="10500" spans="6:6">
      <c r="F10500" s="35"/>
    </row>
    <row r="10501" spans="6:6">
      <c r="F10501" s="35"/>
    </row>
    <row r="10502" spans="6:6">
      <c r="F10502" s="35"/>
    </row>
    <row r="10503" spans="6:6">
      <c r="F10503" s="35"/>
    </row>
    <row r="10504" spans="6:6">
      <c r="F10504" s="35"/>
    </row>
    <row r="10505" spans="6:6">
      <c r="F10505" s="35"/>
    </row>
    <row r="10506" spans="6:6">
      <c r="F10506" s="35"/>
    </row>
    <row r="10507" spans="6:6">
      <c r="F10507" s="35"/>
    </row>
    <row r="10508" spans="6:6">
      <c r="F10508" s="35"/>
    </row>
    <row r="10509" spans="6:6">
      <c r="F10509" s="35"/>
    </row>
    <row r="10510" spans="6:6">
      <c r="F10510" s="35"/>
    </row>
    <row r="10511" spans="6:6">
      <c r="F10511" s="35"/>
    </row>
    <row r="10512" spans="6:6">
      <c r="F10512" s="35"/>
    </row>
    <row r="10513" spans="6:6">
      <c r="F10513" s="35"/>
    </row>
    <row r="10514" spans="6:6">
      <c r="F10514" s="35"/>
    </row>
    <row r="10515" spans="6:6">
      <c r="F10515" s="35"/>
    </row>
    <row r="10516" spans="6:6">
      <c r="F10516" s="35"/>
    </row>
    <row r="10517" spans="6:6">
      <c r="F10517" s="35"/>
    </row>
    <row r="10518" spans="6:6">
      <c r="F10518" s="35"/>
    </row>
    <row r="10519" spans="6:6">
      <c r="F10519" s="35"/>
    </row>
    <row r="10520" spans="6:6">
      <c r="F10520" s="35"/>
    </row>
    <row r="10521" spans="6:6">
      <c r="F10521" s="35"/>
    </row>
    <row r="10522" spans="6:6">
      <c r="F10522" s="35"/>
    </row>
    <row r="10523" spans="6:6">
      <c r="F10523" s="35"/>
    </row>
    <row r="10524" spans="6:6">
      <c r="F10524" s="35"/>
    </row>
    <row r="10525" spans="6:6">
      <c r="F10525" s="35"/>
    </row>
    <row r="10526" spans="6:6">
      <c r="F10526" s="35"/>
    </row>
    <row r="10527" spans="6:6">
      <c r="F10527" s="35"/>
    </row>
    <row r="10528" spans="6:6">
      <c r="F10528" s="35"/>
    </row>
    <row r="10529" spans="6:6">
      <c r="F10529" s="35"/>
    </row>
    <row r="10530" spans="6:6">
      <c r="F10530" s="35"/>
    </row>
    <row r="10531" spans="6:6">
      <c r="F10531" s="35"/>
    </row>
    <row r="10532" spans="6:6">
      <c r="F10532" s="35"/>
    </row>
    <row r="10533" spans="6:6">
      <c r="F10533" s="35"/>
    </row>
    <row r="10534" spans="6:6">
      <c r="F10534" s="35"/>
    </row>
    <row r="10535" spans="6:6">
      <c r="F10535" s="35"/>
    </row>
    <row r="10536" spans="6:6">
      <c r="F10536" s="35"/>
    </row>
    <row r="10537" spans="6:6">
      <c r="F10537" s="35"/>
    </row>
    <row r="10538" spans="6:6">
      <c r="F10538" s="35"/>
    </row>
    <row r="10539" spans="6:6">
      <c r="F10539" s="35"/>
    </row>
    <row r="10540" spans="6:6">
      <c r="F10540" s="35"/>
    </row>
    <row r="10541" spans="6:6">
      <c r="F10541" s="35"/>
    </row>
    <row r="10542" spans="6:6">
      <c r="F10542" s="35"/>
    </row>
    <row r="10543" spans="6:6">
      <c r="F10543" s="35"/>
    </row>
    <row r="10544" spans="6:6">
      <c r="F10544" s="35"/>
    </row>
    <row r="10545" spans="6:6">
      <c r="F10545" s="35"/>
    </row>
    <row r="10546" spans="6:6">
      <c r="F10546" s="35"/>
    </row>
    <row r="10547" spans="6:6">
      <c r="F10547" s="35"/>
    </row>
    <row r="10548" spans="6:6">
      <c r="F10548" s="35"/>
    </row>
    <row r="10549" spans="6:6">
      <c r="F10549" s="35"/>
    </row>
    <row r="10550" spans="6:6">
      <c r="F10550" s="35"/>
    </row>
    <row r="10551" spans="6:6">
      <c r="F10551" s="35"/>
    </row>
    <row r="10552" spans="6:6">
      <c r="F10552" s="35"/>
    </row>
    <row r="10553" spans="6:6">
      <c r="F10553" s="35"/>
    </row>
    <row r="10554" spans="6:6">
      <c r="F10554" s="35"/>
    </row>
    <row r="10555" spans="6:6">
      <c r="F10555" s="35"/>
    </row>
    <row r="10556" spans="6:6">
      <c r="F10556" s="35"/>
    </row>
    <row r="10557" spans="6:6">
      <c r="F10557" s="35"/>
    </row>
    <row r="10558" spans="6:6">
      <c r="F10558" s="35"/>
    </row>
    <row r="10559" spans="6:6">
      <c r="F10559" s="35"/>
    </row>
    <row r="10560" spans="6:6">
      <c r="F10560" s="35"/>
    </row>
    <row r="10561" spans="6:6">
      <c r="F10561" s="35"/>
    </row>
    <row r="10562" spans="6:6">
      <c r="F10562" s="35"/>
    </row>
    <row r="10563" spans="6:6">
      <c r="F10563" s="35"/>
    </row>
    <row r="10564" spans="6:6">
      <c r="F10564" s="35"/>
    </row>
    <row r="10565" spans="6:6">
      <c r="F10565" s="35"/>
    </row>
    <row r="10566" spans="6:6">
      <c r="F10566" s="35"/>
    </row>
    <row r="10567" spans="6:6">
      <c r="F10567" s="35"/>
    </row>
    <row r="10568" spans="6:6">
      <c r="F10568" s="35"/>
    </row>
    <row r="10569" spans="6:6">
      <c r="F10569" s="35"/>
    </row>
    <row r="10570" spans="6:6">
      <c r="F10570" s="35"/>
    </row>
    <row r="10571" spans="6:6">
      <c r="F10571" s="35"/>
    </row>
    <row r="10572" spans="6:6">
      <c r="F10572" s="35"/>
    </row>
    <row r="10573" spans="6:6">
      <c r="F10573" s="35"/>
    </row>
    <row r="10574" spans="6:6">
      <c r="F10574" s="35"/>
    </row>
    <row r="10575" spans="6:6">
      <c r="F10575" s="35"/>
    </row>
    <row r="10576" spans="6:6">
      <c r="F10576" s="35"/>
    </row>
    <row r="10577" spans="6:6">
      <c r="F10577" s="35"/>
    </row>
    <row r="10578" spans="6:6">
      <c r="F10578" s="35"/>
    </row>
    <row r="10579" spans="6:6">
      <c r="F10579" s="35"/>
    </row>
    <row r="10580" spans="6:6">
      <c r="F10580" s="35"/>
    </row>
    <row r="10581" spans="6:6">
      <c r="F10581" s="35"/>
    </row>
    <row r="10582" spans="6:6">
      <c r="F10582" s="35"/>
    </row>
    <row r="10583" spans="6:6">
      <c r="F10583" s="35"/>
    </row>
    <row r="10584" spans="6:6">
      <c r="F10584" s="35"/>
    </row>
    <row r="10585" spans="6:6">
      <c r="F10585" s="35"/>
    </row>
    <row r="10586" spans="6:6">
      <c r="F10586" s="35"/>
    </row>
    <row r="10587" spans="6:6">
      <c r="F10587" s="35"/>
    </row>
    <row r="10588" spans="6:6">
      <c r="F10588" s="35"/>
    </row>
    <row r="10589" spans="6:6">
      <c r="F10589" s="35"/>
    </row>
    <row r="10590" spans="6:6">
      <c r="F10590" s="35"/>
    </row>
    <row r="10591" spans="6:6">
      <c r="F10591" s="35"/>
    </row>
    <row r="10592" spans="6:6">
      <c r="F10592" s="35"/>
    </row>
    <row r="10593" spans="6:6">
      <c r="F10593" s="35"/>
    </row>
    <row r="10594" spans="6:6">
      <c r="F10594" s="35"/>
    </row>
    <row r="10595" spans="6:6">
      <c r="F10595" s="35"/>
    </row>
    <row r="10596" spans="6:6">
      <c r="F10596" s="35"/>
    </row>
    <row r="10597" spans="6:6">
      <c r="F10597" s="35"/>
    </row>
    <row r="10598" spans="6:6">
      <c r="F10598" s="35"/>
    </row>
    <row r="10599" spans="6:6">
      <c r="F10599" s="35"/>
    </row>
    <row r="10600" spans="6:6">
      <c r="F10600" s="35"/>
    </row>
    <row r="10601" spans="6:6">
      <c r="F10601" s="35"/>
    </row>
    <row r="10602" spans="6:6">
      <c r="F10602" s="35"/>
    </row>
    <row r="10603" spans="6:6">
      <c r="F10603" s="35"/>
    </row>
    <row r="10604" spans="6:6">
      <c r="F10604" s="35"/>
    </row>
    <row r="10605" spans="6:6">
      <c r="F10605" s="35"/>
    </row>
    <row r="10606" spans="6:6">
      <c r="F10606" s="35"/>
    </row>
    <row r="10607" spans="6:6">
      <c r="F10607" s="35"/>
    </row>
    <row r="10608" spans="6:6">
      <c r="F10608" s="35"/>
    </row>
    <row r="10609" spans="6:6">
      <c r="F10609" s="35"/>
    </row>
    <row r="10610" spans="6:6">
      <c r="F10610" s="35"/>
    </row>
    <row r="10611" spans="6:6">
      <c r="F10611" s="35"/>
    </row>
    <row r="10612" spans="6:6">
      <c r="F10612" s="35"/>
    </row>
    <row r="10613" spans="6:6">
      <c r="F10613" s="35"/>
    </row>
    <row r="10614" spans="6:6">
      <c r="F10614" s="35"/>
    </row>
    <row r="10615" spans="6:6">
      <c r="F10615" s="35"/>
    </row>
    <row r="10616" spans="6:6">
      <c r="F10616" s="35"/>
    </row>
    <row r="10617" spans="6:6">
      <c r="F10617" s="35"/>
    </row>
    <row r="10618" spans="6:6">
      <c r="F10618" s="35"/>
    </row>
    <row r="10619" spans="6:6">
      <c r="F10619" s="35"/>
    </row>
    <row r="10620" spans="6:6">
      <c r="F10620" s="35"/>
    </row>
    <row r="10621" spans="6:6">
      <c r="F10621" s="35"/>
    </row>
    <row r="10622" spans="6:6">
      <c r="F10622" s="35"/>
    </row>
    <row r="10623" spans="6:6">
      <c r="F10623" s="35"/>
    </row>
    <row r="10624" spans="6:6">
      <c r="F10624" s="35"/>
    </row>
    <row r="10625" spans="6:6">
      <c r="F10625" s="35"/>
    </row>
    <row r="10626" spans="6:6">
      <c r="F10626" s="35"/>
    </row>
    <row r="10627" spans="6:6">
      <c r="F10627" s="35"/>
    </row>
    <row r="10628" spans="6:6">
      <c r="F10628" s="35"/>
    </row>
    <row r="10629" spans="6:6">
      <c r="F10629" s="35"/>
    </row>
    <row r="10630" spans="6:6">
      <c r="F10630" s="35"/>
    </row>
    <row r="10631" spans="6:6">
      <c r="F10631" s="35"/>
    </row>
    <row r="10632" spans="6:6">
      <c r="F10632" s="35"/>
    </row>
    <row r="10633" spans="6:6">
      <c r="F10633" s="35"/>
    </row>
    <row r="10634" spans="6:6">
      <c r="F10634" s="35"/>
    </row>
    <row r="10635" spans="6:6">
      <c r="F10635" s="35"/>
    </row>
    <row r="10636" spans="6:6">
      <c r="F10636" s="35"/>
    </row>
    <row r="10637" spans="6:6">
      <c r="F10637" s="35"/>
    </row>
    <row r="10638" spans="6:6">
      <c r="F10638" s="35"/>
    </row>
    <row r="10639" spans="6:6">
      <c r="F10639" s="35"/>
    </row>
    <row r="10640" spans="6:6">
      <c r="F10640" s="35"/>
    </row>
    <row r="10641" spans="6:6">
      <c r="F10641" s="35"/>
    </row>
    <row r="10642" spans="6:6">
      <c r="F10642" s="35"/>
    </row>
    <row r="10643" spans="6:6">
      <c r="F10643" s="35"/>
    </row>
    <row r="10644" spans="6:6">
      <c r="F10644" s="35"/>
    </row>
    <row r="10645" spans="6:6">
      <c r="F10645" s="35"/>
    </row>
    <row r="10646" spans="6:6">
      <c r="F10646" s="35"/>
    </row>
    <row r="10647" spans="6:6">
      <c r="F10647" s="35"/>
    </row>
    <row r="10648" spans="6:6">
      <c r="F10648" s="35"/>
    </row>
    <row r="10649" spans="6:6">
      <c r="F10649" s="35"/>
    </row>
    <row r="10650" spans="6:6">
      <c r="F10650" s="35"/>
    </row>
    <row r="10651" spans="6:6">
      <c r="F10651" s="35"/>
    </row>
    <row r="10652" spans="6:6">
      <c r="F10652" s="35"/>
    </row>
    <row r="10653" spans="6:6">
      <c r="F10653" s="35"/>
    </row>
    <row r="10654" spans="6:6">
      <c r="F10654" s="35"/>
    </row>
    <row r="10655" spans="6:6">
      <c r="F10655" s="35"/>
    </row>
    <row r="10656" spans="6:6">
      <c r="F10656" s="35"/>
    </row>
    <row r="10657" spans="6:6">
      <c r="F10657" s="35"/>
    </row>
    <row r="10658" spans="6:6">
      <c r="F10658" s="35"/>
    </row>
    <row r="10659" spans="6:6">
      <c r="F10659" s="35"/>
    </row>
    <row r="10660" spans="6:6">
      <c r="F10660" s="35"/>
    </row>
    <row r="10661" spans="6:6">
      <c r="F10661" s="35"/>
    </row>
    <row r="10662" spans="6:6">
      <c r="F10662" s="35"/>
    </row>
    <row r="10663" spans="6:6">
      <c r="F10663" s="35"/>
    </row>
    <row r="10664" spans="6:6">
      <c r="F10664" s="35"/>
    </row>
    <row r="10665" spans="6:6">
      <c r="F10665" s="35"/>
    </row>
    <row r="10666" spans="6:6">
      <c r="F10666" s="35"/>
    </row>
    <row r="10667" spans="6:6">
      <c r="F10667" s="35"/>
    </row>
    <row r="10668" spans="6:6">
      <c r="F10668" s="35"/>
    </row>
    <row r="10669" spans="6:6">
      <c r="F10669" s="35"/>
    </row>
    <row r="10670" spans="6:6">
      <c r="F10670" s="35"/>
    </row>
    <row r="10671" spans="6:6">
      <c r="F10671" s="35"/>
    </row>
    <row r="10672" spans="6:6">
      <c r="F10672" s="35"/>
    </row>
    <row r="10673" spans="6:6">
      <c r="F10673" s="35"/>
    </row>
    <row r="10674" spans="6:6">
      <c r="F10674" s="35"/>
    </row>
    <row r="10675" spans="6:6">
      <c r="F10675" s="35"/>
    </row>
    <row r="10676" spans="6:6">
      <c r="F10676" s="35"/>
    </row>
    <row r="10677" spans="6:6">
      <c r="F10677" s="35"/>
    </row>
    <row r="10678" spans="6:6">
      <c r="F10678" s="35"/>
    </row>
    <row r="10679" spans="6:6">
      <c r="F10679" s="35"/>
    </row>
    <row r="10680" spans="6:6">
      <c r="F10680" s="35"/>
    </row>
    <row r="10681" spans="6:6">
      <c r="F10681" s="35"/>
    </row>
    <row r="10682" spans="6:6">
      <c r="F10682" s="35"/>
    </row>
    <row r="10683" spans="6:6">
      <c r="F10683" s="35"/>
    </row>
    <row r="10684" spans="6:6">
      <c r="F10684" s="35"/>
    </row>
    <row r="10685" spans="6:6">
      <c r="F10685" s="35"/>
    </row>
    <row r="10686" spans="6:6">
      <c r="F10686" s="35"/>
    </row>
    <row r="10687" spans="6:6">
      <c r="F10687" s="35"/>
    </row>
    <row r="10688" spans="6:6">
      <c r="F10688" s="35"/>
    </row>
    <row r="10689" spans="6:6">
      <c r="F10689" s="35"/>
    </row>
    <row r="10690" spans="6:6">
      <c r="F10690" s="35"/>
    </row>
    <row r="10691" spans="6:6">
      <c r="F10691" s="35"/>
    </row>
    <row r="10692" spans="6:6">
      <c r="F10692" s="35"/>
    </row>
    <row r="10693" spans="6:6">
      <c r="F10693" s="35"/>
    </row>
    <row r="10694" spans="6:6">
      <c r="F10694" s="35"/>
    </row>
    <row r="10695" spans="6:6">
      <c r="F10695" s="35"/>
    </row>
    <row r="10696" spans="6:6">
      <c r="F10696" s="35"/>
    </row>
    <row r="10697" spans="6:6">
      <c r="F10697" s="35"/>
    </row>
    <row r="10698" spans="6:6">
      <c r="F10698" s="35"/>
    </row>
    <row r="10699" spans="6:6">
      <c r="F10699" s="35"/>
    </row>
    <row r="10700" spans="6:6">
      <c r="F10700" s="35"/>
    </row>
    <row r="10701" spans="6:6">
      <c r="F10701" s="35"/>
    </row>
    <row r="10702" spans="6:6">
      <c r="F10702" s="35"/>
    </row>
    <row r="10703" spans="6:6">
      <c r="F10703" s="35"/>
    </row>
    <row r="10704" spans="6:6">
      <c r="F10704" s="35"/>
    </row>
    <row r="10705" spans="6:6">
      <c r="F10705" s="35"/>
    </row>
    <row r="10706" spans="6:6">
      <c r="F10706" s="35"/>
    </row>
    <row r="10707" spans="6:6">
      <c r="F10707" s="35"/>
    </row>
    <row r="10708" spans="6:6">
      <c r="F10708" s="35"/>
    </row>
    <row r="10709" spans="6:6">
      <c r="F10709" s="35"/>
    </row>
    <row r="10710" spans="6:6">
      <c r="F10710" s="35"/>
    </row>
    <row r="10711" spans="6:6">
      <c r="F10711" s="35"/>
    </row>
    <row r="10712" spans="6:6">
      <c r="F10712" s="35"/>
    </row>
    <row r="10713" spans="6:6">
      <c r="F10713" s="35"/>
    </row>
    <row r="10714" spans="6:6">
      <c r="F10714" s="35"/>
    </row>
    <row r="10715" spans="6:6">
      <c r="F10715" s="35"/>
    </row>
    <row r="10716" spans="6:6">
      <c r="F10716" s="35"/>
    </row>
    <row r="10717" spans="6:6">
      <c r="F10717" s="35"/>
    </row>
    <row r="10718" spans="6:6">
      <c r="F10718" s="35"/>
    </row>
    <row r="10719" spans="6:6">
      <c r="F10719" s="35"/>
    </row>
    <row r="10720" spans="6:6">
      <c r="F10720" s="35"/>
    </row>
    <row r="10721" spans="6:6">
      <c r="F10721" s="35"/>
    </row>
    <row r="10722" spans="6:6">
      <c r="F10722" s="35"/>
    </row>
    <row r="10723" spans="6:6">
      <c r="F10723" s="35"/>
    </row>
    <row r="10724" spans="6:6">
      <c r="F10724" s="35"/>
    </row>
    <row r="10725" spans="6:6">
      <c r="F10725" s="35"/>
    </row>
    <row r="10726" spans="6:6">
      <c r="F10726" s="35"/>
    </row>
    <row r="10727" spans="6:6">
      <c r="F10727" s="35"/>
    </row>
    <row r="10728" spans="6:6">
      <c r="F10728" s="35"/>
    </row>
    <row r="10729" spans="6:6">
      <c r="F10729" s="35"/>
    </row>
    <row r="10730" spans="6:6">
      <c r="F10730" s="35"/>
    </row>
    <row r="10731" spans="6:6">
      <c r="F10731" s="35"/>
    </row>
    <row r="10732" spans="6:6">
      <c r="F10732" s="35"/>
    </row>
    <row r="10733" spans="6:6">
      <c r="F10733" s="35"/>
    </row>
    <row r="10734" spans="6:6">
      <c r="F10734" s="35"/>
    </row>
    <row r="10735" spans="6:6">
      <c r="F10735" s="35"/>
    </row>
    <row r="10736" spans="6:6">
      <c r="F10736" s="35"/>
    </row>
    <row r="10737" spans="6:6">
      <c r="F10737" s="35"/>
    </row>
    <row r="10738" spans="6:6">
      <c r="F10738" s="35"/>
    </row>
    <row r="10739" spans="6:6">
      <c r="F10739" s="35"/>
    </row>
    <row r="10740" spans="6:6">
      <c r="F10740" s="35"/>
    </row>
    <row r="10741" spans="6:6">
      <c r="F10741" s="35"/>
    </row>
    <row r="10742" spans="6:6">
      <c r="F10742" s="35"/>
    </row>
    <row r="10743" spans="6:6">
      <c r="F10743" s="35"/>
    </row>
    <row r="10744" spans="6:6">
      <c r="F10744" s="35"/>
    </row>
    <row r="10745" spans="6:6">
      <c r="F10745" s="35"/>
    </row>
    <row r="10746" spans="6:6">
      <c r="F10746" s="35"/>
    </row>
    <row r="10747" spans="6:6">
      <c r="F10747" s="35"/>
    </row>
    <row r="10748" spans="6:6">
      <c r="F10748" s="35"/>
    </row>
    <row r="10749" spans="6:6">
      <c r="F10749" s="35"/>
    </row>
    <row r="10750" spans="6:6">
      <c r="F10750" s="35"/>
    </row>
    <row r="10751" spans="6:6">
      <c r="F10751" s="35"/>
    </row>
    <row r="10752" spans="6:6">
      <c r="F10752" s="35"/>
    </row>
    <row r="10753" spans="6:6">
      <c r="F10753" s="35"/>
    </row>
    <row r="10754" spans="6:6">
      <c r="F10754" s="35"/>
    </row>
    <row r="10755" spans="6:6">
      <c r="F10755" s="35"/>
    </row>
    <row r="10756" spans="6:6">
      <c r="F10756" s="35"/>
    </row>
    <row r="10757" spans="6:6">
      <c r="F10757" s="35"/>
    </row>
    <row r="10758" spans="6:6">
      <c r="F10758" s="35"/>
    </row>
    <row r="10759" spans="6:6">
      <c r="F10759" s="35"/>
    </row>
    <row r="10760" spans="6:6">
      <c r="F10760" s="35"/>
    </row>
    <row r="10761" spans="6:6">
      <c r="F10761" s="35"/>
    </row>
    <row r="10762" spans="6:6">
      <c r="F10762" s="35"/>
    </row>
    <row r="10763" spans="6:6">
      <c r="F10763" s="35"/>
    </row>
    <row r="10764" spans="6:6">
      <c r="F10764" s="35"/>
    </row>
    <row r="10765" spans="6:6">
      <c r="F10765" s="35"/>
    </row>
    <row r="10766" spans="6:6">
      <c r="F10766" s="35"/>
    </row>
    <row r="10767" spans="6:6">
      <c r="F10767" s="35"/>
    </row>
    <row r="10768" spans="6:6">
      <c r="F10768" s="35"/>
    </row>
    <row r="10769" spans="6:6">
      <c r="F10769" s="35"/>
    </row>
    <row r="10770" spans="6:6">
      <c r="F10770" s="35"/>
    </row>
    <row r="10771" spans="6:6">
      <c r="F10771" s="35"/>
    </row>
    <row r="10772" spans="6:6">
      <c r="F10772" s="35"/>
    </row>
    <row r="10773" spans="6:6">
      <c r="F10773" s="35"/>
    </row>
    <row r="10774" spans="6:6">
      <c r="F10774" s="35"/>
    </row>
    <row r="10775" spans="6:6">
      <c r="F10775" s="35"/>
    </row>
    <row r="10776" spans="6:6">
      <c r="F10776" s="35"/>
    </row>
    <row r="10777" spans="6:6">
      <c r="F10777" s="35"/>
    </row>
    <row r="10778" spans="6:6">
      <c r="F10778" s="35"/>
    </row>
    <row r="10779" spans="6:6">
      <c r="F10779" s="35"/>
    </row>
    <row r="10780" spans="6:6">
      <c r="F10780" s="35"/>
    </row>
    <row r="10781" spans="6:6">
      <c r="F10781" s="35"/>
    </row>
    <row r="10782" spans="6:6">
      <c r="F10782" s="35"/>
    </row>
    <row r="10783" spans="6:6">
      <c r="F10783" s="35"/>
    </row>
    <row r="10784" spans="6:6">
      <c r="F10784" s="35"/>
    </row>
    <row r="10785" spans="6:6">
      <c r="F10785" s="35"/>
    </row>
    <row r="10786" spans="6:6">
      <c r="F10786" s="35"/>
    </row>
    <row r="10787" spans="6:6">
      <c r="F10787" s="35"/>
    </row>
    <row r="10788" spans="6:6">
      <c r="F10788" s="35"/>
    </row>
    <row r="10789" spans="6:6">
      <c r="F10789" s="35"/>
    </row>
    <row r="10790" spans="6:6">
      <c r="F10790" s="35"/>
    </row>
    <row r="10791" spans="6:6">
      <c r="F10791" s="35"/>
    </row>
    <row r="10792" spans="6:6">
      <c r="F10792" s="35"/>
    </row>
    <row r="10793" spans="6:6">
      <c r="F10793" s="35"/>
    </row>
    <row r="10794" spans="6:6">
      <c r="F10794" s="35"/>
    </row>
    <row r="10795" spans="6:6">
      <c r="F10795" s="35"/>
    </row>
    <row r="10796" spans="6:6">
      <c r="F10796" s="35"/>
    </row>
    <row r="10797" spans="6:6">
      <c r="F10797" s="35"/>
    </row>
    <row r="10798" spans="6:6">
      <c r="F10798" s="35"/>
    </row>
    <row r="10799" spans="6:6">
      <c r="F10799" s="35"/>
    </row>
    <row r="10800" spans="6:6">
      <c r="F10800" s="35"/>
    </row>
    <row r="10801" spans="6:6">
      <c r="F10801" s="35"/>
    </row>
    <row r="10802" spans="6:6">
      <c r="F10802" s="35"/>
    </row>
    <row r="10803" spans="6:6">
      <c r="F10803" s="35"/>
    </row>
    <row r="10804" spans="6:6">
      <c r="F10804" s="35"/>
    </row>
    <row r="10805" spans="6:6">
      <c r="F10805" s="35"/>
    </row>
    <row r="10806" spans="6:6">
      <c r="F10806" s="35"/>
    </row>
    <row r="10807" spans="6:6">
      <c r="F10807" s="35"/>
    </row>
    <row r="10808" spans="6:6">
      <c r="F10808" s="35"/>
    </row>
    <row r="10809" spans="6:6">
      <c r="F10809" s="35"/>
    </row>
    <row r="10810" spans="6:6">
      <c r="F10810" s="35"/>
    </row>
    <row r="10811" spans="6:6">
      <c r="F10811" s="35"/>
    </row>
    <row r="10812" spans="6:6">
      <c r="F10812" s="35"/>
    </row>
    <row r="10813" spans="6:6">
      <c r="F10813" s="35"/>
    </row>
    <row r="10814" spans="6:6">
      <c r="F10814" s="35"/>
    </row>
    <row r="10815" spans="6:6">
      <c r="F10815" s="35"/>
    </row>
    <row r="10816" spans="6:6">
      <c r="F10816" s="35"/>
    </row>
    <row r="10817" spans="6:6">
      <c r="F10817" s="35"/>
    </row>
    <row r="10818" spans="6:6">
      <c r="F10818" s="35"/>
    </row>
    <row r="10819" spans="6:6">
      <c r="F10819" s="35"/>
    </row>
    <row r="10820" spans="6:6">
      <c r="F10820" s="35"/>
    </row>
    <row r="10821" spans="6:6">
      <c r="F10821" s="35"/>
    </row>
    <row r="10822" spans="6:6">
      <c r="F10822" s="35"/>
    </row>
    <row r="10823" spans="6:6">
      <c r="F10823" s="35"/>
    </row>
    <row r="10824" spans="6:6">
      <c r="F10824" s="35"/>
    </row>
    <row r="10825" spans="6:6">
      <c r="F10825" s="35"/>
    </row>
    <row r="10826" spans="6:6">
      <c r="F10826" s="35"/>
    </row>
    <row r="10827" spans="6:6">
      <c r="F10827" s="35"/>
    </row>
    <row r="10828" spans="6:6">
      <c r="F10828" s="35"/>
    </row>
    <row r="10829" spans="6:6">
      <c r="F10829" s="35"/>
    </row>
    <row r="10830" spans="6:6">
      <c r="F10830" s="35"/>
    </row>
    <row r="10831" spans="6:6">
      <c r="F10831" s="35"/>
    </row>
    <row r="10832" spans="6:6">
      <c r="F10832" s="35"/>
    </row>
    <row r="10833" spans="6:6">
      <c r="F10833" s="35"/>
    </row>
    <row r="10834" spans="6:6">
      <c r="F10834" s="35"/>
    </row>
    <row r="10835" spans="6:6">
      <c r="F10835" s="35"/>
    </row>
    <row r="10836" spans="6:6">
      <c r="F10836" s="35"/>
    </row>
    <row r="10837" spans="6:6">
      <c r="F10837" s="35"/>
    </row>
    <row r="10838" spans="6:6">
      <c r="F10838" s="35"/>
    </row>
    <row r="10839" spans="6:6">
      <c r="F10839" s="35"/>
    </row>
    <row r="10840" spans="6:6">
      <c r="F10840" s="35"/>
    </row>
    <row r="10841" spans="6:6">
      <c r="F10841" s="35"/>
    </row>
    <row r="10842" spans="6:6">
      <c r="F10842" s="35"/>
    </row>
    <row r="10843" spans="6:6">
      <c r="F10843" s="35"/>
    </row>
    <row r="10844" spans="6:6">
      <c r="F10844" s="35"/>
    </row>
    <row r="10845" spans="6:6">
      <c r="F10845" s="35"/>
    </row>
    <row r="10846" spans="6:6">
      <c r="F10846" s="35"/>
    </row>
    <row r="10847" spans="6:6">
      <c r="F10847" s="35"/>
    </row>
    <row r="10848" spans="6:6">
      <c r="F10848" s="35"/>
    </row>
    <row r="10849" spans="6:6">
      <c r="F10849" s="35"/>
    </row>
    <row r="10850" spans="6:6">
      <c r="F10850" s="35"/>
    </row>
    <row r="10851" spans="6:6">
      <c r="F10851" s="35"/>
    </row>
    <row r="10852" spans="6:6">
      <c r="F10852" s="35"/>
    </row>
    <row r="10853" spans="6:6">
      <c r="F10853" s="35"/>
    </row>
    <row r="10854" spans="6:6">
      <c r="F10854" s="35"/>
    </row>
    <row r="10855" spans="6:6">
      <c r="F10855" s="35"/>
    </row>
    <row r="10856" spans="6:6">
      <c r="F10856" s="35"/>
    </row>
    <row r="10857" spans="6:6">
      <c r="F10857" s="35"/>
    </row>
    <row r="10858" spans="6:6">
      <c r="F10858" s="35"/>
    </row>
    <row r="10859" spans="6:6">
      <c r="F10859" s="35"/>
    </row>
    <row r="10860" spans="6:6">
      <c r="F10860" s="35"/>
    </row>
    <row r="10861" spans="6:6">
      <c r="F10861" s="35"/>
    </row>
    <row r="10862" spans="6:6">
      <c r="F10862" s="35"/>
    </row>
    <row r="10863" spans="6:6">
      <c r="F10863" s="35"/>
    </row>
    <row r="10864" spans="6:6">
      <c r="F10864" s="35"/>
    </row>
    <row r="10865" spans="6:6">
      <c r="F10865" s="35"/>
    </row>
    <row r="10866" spans="6:6">
      <c r="F10866" s="35"/>
    </row>
    <row r="10867" spans="6:6">
      <c r="F10867" s="35"/>
    </row>
    <row r="10868" spans="6:6">
      <c r="F10868" s="35"/>
    </row>
    <row r="10869" spans="6:6">
      <c r="F10869" s="35"/>
    </row>
    <row r="10870" spans="6:6">
      <c r="F10870" s="35"/>
    </row>
    <row r="10871" spans="6:6">
      <c r="F10871" s="35"/>
    </row>
    <row r="10872" spans="6:6">
      <c r="F10872" s="35"/>
    </row>
    <row r="10873" spans="6:6">
      <c r="F10873" s="35"/>
    </row>
    <row r="10874" spans="6:6">
      <c r="F10874" s="35"/>
    </row>
    <row r="10875" spans="6:6">
      <c r="F10875" s="35"/>
    </row>
    <row r="10876" spans="6:6">
      <c r="F10876" s="35"/>
    </row>
    <row r="10877" spans="6:6">
      <c r="F10877" s="35"/>
    </row>
    <row r="10878" spans="6:6">
      <c r="F10878" s="35"/>
    </row>
    <row r="10879" spans="6:6">
      <c r="F10879" s="35"/>
    </row>
    <row r="10880" spans="6:6">
      <c r="F10880" s="35"/>
    </row>
    <row r="10881" spans="6:6">
      <c r="F10881" s="35"/>
    </row>
    <row r="10882" spans="6:6">
      <c r="F10882" s="35"/>
    </row>
    <row r="10883" spans="6:6">
      <c r="F10883" s="35"/>
    </row>
    <row r="10884" spans="6:6">
      <c r="F10884" s="35"/>
    </row>
    <row r="10885" spans="6:6">
      <c r="F10885" s="35"/>
    </row>
    <row r="10886" spans="6:6">
      <c r="F10886" s="35"/>
    </row>
    <row r="10887" spans="6:6">
      <c r="F10887" s="35"/>
    </row>
    <row r="10888" spans="6:6">
      <c r="F10888" s="35"/>
    </row>
    <row r="10889" spans="6:6">
      <c r="F10889" s="35"/>
    </row>
    <row r="10890" spans="6:6">
      <c r="F10890" s="35"/>
    </row>
    <row r="10891" spans="6:6">
      <c r="F10891" s="35"/>
    </row>
    <row r="10892" spans="6:6">
      <c r="F10892" s="35"/>
    </row>
    <row r="10893" spans="6:6">
      <c r="F10893" s="35"/>
    </row>
    <row r="10894" spans="6:6">
      <c r="F10894" s="35"/>
    </row>
    <row r="10895" spans="6:6">
      <c r="F10895" s="35"/>
    </row>
    <row r="10896" spans="6:6">
      <c r="F10896" s="35"/>
    </row>
    <row r="10897" spans="6:6">
      <c r="F10897" s="35"/>
    </row>
    <row r="10898" spans="6:6">
      <c r="F10898" s="35"/>
    </row>
    <row r="10899" spans="6:6">
      <c r="F10899" s="35"/>
    </row>
    <row r="10900" spans="6:6">
      <c r="F10900" s="35"/>
    </row>
    <row r="10901" spans="6:6">
      <c r="F10901" s="35"/>
    </row>
    <row r="10902" spans="6:6">
      <c r="F10902" s="35"/>
    </row>
    <row r="10903" spans="6:6">
      <c r="F10903" s="35"/>
    </row>
    <row r="10904" spans="6:6">
      <c r="F10904" s="35"/>
    </row>
    <row r="10905" spans="6:6">
      <c r="F10905" s="35"/>
    </row>
    <row r="10906" spans="6:6">
      <c r="F10906" s="35"/>
    </row>
    <row r="10907" spans="6:6">
      <c r="F10907" s="35"/>
    </row>
    <row r="10908" spans="6:6">
      <c r="F10908" s="35"/>
    </row>
    <row r="10909" spans="6:6">
      <c r="F10909" s="35"/>
    </row>
    <row r="10910" spans="6:6">
      <c r="F10910" s="35"/>
    </row>
    <row r="10911" spans="6:6">
      <c r="F10911" s="35"/>
    </row>
    <row r="10912" spans="6:6">
      <c r="F10912" s="35"/>
    </row>
    <row r="10913" spans="6:6">
      <c r="F10913" s="35"/>
    </row>
    <row r="10914" spans="6:6">
      <c r="F10914" s="35"/>
    </row>
    <row r="10915" spans="6:6">
      <c r="F10915" s="35"/>
    </row>
    <row r="10916" spans="6:6">
      <c r="F10916" s="35"/>
    </row>
    <row r="10917" spans="6:6">
      <c r="F10917" s="35"/>
    </row>
    <row r="10918" spans="6:6">
      <c r="F10918" s="35"/>
    </row>
    <row r="10919" spans="6:6">
      <c r="F10919" s="35"/>
    </row>
    <row r="10920" spans="6:6">
      <c r="F10920" s="35"/>
    </row>
    <row r="10921" spans="6:6">
      <c r="F10921" s="35"/>
    </row>
    <row r="10922" spans="6:6">
      <c r="F10922" s="35"/>
    </row>
    <row r="10923" spans="6:6">
      <c r="F10923" s="35"/>
    </row>
    <row r="10924" spans="6:6">
      <c r="F10924" s="35"/>
    </row>
    <row r="10925" spans="6:6">
      <c r="F10925" s="35"/>
    </row>
    <row r="10926" spans="6:6">
      <c r="F10926" s="35"/>
    </row>
    <row r="10927" spans="6:6">
      <c r="F10927" s="35"/>
    </row>
    <row r="10928" spans="6:6">
      <c r="F10928" s="35"/>
    </row>
    <row r="10929" spans="6:6">
      <c r="F10929" s="35"/>
    </row>
    <row r="10930" spans="6:6">
      <c r="F10930" s="35"/>
    </row>
    <row r="10931" spans="6:6">
      <c r="F10931" s="35"/>
    </row>
    <row r="10932" spans="6:6">
      <c r="F10932" s="35"/>
    </row>
    <row r="10933" spans="6:6">
      <c r="F10933" s="35"/>
    </row>
    <row r="10934" spans="6:6">
      <c r="F10934" s="35"/>
    </row>
    <row r="10935" spans="6:6">
      <c r="F10935" s="35"/>
    </row>
    <row r="10936" spans="6:6">
      <c r="F10936" s="35"/>
    </row>
    <row r="10937" spans="6:6">
      <c r="F10937" s="35"/>
    </row>
    <row r="10938" spans="6:6">
      <c r="F10938" s="35"/>
    </row>
    <row r="10939" spans="6:6">
      <c r="F10939" s="35"/>
    </row>
    <row r="10940" spans="6:6">
      <c r="F10940" s="35"/>
    </row>
    <row r="10941" spans="6:6">
      <c r="F10941" s="35"/>
    </row>
    <row r="10942" spans="6:6">
      <c r="F10942" s="35"/>
    </row>
    <row r="10943" spans="6:6">
      <c r="F10943" s="35"/>
    </row>
    <row r="10944" spans="6:6">
      <c r="F10944" s="35"/>
    </row>
    <row r="10945" spans="6:6">
      <c r="F10945" s="35"/>
    </row>
    <row r="10946" spans="6:6">
      <c r="F10946" s="35"/>
    </row>
    <row r="10947" spans="6:6">
      <c r="F10947" s="35"/>
    </row>
    <row r="10948" spans="6:6">
      <c r="F10948" s="35"/>
    </row>
    <row r="10949" spans="6:6">
      <c r="F10949" s="35"/>
    </row>
    <row r="10950" spans="6:6">
      <c r="F10950" s="35"/>
    </row>
    <row r="10951" spans="6:6">
      <c r="F10951" s="35"/>
    </row>
    <row r="10952" spans="6:6">
      <c r="F10952" s="35"/>
    </row>
    <row r="10953" spans="6:6">
      <c r="F10953" s="35"/>
    </row>
    <row r="10954" spans="6:6">
      <c r="F10954" s="35"/>
    </row>
    <row r="10955" spans="6:6">
      <c r="F10955" s="35"/>
    </row>
    <row r="10956" spans="6:6">
      <c r="F10956" s="35"/>
    </row>
    <row r="10957" spans="6:6">
      <c r="F10957" s="35"/>
    </row>
    <row r="10958" spans="6:6">
      <c r="F10958" s="35"/>
    </row>
    <row r="10959" spans="6:6">
      <c r="F10959" s="35"/>
    </row>
    <row r="10960" spans="6:6">
      <c r="F10960" s="35"/>
    </row>
    <row r="10961" spans="6:6">
      <c r="F10961" s="35"/>
    </row>
    <row r="10962" spans="6:6">
      <c r="F10962" s="35"/>
    </row>
    <row r="10963" spans="6:6">
      <c r="F10963" s="35"/>
    </row>
    <row r="10964" spans="6:6">
      <c r="F10964" s="35"/>
    </row>
    <row r="10965" spans="6:6">
      <c r="F10965" s="35"/>
    </row>
    <row r="10966" spans="6:6">
      <c r="F10966" s="35"/>
    </row>
    <row r="10967" spans="6:6">
      <c r="F10967" s="35"/>
    </row>
    <row r="10968" spans="6:6">
      <c r="F10968" s="35"/>
    </row>
    <row r="10969" spans="6:6">
      <c r="F10969" s="35"/>
    </row>
    <row r="10970" spans="6:6">
      <c r="F10970" s="35"/>
    </row>
    <row r="10971" spans="6:6">
      <c r="F10971" s="35"/>
    </row>
    <row r="10972" spans="6:6">
      <c r="F10972" s="35"/>
    </row>
    <row r="10973" spans="6:6">
      <c r="F10973" s="35"/>
    </row>
    <row r="10974" spans="6:6">
      <c r="F10974" s="35"/>
    </row>
    <row r="10975" spans="6:6">
      <c r="F10975" s="35"/>
    </row>
    <row r="10976" spans="6:6">
      <c r="F10976" s="35"/>
    </row>
    <row r="10977" spans="6:6">
      <c r="F10977" s="35"/>
    </row>
    <row r="10978" spans="6:6">
      <c r="F10978" s="35"/>
    </row>
    <row r="10979" spans="6:6">
      <c r="F10979" s="35"/>
    </row>
    <row r="10980" spans="6:6">
      <c r="F10980" s="35"/>
    </row>
    <row r="10981" spans="6:6">
      <c r="F10981" s="35"/>
    </row>
    <row r="10982" spans="6:6">
      <c r="F10982" s="35"/>
    </row>
    <row r="10983" spans="6:6">
      <c r="F10983" s="35"/>
    </row>
    <row r="10984" spans="6:6">
      <c r="F10984" s="35"/>
    </row>
    <row r="10985" spans="6:6">
      <c r="F10985" s="35"/>
    </row>
    <row r="10986" spans="6:6">
      <c r="F10986" s="35"/>
    </row>
    <row r="10987" spans="6:6">
      <c r="F10987" s="35"/>
    </row>
    <row r="10988" spans="6:6">
      <c r="F10988" s="35"/>
    </row>
    <row r="10989" spans="6:6">
      <c r="F10989" s="35"/>
    </row>
    <row r="10990" spans="6:6">
      <c r="F10990" s="35"/>
    </row>
    <row r="10991" spans="6:6">
      <c r="F10991" s="35"/>
    </row>
    <row r="10992" spans="6:6">
      <c r="F10992" s="35"/>
    </row>
    <row r="10993" spans="6:6">
      <c r="F10993" s="35"/>
    </row>
    <row r="10994" spans="6:6">
      <c r="F10994" s="35"/>
    </row>
    <row r="10995" spans="6:6">
      <c r="F10995" s="35"/>
    </row>
    <row r="10996" spans="6:6">
      <c r="F10996" s="35"/>
    </row>
    <row r="10997" spans="6:6">
      <c r="F10997" s="35"/>
    </row>
    <row r="10998" spans="6:6">
      <c r="F10998" s="35"/>
    </row>
    <row r="10999" spans="6:6">
      <c r="F10999" s="35"/>
    </row>
    <row r="11000" spans="6:6">
      <c r="F11000" s="35"/>
    </row>
    <row r="11001" spans="6:6">
      <c r="F11001" s="35"/>
    </row>
    <row r="11002" spans="6:6">
      <c r="F11002" s="35"/>
    </row>
    <row r="11003" spans="6:6">
      <c r="F11003" s="35"/>
    </row>
    <row r="11004" spans="6:6">
      <c r="F11004" s="35"/>
    </row>
    <row r="11005" spans="6:6">
      <c r="F11005" s="35"/>
    </row>
    <row r="11006" spans="6:6">
      <c r="F11006" s="35"/>
    </row>
    <row r="11007" spans="6:6">
      <c r="F11007" s="35"/>
    </row>
    <row r="11008" spans="6:6">
      <c r="F11008" s="35"/>
    </row>
    <row r="11009" spans="6:6">
      <c r="F11009" s="35"/>
    </row>
    <row r="11010" spans="6:6">
      <c r="F11010" s="35"/>
    </row>
    <row r="11011" spans="6:6">
      <c r="F11011" s="35"/>
    </row>
    <row r="11012" spans="6:6">
      <c r="F11012" s="35"/>
    </row>
    <row r="11013" spans="6:6">
      <c r="F11013" s="35"/>
    </row>
    <row r="11014" spans="6:6">
      <c r="F11014" s="35"/>
    </row>
    <row r="11015" spans="6:6">
      <c r="F11015" s="35"/>
    </row>
    <row r="11016" spans="6:6">
      <c r="F11016" s="35"/>
    </row>
    <row r="11017" spans="6:6">
      <c r="F11017" s="35"/>
    </row>
    <row r="11018" spans="6:6">
      <c r="F11018" s="35"/>
    </row>
    <row r="11019" spans="6:6">
      <c r="F11019" s="35"/>
    </row>
    <row r="11020" spans="6:6">
      <c r="F11020" s="35"/>
    </row>
    <row r="11021" spans="6:6">
      <c r="F11021" s="35"/>
    </row>
    <row r="11022" spans="6:6">
      <c r="F11022" s="35"/>
    </row>
    <row r="11023" spans="6:6">
      <c r="F11023" s="35"/>
    </row>
    <row r="11024" spans="6:6">
      <c r="F11024" s="35"/>
    </row>
    <row r="11025" spans="6:6">
      <c r="F11025" s="35"/>
    </row>
    <row r="11026" spans="6:6">
      <c r="F11026" s="35"/>
    </row>
    <row r="11027" spans="6:6">
      <c r="F11027" s="35"/>
    </row>
    <row r="11028" spans="6:6">
      <c r="F11028" s="35"/>
    </row>
    <row r="11029" spans="6:6">
      <c r="F11029" s="35"/>
    </row>
    <row r="11030" spans="6:6">
      <c r="F11030" s="35"/>
    </row>
    <row r="11031" spans="6:6">
      <c r="F11031" s="35"/>
    </row>
    <row r="11032" spans="6:6">
      <c r="F11032" s="35"/>
    </row>
    <row r="11033" spans="6:6">
      <c r="F11033" s="35"/>
    </row>
    <row r="11034" spans="6:6">
      <c r="F11034" s="35"/>
    </row>
    <row r="11035" spans="6:6">
      <c r="F11035" s="35"/>
    </row>
    <row r="11036" spans="6:6">
      <c r="F11036" s="35"/>
    </row>
    <row r="11037" spans="6:6">
      <c r="F11037" s="35"/>
    </row>
    <row r="11038" spans="6:6">
      <c r="F11038" s="35"/>
    </row>
    <row r="11039" spans="6:6">
      <c r="F11039" s="35"/>
    </row>
    <row r="11040" spans="6:6">
      <c r="F11040" s="35"/>
    </row>
    <row r="11041" spans="6:6">
      <c r="F11041" s="35"/>
    </row>
    <row r="11042" spans="6:6">
      <c r="F11042" s="35"/>
    </row>
    <row r="11043" spans="6:6">
      <c r="F11043" s="35"/>
    </row>
    <row r="11044" spans="6:6">
      <c r="F11044" s="35"/>
    </row>
    <row r="11045" spans="6:6">
      <c r="F11045" s="35"/>
    </row>
    <row r="11046" spans="6:6">
      <c r="F11046" s="35"/>
    </row>
    <row r="11047" spans="6:6">
      <c r="F11047" s="35"/>
    </row>
    <row r="11048" spans="6:6">
      <c r="F11048" s="35"/>
    </row>
    <row r="11049" spans="6:6">
      <c r="F11049" s="35"/>
    </row>
    <row r="11050" spans="6:6">
      <c r="F11050" s="35"/>
    </row>
    <row r="11051" spans="6:6">
      <c r="F11051" s="35"/>
    </row>
    <row r="11052" spans="6:6">
      <c r="F11052" s="35"/>
    </row>
    <row r="11053" spans="6:6">
      <c r="F11053" s="35"/>
    </row>
    <row r="11054" spans="6:6">
      <c r="F11054" s="35"/>
    </row>
    <row r="11055" spans="6:6">
      <c r="F11055" s="35"/>
    </row>
    <row r="11056" spans="6:6">
      <c r="F11056" s="35"/>
    </row>
    <row r="11057" spans="6:6">
      <c r="F11057" s="35"/>
    </row>
    <row r="11058" spans="6:6">
      <c r="F11058" s="35"/>
    </row>
    <row r="11059" spans="6:6">
      <c r="F11059" s="35"/>
    </row>
    <row r="11060" spans="6:6">
      <c r="F11060" s="35"/>
    </row>
    <row r="11061" spans="6:6">
      <c r="F11061" s="35"/>
    </row>
    <row r="11062" spans="6:6">
      <c r="F11062" s="35"/>
    </row>
    <row r="11063" spans="6:6">
      <c r="F11063" s="35"/>
    </row>
    <row r="11064" spans="6:6">
      <c r="F11064" s="35"/>
    </row>
    <row r="11065" spans="6:6">
      <c r="F11065" s="35"/>
    </row>
    <row r="11066" spans="6:6">
      <c r="F11066" s="35"/>
    </row>
    <row r="11067" spans="6:6">
      <c r="F11067" s="35"/>
    </row>
    <row r="11068" spans="6:6">
      <c r="F11068" s="35"/>
    </row>
    <row r="11069" spans="6:6">
      <c r="F11069" s="35"/>
    </row>
    <row r="11070" spans="6:6">
      <c r="F11070" s="35"/>
    </row>
    <row r="11071" spans="6:6">
      <c r="F11071" s="35"/>
    </row>
    <row r="11072" spans="6:6">
      <c r="F11072" s="35"/>
    </row>
    <row r="11073" spans="6:6">
      <c r="F11073" s="35"/>
    </row>
    <row r="11074" spans="6:6">
      <c r="F11074" s="35"/>
    </row>
    <row r="11075" spans="6:6">
      <c r="F11075" s="35"/>
    </row>
    <row r="11076" spans="6:6">
      <c r="F11076" s="35"/>
    </row>
    <row r="11077" spans="6:6">
      <c r="F11077" s="35"/>
    </row>
    <row r="11078" spans="6:6">
      <c r="F11078" s="35"/>
    </row>
    <row r="11079" spans="6:6">
      <c r="F11079" s="35"/>
    </row>
    <row r="11080" spans="6:6">
      <c r="F11080" s="35"/>
    </row>
    <row r="11081" spans="6:6">
      <c r="F11081" s="35"/>
    </row>
    <row r="11082" spans="6:6">
      <c r="F11082" s="35"/>
    </row>
    <row r="11083" spans="6:6">
      <c r="F11083" s="35"/>
    </row>
    <row r="11084" spans="6:6">
      <c r="F11084" s="35"/>
    </row>
    <row r="11085" spans="6:6">
      <c r="F11085" s="35"/>
    </row>
    <row r="11086" spans="6:6">
      <c r="F11086" s="35"/>
    </row>
    <row r="11087" spans="6:6">
      <c r="F11087" s="35"/>
    </row>
    <row r="11088" spans="6:6">
      <c r="F11088" s="35"/>
    </row>
    <row r="11089" spans="6:6">
      <c r="F11089" s="35"/>
    </row>
    <row r="11090" spans="6:6">
      <c r="F11090" s="35"/>
    </row>
    <row r="11091" spans="6:6">
      <c r="F11091" s="35"/>
    </row>
    <row r="11092" spans="6:6">
      <c r="F11092" s="35"/>
    </row>
    <row r="11093" spans="6:6">
      <c r="F11093" s="35"/>
    </row>
    <row r="11094" spans="6:6">
      <c r="F11094" s="35"/>
    </row>
    <row r="11095" spans="6:6">
      <c r="F11095" s="35"/>
    </row>
    <row r="11096" spans="6:6">
      <c r="F11096" s="35"/>
    </row>
    <row r="11097" spans="6:6">
      <c r="F11097" s="35"/>
    </row>
    <row r="11098" spans="6:6">
      <c r="F11098" s="35"/>
    </row>
    <row r="11099" spans="6:6">
      <c r="F11099" s="35"/>
    </row>
    <row r="11100" spans="6:6">
      <c r="F11100" s="35"/>
    </row>
    <row r="11101" spans="6:6">
      <c r="F11101" s="35"/>
    </row>
    <row r="11102" spans="6:6">
      <c r="F11102" s="35"/>
    </row>
    <row r="11103" spans="6:6">
      <c r="F11103" s="35"/>
    </row>
    <row r="11104" spans="6:6">
      <c r="F11104" s="35"/>
    </row>
    <row r="11105" spans="6:6">
      <c r="F11105" s="35"/>
    </row>
    <row r="11106" spans="6:6">
      <c r="F11106" s="35"/>
    </row>
    <row r="11107" spans="6:6">
      <c r="F11107" s="35"/>
    </row>
    <row r="11108" spans="6:6">
      <c r="F11108" s="35"/>
    </row>
    <row r="11109" spans="6:6">
      <c r="F11109" s="35"/>
    </row>
    <row r="11110" spans="6:6">
      <c r="F11110" s="35"/>
    </row>
    <row r="11111" spans="6:6">
      <c r="F11111" s="35"/>
    </row>
    <row r="11112" spans="6:6">
      <c r="F11112" s="35"/>
    </row>
    <row r="11113" spans="6:6">
      <c r="F11113" s="35"/>
    </row>
    <row r="11114" spans="6:6">
      <c r="F11114" s="35"/>
    </row>
    <row r="11115" spans="6:6">
      <c r="F11115" s="35"/>
    </row>
    <row r="11116" spans="6:6">
      <c r="F11116" s="35"/>
    </row>
    <row r="11117" spans="6:6">
      <c r="F11117" s="35"/>
    </row>
    <row r="11118" spans="6:6">
      <c r="F11118" s="35"/>
    </row>
    <row r="11119" spans="6:6">
      <c r="F11119" s="35"/>
    </row>
    <row r="11120" spans="6:6">
      <c r="F11120" s="35"/>
    </row>
    <row r="11121" spans="6:6">
      <c r="F11121" s="35"/>
    </row>
    <row r="11122" spans="6:6">
      <c r="F11122" s="35"/>
    </row>
    <row r="11123" spans="6:6">
      <c r="F11123" s="35"/>
    </row>
    <row r="11124" spans="6:6">
      <c r="F11124" s="35"/>
    </row>
    <row r="11125" spans="6:6">
      <c r="F11125" s="35"/>
    </row>
    <row r="11126" spans="6:6">
      <c r="F11126" s="35"/>
    </row>
    <row r="11127" spans="6:6">
      <c r="F11127" s="35"/>
    </row>
    <row r="11128" spans="6:6">
      <c r="F11128" s="35"/>
    </row>
    <row r="11129" spans="6:6">
      <c r="F11129" s="35"/>
    </row>
    <row r="11130" spans="6:6">
      <c r="F11130" s="35"/>
    </row>
    <row r="11131" spans="6:6">
      <c r="F11131" s="35"/>
    </row>
    <row r="11132" spans="6:6">
      <c r="F11132" s="35"/>
    </row>
    <row r="11133" spans="6:6">
      <c r="F11133" s="35"/>
    </row>
    <row r="11134" spans="6:6">
      <c r="F11134" s="35"/>
    </row>
    <row r="11135" spans="6:6">
      <c r="F11135" s="35"/>
    </row>
    <row r="11136" spans="6:6">
      <c r="F11136" s="35"/>
    </row>
    <row r="11137" spans="6:6">
      <c r="F11137" s="35"/>
    </row>
    <row r="11138" spans="6:6">
      <c r="F11138" s="35"/>
    </row>
    <row r="11139" spans="6:6">
      <c r="F11139" s="35"/>
    </row>
    <row r="11140" spans="6:6">
      <c r="F11140" s="35"/>
    </row>
    <row r="11141" spans="6:6">
      <c r="F11141" s="35"/>
    </row>
    <row r="11142" spans="6:6">
      <c r="F11142" s="35"/>
    </row>
    <row r="11143" spans="6:6">
      <c r="F11143" s="35"/>
    </row>
    <row r="11144" spans="6:6">
      <c r="F11144" s="35"/>
    </row>
    <row r="11145" spans="6:6">
      <c r="F11145" s="35"/>
    </row>
    <row r="11146" spans="6:6">
      <c r="F11146" s="35"/>
    </row>
    <row r="11147" spans="6:6">
      <c r="F11147" s="35"/>
    </row>
    <row r="11148" spans="6:6">
      <c r="F11148" s="35"/>
    </row>
    <row r="11149" spans="6:6">
      <c r="F11149" s="35"/>
    </row>
    <row r="11150" spans="6:6">
      <c r="F11150" s="35"/>
    </row>
    <row r="11151" spans="6:6">
      <c r="F11151" s="35"/>
    </row>
    <row r="11152" spans="6:6">
      <c r="F11152" s="35"/>
    </row>
    <row r="11153" spans="6:6">
      <c r="F11153" s="35"/>
    </row>
    <row r="11154" spans="6:6">
      <c r="F11154" s="35"/>
    </row>
    <row r="11155" spans="6:6">
      <c r="F11155" s="35"/>
    </row>
    <row r="11156" spans="6:6">
      <c r="F11156" s="35"/>
    </row>
    <row r="11157" spans="6:6">
      <c r="F11157" s="35"/>
    </row>
    <row r="11158" spans="6:6">
      <c r="F11158" s="35"/>
    </row>
    <row r="11159" spans="6:6">
      <c r="F11159" s="35"/>
    </row>
    <row r="11160" spans="6:6">
      <c r="F11160" s="35"/>
    </row>
    <row r="11161" spans="6:6">
      <c r="F11161" s="35"/>
    </row>
    <row r="11162" spans="6:6">
      <c r="F11162" s="35"/>
    </row>
    <row r="11163" spans="6:6">
      <c r="F11163" s="35"/>
    </row>
    <row r="11164" spans="6:6">
      <c r="F11164" s="35"/>
    </row>
    <row r="11165" spans="6:6">
      <c r="F11165" s="35"/>
    </row>
    <row r="11166" spans="6:6">
      <c r="F11166" s="35"/>
    </row>
    <row r="11167" spans="6:6">
      <c r="F11167" s="35"/>
    </row>
    <row r="11168" spans="6:6">
      <c r="F11168" s="35"/>
    </row>
    <row r="11169" spans="6:6">
      <c r="F11169" s="35"/>
    </row>
    <row r="11170" spans="6:6">
      <c r="F11170" s="35"/>
    </row>
    <row r="11171" spans="6:6">
      <c r="F11171" s="35"/>
    </row>
    <row r="11172" spans="6:6">
      <c r="F11172" s="35"/>
    </row>
    <row r="11173" spans="6:6">
      <c r="F11173" s="35"/>
    </row>
    <row r="11174" spans="6:6">
      <c r="F11174" s="35"/>
    </row>
    <row r="11175" spans="6:6">
      <c r="F11175" s="35"/>
    </row>
    <row r="11176" spans="6:6">
      <c r="F11176" s="35"/>
    </row>
    <row r="11177" spans="6:6">
      <c r="F11177" s="35"/>
    </row>
    <row r="11178" spans="6:6">
      <c r="F11178" s="35"/>
    </row>
    <row r="11179" spans="6:6">
      <c r="F11179" s="35"/>
    </row>
    <row r="11180" spans="6:6">
      <c r="F11180" s="35"/>
    </row>
    <row r="11181" spans="6:6">
      <c r="F11181" s="35"/>
    </row>
    <row r="11182" spans="6:6">
      <c r="F11182" s="35"/>
    </row>
    <row r="11183" spans="6:6">
      <c r="F11183" s="35"/>
    </row>
    <row r="11184" spans="6:6">
      <c r="F11184" s="35"/>
    </row>
    <row r="11185" spans="6:6">
      <c r="F11185" s="35"/>
    </row>
    <row r="11186" spans="6:6">
      <c r="F11186" s="35"/>
    </row>
    <row r="11187" spans="6:6">
      <c r="F11187" s="35"/>
    </row>
    <row r="11188" spans="6:6">
      <c r="F11188" s="35"/>
    </row>
    <row r="11189" spans="6:6">
      <c r="F11189" s="35"/>
    </row>
    <row r="11190" spans="6:6">
      <c r="F11190" s="35"/>
    </row>
    <row r="11191" spans="6:6">
      <c r="F11191" s="35"/>
    </row>
    <row r="11192" spans="6:6">
      <c r="F11192" s="35"/>
    </row>
    <row r="11193" spans="6:6">
      <c r="F11193" s="35"/>
    </row>
    <row r="11194" spans="6:6">
      <c r="F11194" s="35"/>
    </row>
    <row r="11195" spans="6:6">
      <c r="F11195" s="35"/>
    </row>
    <row r="11196" spans="6:6">
      <c r="F11196" s="35"/>
    </row>
    <row r="11197" spans="6:6">
      <c r="F11197" s="35"/>
    </row>
    <row r="11198" spans="6:6">
      <c r="F11198" s="35"/>
    </row>
    <row r="11199" spans="6:6">
      <c r="F11199" s="35"/>
    </row>
    <row r="11200" spans="6:6">
      <c r="F11200" s="35"/>
    </row>
    <row r="11201" spans="6:6">
      <c r="F11201" s="35"/>
    </row>
    <row r="11202" spans="6:6">
      <c r="F11202" s="35"/>
    </row>
    <row r="11203" spans="6:6">
      <c r="F11203" s="35"/>
    </row>
    <row r="11204" spans="6:6">
      <c r="F11204" s="35"/>
    </row>
    <row r="11205" spans="6:6">
      <c r="F11205" s="35"/>
    </row>
    <row r="11206" spans="6:6">
      <c r="F11206" s="35"/>
    </row>
    <row r="11207" spans="6:6">
      <c r="F11207" s="35"/>
    </row>
    <row r="11208" spans="6:6">
      <c r="F11208" s="35"/>
    </row>
    <row r="11209" spans="6:6">
      <c r="F11209" s="35"/>
    </row>
    <row r="11210" spans="6:6">
      <c r="F11210" s="35"/>
    </row>
    <row r="11211" spans="6:6">
      <c r="F11211" s="35"/>
    </row>
    <row r="11212" spans="6:6">
      <c r="F11212" s="35"/>
    </row>
    <row r="11213" spans="6:6">
      <c r="F11213" s="35"/>
    </row>
    <row r="11214" spans="6:6">
      <c r="F11214" s="35"/>
    </row>
    <row r="11215" spans="6:6">
      <c r="F11215" s="35"/>
    </row>
    <row r="11216" spans="6:6">
      <c r="F11216" s="35"/>
    </row>
    <row r="11217" spans="6:6">
      <c r="F11217" s="35"/>
    </row>
    <row r="11218" spans="6:6">
      <c r="F11218" s="35"/>
    </row>
    <row r="11219" spans="6:6">
      <c r="F11219" s="35"/>
    </row>
    <row r="11220" spans="6:6">
      <c r="F11220" s="35"/>
    </row>
    <row r="11221" spans="6:6">
      <c r="F11221" s="35"/>
    </row>
    <row r="11222" spans="6:6">
      <c r="F11222" s="35"/>
    </row>
    <row r="11223" spans="6:6">
      <c r="F11223" s="35"/>
    </row>
    <row r="11224" spans="6:6">
      <c r="F11224" s="35"/>
    </row>
    <row r="11225" spans="6:6">
      <c r="F11225" s="35"/>
    </row>
    <row r="11226" spans="6:6">
      <c r="F11226" s="35"/>
    </row>
    <row r="11227" spans="6:6">
      <c r="F11227" s="35"/>
    </row>
    <row r="11228" spans="6:6">
      <c r="F11228" s="35"/>
    </row>
    <row r="11229" spans="6:6">
      <c r="F11229" s="35"/>
    </row>
    <row r="11230" spans="6:6">
      <c r="F11230" s="35"/>
    </row>
    <row r="11231" spans="6:6">
      <c r="F11231" s="35"/>
    </row>
    <row r="11232" spans="6:6">
      <c r="F11232" s="35"/>
    </row>
    <row r="11233" spans="6:6">
      <c r="F11233" s="35"/>
    </row>
    <row r="11234" spans="6:6">
      <c r="F11234" s="35"/>
    </row>
    <row r="11235" spans="6:6">
      <c r="F11235" s="35"/>
    </row>
    <row r="11236" spans="6:6">
      <c r="F11236" s="35"/>
    </row>
    <row r="11237" spans="6:6">
      <c r="F11237" s="35"/>
    </row>
    <row r="11238" spans="6:6">
      <c r="F11238" s="35"/>
    </row>
    <row r="11239" spans="6:6">
      <c r="F11239" s="35"/>
    </row>
    <row r="11240" spans="6:6">
      <c r="F11240" s="35"/>
    </row>
    <row r="11241" spans="6:6">
      <c r="F11241" s="35"/>
    </row>
    <row r="11242" spans="6:6">
      <c r="F11242" s="35"/>
    </row>
    <row r="11243" spans="6:6">
      <c r="F11243" s="35"/>
    </row>
    <row r="11244" spans="6:6">
      <c r="F11244" s="35"/>
    </row>
    <row r="11245" spans="6:6">
      <c r="F11245" s="35"/>
    </row>
    <row r="11246" spans="6:6">
      <c r="F11246" s="35"/>
    </row>
    <row r="11247" spans="6:6">
      <c r="F11247" s="35"/>
    </row>
    <row r="11248" spans="6:6">
      <c r="F11248" s="35"/>
    </row>
    <row r="11249" spans="6:6">
      <c r="F11249" s="35"/>
    </row>
    <row r="11250" spans="6:6">
      <c r="F11250" s="35"/>
    </row>
    <row r="11251" spans="6:6">
      <c r="F11251" s="35"/>
    </row>
    <row r="11252" spans="6:6">
      <c r="F11252" s="35"/>
    </row>
    <row r="11253" spans="6:6">
      <c r="F11253" s="35"/>
    </row>
    <row r="11254" spans="6:6">
      <c r="F11254" s="35"/>
    </row>
    <row r="11255" spans="6:6">
      <c r="F11255" s="35"/>
    </row>
    <row r="11256" spans="6:6">
      <c r="F11256" s="35"/>
    </row>
    <row r="11257" spans="6:6">
      <c r="F11257" s="35"/>
    </row>
    <row r="11258" spans="6:6">
      <c r="F11258" s="35"/>
    </row>
    <row r="11259" spans="6:6">
      <c r="F11259" s="35"/>
    </row>
    <row r="11260" spans="6:6">
      <c r="F11260" s="35"/>
    </row>
    <row r="11261" spans="6:6">
      <c r="F11261" s="35"/>
    </row>
    <row r="11262" spans="6:6">
      <c r="F11262" s="35"/>
    </row>
    <row r="11263" spans="6:6">
      <c r="F11263" s="35"/>
    </row>
    <row r="11264" spans="6:6">
      <c r="F11264" s="35"/>
    </row>
    <row r="11265" spans="6:6">
      <c r="F11265" s="35"/>
    </row>
    <row r="11266" spans="6:6">
      <c r="F11266" s="35"/>
    </row>
    <row r="11267" spans="6:6">
      <c r="F11267" s="35"/>
    </row>
    <row r="11268" spans="6:6">
      <c r="F11268" s="35"/>
    </row>
    <row r="11269" spans="6:6">
      <c r="F11269" s="35"/>
    </row>
    <row r="11270" spans="6:6">
      <c r="F11270" s="35"/>
    </row>
    <row r="11271" spans="6:6">
      <c r="F11271" s="35"/>
    </row>
    <row r="11272" spans="6:6">
      <c r="F11272" s="35"/>
    </row>
    <row r="11273" spans="6:6">
      <c r="F11273" s="35"/>
    </row>
    <row r="11274" spans="6:6">
      <c r="F11274" s="35"/>
    </row>
    <row r="11275" spans="6:6">
      <c r="F11275" s="35"/>
    </row>
    <row r="11276" spans="6:6">
      <c r="F11276" s="35"/>
    </row>
    <row r="11277" spans="6:6">
      <c r="F11277" s="35"/>
    </row>
    <row r="11278" spans="6:6">
      <c r="F11278" s="35"/>
    </row>
    <row r="11279" spans="6:6">
      <c r="F11279" s="35"/>
    </row>
    <row r="11280" spans="6:6">
      <c r="F11280" s="35"/>
    </row>
    <row r="11281" spans="6:6">
      <c r="F11281" s="35"/>
    </row>
    <row r="11282" spans="6:6">
      <c r="F11282" s="35"/>
    </row>
    <row r="11283" spans="6:6">
      <c r="F11283" s="35"/>
    </row>
    <row r="11284" spans="6:6">
      <c r="F11284" s="35"/>
    </row>
    <row r="11285" spans="6:6">
      <c r="F11285" s="35"/>
    </row>
    <row r="11286" spans="6:6">
      <c r="F11286" s="35"/>
    </row>
    <row r="11287" spans="6:6">
      <c r="F11287" s="35"/>
    </row>
    <row r="11288" spans="6:6">
      <c r="F11288" s="35"/>
    </row>
    <row r="11289" spans="6:6">
      <c r="F11289" s="35"/>
    </row>
    <row r="11290" spans="6:6">
      <c r="F11290" s="35"/>
    </row>
    <row r="11291" spans="6:6">
      <c r="F11291" s="35"/>
    </row>
    <row r="11292" spans="6:6">
      <c r="F11292" s="35"/>
    </row>
    <row r="11293" spans="6:6">
      <c r="F11293" s="35"/>
    </row>
    <row r="11294" spans="6:6">
      <c r="F11294" s="35"/>
    </row>
    <row r="11295" spans="6:6">
      <c r="F11295" s="35"/>
    </row>
    <row r="11296" spans="6:6">
      <c r="F11296" s="35"/>
    </row>
    <row r="11297" spans="6:6">
      <c r="F11297" s="35"/>
    </row>
    <row r="11298" spans="6:6">
      <c r="F11298" s="35"/>
    </row>
    <row r="11299" spans="6:6">
      <c r="F11299" s="35"/>
    </row>
    <row r="11300" spans="6:6">
      <c r="F11300" s="35"/>
    </row>
    <row r="11301" spans="6:6">
      <c r="F11301" s="35"/>
    </row>
    <row r="11302" spans="6:6">
      <c r="F11302" s="35"/>
    </row>
    <row r="11303" spans="6:6">
      <c r="F11303" s="35"/>
    </row>
    <row r="11304" spans="6:6">
      <c r="F11304" s="35"/>
    </row>
    <row r="11305" spans="6:6">
      <c r="F11305" s="35"/>
    </row>
    <row r="11306" spans="6:6">
      <c r="F11306" s="35"/>
    </row>
    <row r="11307" spans="6:6">
      <c r="F11307" s="35"/>
    </row>
    <row r="11308" spans="6:6">
      <c r="F11308" s="35"/>
    </row>
    <row r="11309" spans="6:6">
      <c r="F11309" s="35"/>
    </row>
    <row r="11310" spans="6:6">
      <c r="F11310" s="35"/>
    </row>
    <row r="11311" spans="6:6">
      <c r="F11311" s="35"/>
    </row>
    <row r="11312" spans="6:6">
      <c r="F11312" s="35"/>
    </row>
    <row r="11313" spans="6:6">
      <c r="F11313" s="35"/>
    </row>
    <row r="11314" spans="6:6">
      <c r="F11314" s="35"/>
    </row>
    <row r="11315" spans="6:6">
      <c r="F11315" s="35"/>
    </row>
    <row r="11316" spans="6:6">
      <c r="F11316" s="35"/>
    </row>
    <row r="11317" spans="6:6">
      <c r="F11317" s="35"/>
    </row>
    <row r="11318" spans="6:6">
      <c r="F11318" s="35"/>
    </row>
    <row r="11319" spans="6:6">
      <c r="F11319" s="35"/>
    </row>
    <row r="11320" spans="6:6">
      <c r="F11320" s="35"/>
    </row>
    <row r="11321" spans="6:6">
      <c r="F11321" s="35"/>
    </row>
    <row r="11322" spans="6:6">
      <c r="F11322" s="35"/>
    </row>
    <row r="11323" spans="6:6">
      <c r="F11323" s="35"/>
    </row>
    <row r="11324" spans="6:6">
      <c r="F11324" s="35"/>
    </row>
    <row r="11325" spans="6:6">
      <c r="F11325" s="35"/>
    </row>
    <row r="11326" spans="6:6">
      <c r="F11326" s="35"/>
    </row>
    <row r="11327" spans="6:6">
      <c r="F11327" s="35"/>
    </row>
    <row r="11328" spans="6:6">
      <c r="F11328" s="35"/>
    </row>
    <row r="11329" spans="6:6">
      <c r="F11329" s="35"/>
    </row>
    <row r="11330" spans="6:6">
      <c r="F11330" s="35"/>
    </row>
    <row r="11331" spans="6:6">
      <c r="F11331" s="35"/>
    </row>
    <row r="11332" spans="6:6">
      <c r="F11332" s="35"/>
    </row>
    <row r="11333" spans="6:6">
      <c r="F11333" s="35"/>
    </row>
    <row r="11334" spans="6:6">
      <c r="F11334" s="35"/>
    </row>
    <row r="11335" spans="6:6">
      <c r="F11335" s="35"/>
    </row>
    <row r="11336" spans="6:6">
      <c r="F11336" s="35"/>
    </row>
    <row r="11337" spans="6:6">
      <c r="F11337" s="35"/>
    </row>
    <row r="11338" spans="6:6">
      <c r="F11338" s="35"/>
    </row>
    <row r="11339" spans="6:6">
      <c r="F11339" s="35"/>
    </row>
    <row r="11340" spans="6:6">
      <c r="F11340" s="35"/>
    </row>
    <row r="11341" spans="6:6">
      <c r="F11341" s="35"/>
    </row>
    <row r="11342" spans="6:6">
      <c r="F11342" s="35"/>
    </row>
    <row r="11343" spans="6:6">
      <c r="F11343" s="35"/>
    </row>
    <row r="11344" spans="6:6">
      <c r="F11344" s="35"/>
    </row>
    <row r="11345" spans="6:6">
      <c r="F11345" s="35"/>
    </row>
    <row r="11346" spans="6:6">
      <c r="F11346" s="35"/>
    </row>
    <row r="11347" spans="6:6">
      <c r="F11347" s="35"/>
    </row>
    <row r="11348" spans="6:6">
      <c r="F11348" s="35"/>
    </row>
    <row r="11349" spans="6:6">
      <c r="F11349" s="35"/>
    </row>
    <row r="11350" spans="6:6">
      <c r="F11350" s="35"/>
    </row>
    <row r="11351" spans="6:6">
      <c r="F11351" s="35"/>
    </row>
    <row r="11352" spans="6:6">
      <c r="F11352" s="35"/>
    </row>
    <row r="11353" spans="6:6">
      <c r="F11353" s="35"/>
    </row>
    <row r="11354" spans="6:6">
      <c r="F11354" s="35"/>
    </row>
    <row r="11355" spans="6:6">
      <c r="F11355" s="35"/>
    </row>
    <row r="11356" spans="6:6">
      <c r="F11356" s="35"/>
    </row>
    <row r="11357" spans="6:6">
      <c r="F11357" s="35"/>
    </row>
    <row r="11358" spans="6:6">
      <c r="F11358" s="35"/>
    </row>
    <row r="11359" spans="6:6">
      <c r="F11359" s="35"/>
    </row>
    <row r="11360" spans="6:6">
      <c r="F11360" s="35"/>
    </row>
    <row r="11361" spans="6:6">
      <c r="F11361" s="35"/>
    </row>
    <row r="11362" spans="6:6">
      <c r="F11362" s="35"/>
    </row>
    <row r="11363" spans="6:6">
      <c r="F11363" s="35"/>
    </row>
    <row r="11364" spans="6:6">
      <c r="F11364" s="35"/>
    </row>
    <row r="11365" spans="6:6">
      <c r="F11365" s="35"/>
    </row>
    <row r="11366" spans="6:6">
      <c r="F11366" s="35"/>
    </row>
    <row r="11367" spans="6:6">
      <c r="F11367" s="35"/>
    </row>
    <row r="11368" spans="6:6">
      <c r="F11368" s="35"/>
    </row>
    <row r="11369" spans="6:6">
      <c r="F11369" s="35"/>
    </row>
    <row r="11370" spans="6:6">
      <c r="F11370" s="35"/>
    </row>
    <row r="11371" spans="6:6">
      <c r="F11371" s="35"/>
    </row>
    <row r="11372" spans="6:6">
      <c r="F11372" s="35"/>
    </row>
    <row r="11373" spans="6:6">
      <c r="F11373" s="35"/>
    </row>
    <row r="11374" spans="6:6">
      <c r="F11374" s="35"/>
    </row>
    <row r="11375" spans="6:6">
      <c r="F11375" s="35"/>
    </row>
    <row r="11376" spans="6:6">
      <c r="F11376" s="35"/>
    </row>
    <row r="11377" spans="6:6">
      <c r="F11377" s="35"/>
    </row>
    <row r="11378" spans="6:6">
      <c r="F11378" s="35"/>
    </row>
    <row r="11379" spans="6:6">
      <c r="F11379" s="35"/>
    </row>
    <row r="11380" spans="6:6">
      <c r="F11380" s="35"/>
    </row>
    <row r="11381" spans="6:6">
      <c r="F11381" s="35"/>
    </row>
    <row r="11382" spans="6:6">
      <c r="F11382" s="35"/>
    </row>
    <row r="11383" spans="6:6">
      <c r="F11383" s="35"/>
    </row>
    <row r="11384" spans="6:6">
      <c r="F11384" s="35"/>
    </row>
    <row r="11385" spans="6:6">
      <c r="F11385" s="35"/>
    </row>
    <row r="11386" spans="6:6">
      <c r="F11386" s="35"/>
    </row>
    <row r="11387" spans="6:6">
      <c r="F11387" s="35"/>
    </row>
    <row r="11388" spans="6:6">
      <c r="F11388" s="35"/>
    </row>
    <row r="11389" spans="6:6">
      <c r="F11389" s="35"/>
    </row>
    <row r="11390" spans="6:6">
      <c r="F11390" s="35"/>
    </row>
    <row r="11391" spans="6:6">
      <c r="F11391" s="35"/>
    </row>
    <row r="11392" spans="6:6">
      <c r="F11392" s="35"/>
    </row>
    <row r="11393" spans="6:6">
      <c r="F11393" s="35"/>
    </row>
    <row r="11394" spans="6:6">
      <c r="F11394" s="35"/>
    </row>
    <row r="11395" spans="6:6">
      <c r="F11395" s="35"/>
    </row>
    <row r="11396" spans="6:6">
      <c r="F11396" s="35"/>
    </row>
    <row r="11397" spans="6:6">
      <c r="F11397" s="35"/>
    </row>
    <row r="11398" spans="6:6">
      <c r="F11398" s="35"/>
    </row>
    <row r="11399" spans="6:6">
      <c r="F11399" s="35"/>
    </row>
    <row r="11400" spans="6:6">
      <c r="F11400" s="35"/>
    </row>
    <row r="11401" spans="6:6">
      <c r="F11401" s="35"/>
    </row>
    <row r="11402" spans="6:6">
      <c r="F11402" s="35"/>
    </row>
    <row r="11403" spans="6:6">
      <c r="F11403" s="35"/>
    </row>
    <row r="11404" spans="6:6">
      <c r="F11404" s="35"/>
    </row>
    <row r="11405" spans="6:6">
      <c r="F11405" s="35"/>
    </row>
    <row r="11406" spans="6:6">
      <c r="F11406" s="35"/>
    </row>
    <row r="11407" spans="6:6">
      <c r="F11407" s="35"/>
    </row>
    <row r="11408" spans="6:6">
      <c r="F11408" s="35"/>
    </row>
    <row r="11409" spans="6:6">
      <c r="F11409" s="35"/>
    </row>
    <row r="11410" spans="6:6">
      <c r="F11410" s="35"/>
    </row>
    <row r="11411" spans="6:6">
      <c r="F11411" s="35"/>
    </row>
    <row r="11412" spans="6:6">
      <c r="F11412" s="35"/>
    </row>
    <row r="11413" spans="6:6">
      <c r="F11413" s="35"/>
    </row>
    <row r="11414" spans="6:6">
      <c r="F11414" s="35"/>
    </row>
    <row r="11415" spans="6:6">
      <c r="F11415" s="35"/>
    </row>
    <row r="11416" spans="6:6">
      <c r="F11416" s="35"/>
    </row>
    <row r="11417" spans="6:6">
      <c r="F11417" s="35"/>
    </row>
    <row r="11418" spans="6:6">
      <c r="F11418" s="35"/>
    </row>
    <row r="11419" spans="6:6">
      <c r="F11419" s="35"/>
    </row>
    <row r="11420" spans="6:6">
      <c r="F11420" s="35"/>
    </row>
    <row r="11421" spans="6:6">
      <c r="F11421" s="35"/>
    </row>
    <row r="11422" spans="6:6">
      <c r="F11422" s="35"/>
    </row>
    <row r="11423" spans="6:6">
      <c r="F11423" s="35"/>
    </row>
    <row r="11424" spans="6:6">
      <c r="F11424" s="35"/>
    </row>
    <row r="11425" spans="6:6">
      <c r="F11425" s="35"/>
    </row>
    <row r="11426" spans="6:6">
      <c r="F11426" s="35"/>
    </row>
    <row r="11427" spans="6:6">
      <c r="F11427" s="35"/>
    </row>
    <row r="11428" spans="6:6">
      <c r="F11428" s="35"/>
    </row>
    <row r="11429" spans="6:6">
      <c r="F11429" s="35"/>
    </row>
    <row r="11430" spans="6:6">
      <c r="F11430" s="35"/>
    </row>
    <row r="11431" spans="6:6">
      <c r="F11431" s="35"/>
    </row>
    <row r="11432" spans="6:6">
      <c r="F11432" s="35"/>
    </row>
    <row r="11433" spans="6:6">
      <c r="F11433" s="35"/>
    </row>
    <row r="11434" spans="6:6">
      <c r="F11434" s="35"/>
    </row>
    <row r="11435" spans="6:6">
      <c r="F11435" s="35"/>
    </row>
    <row r="11436" spans="6:6">
      <c r="F11436" s="35"/>
    </row>
    <row r="11437" spans="6:6">
      <c r="F11437" s="35"/>
    </row>
    <row r="11438" spans="6:6">
      <c r="F11438" s="35"/>
    </row>
    <row r="11439" spans="6:6">
      <c r="F11439" s="35"/>
    </row>
    <row r="11440" spans="6:6">
      <c r="F11440" s="35"/>
    </row>
    <row r="11441" spans="6:6">
      <c r="F11441" s="35"/>
    </row>
    <row r="11442" spans="6:6">
      <c r="F11442" s="35"/>
    </row>
    <row r="11443" spans="6:6">
      <c r="F11443" s="35"/>
    </row>
    <row r="11444" spans="6:6">
      <c r="F11444" s="35"/>
    </row>
    <row r="11445" spans="6:6">
      <c r="F11445" s="35"/>
    </row>
    <row r="11446" spans="6:6">
      <c r="F11446" s="35"/>
    </row>
    <row r="11447" spans="6:6">
      <c r="F11447" s="35"/>
    </row>
    <row r="11448" spans="6:6">
      <c r="F11448" s="35"/>
    </row>
    <row r="11449" spans="6:6">
      <c r="F11449" s="35"/>
    </row>
    <row r="11450" spans="6:6">
      <c r="F11450" s="35"/>
    </row>
    <row r="11451" spans="6:6">
      <c r="F11451" s="35"/>
    </row>
    <row r="11452" spans="6:6">
      <c r="F11452" s="35"/>
    </row>
    <row r="11453" spans="6:6">
      <c r="F11453" s="35"/>
    </row>
    <row r="11454" spans="6:6">
      <c r="F11454" s="35"/>
    </row>
    <row r="11455" spans="6:6">
      <c r="F11455" s="35"/>
    </row>
    <row r="11456" spans="6:6">
      <c r="F11456" s="35"/>
    </row>
    <row r="11457" spans="6:6">
      <c r="F11457" s="35"/>
    </row>
    <row r="11458" spans="6:6">
      <c r="F11458" s="35"/>
    </row>
    <row r="11459" spans="6:6">
      <c r="F11459" s="35"/>
    </row>
    <row r="11460" spans="6:6">
      <c r="F11460" s="35"/>
    </row>
    <row r="11461" spans="6:6">
      <c r="F11461" s="35"/>
    </row>
    <row r="11462" spans="6:6">
      <c r="F11462" s="35"/>
    </row>
    <row r="11463" spans="6:6">
      <c r="F11463" s="35"/>
    </row>
    <row r="11464" spans="6:6">
      <c r="F11464" s="35"/>
    </row>
    <row r="11465" spans="6:6">
      <c r="F11465" s="35"/>
    </row>
    <row r="11466" spans="6:6">
      <c r="F11466" s="35"/>
    </row>
    <row r="11467" spans="6:6">
      <c r="F11467" s="35"/>
    </row>
    <row r="11468" spans="6:6">
      <c r="F11468" s="35"/>
    </row>
    <row r="11469" spans="6:6">
      <c r="F11469" s="35"/>
    </row>
    <row r="11470" spans="6:6">
      <c r="F11470" s="35"/>
    </row>
    <row r="11471" spans="6:6">
      <c r="F11471" s="35"/>
    </row>
    <row r="11472" spans="6:6">
      <c r="F11472" s="35"/>
    </row>
    <row r="11473" spans="6:6">
      <c r="F11473" s="35"/>
    </row>
    <row r="11474" spans="6:6">
      <c r="F11474" s="35"/>
    </row>
    <row r="11475" spans="6:6">
      <c r="F11475" s="35"/>
    </row>
    <row r="11476" spans="6:6">
      <c r="F11476" s="35"/>
    </row>
    <row r="11477" spans="6:6">
      <c r="F11477" s="35"/>
    </row>
    <row r="11478" spans="6:6">
      <c r="F11478" s="35"/>
    </row>
    <row r="11479" spans="6:6">
      <c r="F11479" s="35"/>
    </row>
    <row r="11480" spans="6:6">
      <c r="F11480" s="35"/>
    </row>
    <row r="11481" spans="6:6">
      <c r="F11481" s="35"/>
    </row>
    <row r="11482" spans="6:6">
      <c r="F11482" s="35"/>
    </row>
    <row r="11483" spans="6:6">
      <c r="F11483" s="35"/>
    </row>
    <row r="11484" spans="6:6">
      <c r="F11484" s="35"/>
    </row>
    <row r="11485" spans="6:6">
      <c r="F11485" s="35"/>
    </row>
    <row r="11486" spans="6:6">
      <c r="F11486" s="35"/>
    </row>
    <row r="11487" spans="6:6">
      <c r="F11487" s="35"/>
    </row>
    <row r="11488" spans="6:6">
      <c r="F11488" s="35"/>
    </row>
    <row r="11489" spans="6:6">
      <c r="F11489" s="35"/>
    </row>
    <row r="11490" spans="6:6">
      <c r="F11490" s="35"/>
    </row>
    <row r="11491" spans="6:6">
      <c r="F11491" s="35"/>
    </row>
    <row r="11492" spans="6:6">
      <c r="F11492" s="35"/>
    </row>
    <row r="11493" spans="6:6">
      <c r="F11493" s="35"/>
    </row>
    <row r="11494" spans="6:6">
      <c r="F11494" s="35"/>
    </row>
    <row r="11495" spans="6:6">
      <c r="F11495" s="35"/>
    </row>
    <row r="11496" spans="6:6">
      <c r="F11496" s="35"/>
    </row>
    <row r="11497" spans="6:6">
      <c r="F11497" s="35"/>
    </row>
    <row r="11498" spans="6:6">
      <c r="F11498" s="35"/>
    </row>
    <row r="11499" spans="6:6">
      <c r="F11499" s="35"/>
    </row>
    <row r="11500" spans="6:6">
      <c r="F11500" s="35"/>
    </row>
    <row r="11501" spans="6:6">
      <c r="F11501" s="35"/>
    </row>
    <row r="11502" spans="6:6">
      <c r="F11502" s="35"/>
    </row>
    <row r="11503" spans="6:6">
      <c r="F11503" s="35"/>
    </row>
    <row r="11504" spans="6:6">
      <c r="F11504" s="35"/>
    </row>
    <row r="11505" spans="6:6">
      <c r="F11505" s="35"/>
    </row>
    <row r="11506" spans="6:6">
      <c r="F11506" s="35"/>
    </row>
    <row r="11507" spans="6:6">
      <c r="F11507" s="35"/>
    </row>
    <row r="11508" spans="6:6">
      <c r="F11508" s="35"/>
    </row>
    <row r="11509" spans="6:6">
      <c r="F11509" s="35"/>
    </row>
    <row r="11510" spans="6:6">
      <c r="F11510" s="35"/>
    </row>
    <row r="11511" spans="6:6">
      <c r="F11511" s="35"/>
    </row>
    <row r="11512" spans="6:6">
      <c r="F11512" s="35"/>
    </row>
    <row r="11513" spans="6:6">
      <c r="F11513" s="35"/>
    </row>
    <row r="11514" spans="6:6">
      <c r="F11514" s="35"/>
    </row>
    <row r="11515" spans="6:6">
      <c r="F11515" s="35"/>
    </row>
    <row r="11516" spans="6:6">
      <c r="F11516" s="35"/>
    </row>
    <row r="11517" spans="6:6">
      <c r="F11517" s="35"/>
    </row>
    <row r="11518" spans="6:6">
      <c r="F11518" s="35"/>
    </row>
    <row r="11519" spans="6:6">
      <c r="F11519" s="35"/>
    </row>
    <row r="11520" spans="6:6">
      <c r="F11520" s="35"/>
    </row>
    <row r="11521" spans="6:6">
      <c r="F11521" s="35"/>
    </row>
    <row r="11522" spans="6:6">
      <c r="F11522" s="35"/>
    </row>
    <row r="11523" spans="6:6">
      <c r="F11523" s="35"/>
    </row>
    <row r="11524" spans="6:6">
      <c r="F11524" s="35"/>
    </row>
    <row r="11525" spans="6:6">
      <c r="F11525" s="35"/>
    </row>
    <row r="11526" spans="6:6">
      <c r="F11526" s="35"/>
    </row>
    <row r="11527" spans="6:6">
      <c r="F11527" s="35"/>
    </row>
    <row r="11528" spans="6:6">
      <c r="F11528" s="35"/>
    </row>
    <row r="11529" spans="6:6">
      <c r="F11529" s="35"/>
    </row>
    <row r="11530" spans="6:6">
      <c r="F11530" s="35"/>
    </row>
    <row r="11531" spans="6:6">
      <c r="F11531" s="35"/>
    </row>
    <row r="11532" spans="6:6">
      <c r="F11532" s="35"/>
    </row>
    <row r="11533" spans="6:6">
      <c r="F11533" s="35"/>
    </row>
    <row r="11534" spans="6:6">
      <c r="F11534" s="35"/>
    </row>
    <row r="11535" spans="6:6">
      <c r="F11535" s="35"/>
    </row>
    <row r="11536" spans="6:6">
      <c r="F11536" s="35"/>
    </row>
    <row r="11537" spans="6:6">
      <c r="F11537" s="35"/>
    </row>
    <row r="11538" spans="6:6">
      <c r="F11538" s="35"/>
    </row>
    <row r="11539" spans="6:6">
      <c r="F11539" s="35"/>
    </row>
    <row r="11540" spans="6:6">
      <c r="F11540" s="35"/>
    </row>
    <row r="11541" spans="6:6">
      <c r="F11541" s="35"/>
    </row>
    <row r="11542" spans="6:6">
      <c r="F11542" s="35"/>
    </row>
    <row r="11543" spans="6:6">
      <c r="F11543" s="35"/>
    </row>
    <row r="11544" spans="6:6">
      <c r="F11544" s="35"/>
    </row>
    <row r="11545" spans="6:6">
      <c r="F11545" s="35"/>
    </row>
    <row r="11546" spans="6:6">
      <c r="F11546" s="35"/>
    </row>
    <row r="11547" spans="6:6">
      <c r="F11547" s="35"/>
    </row>
    <row r="11548" spans="6:6">
      <c r="F11548" s="35"/>
    </row>
    <row r="11549" spans="6:6">
      <c r="F11549" s="35"/>
    </row>
    <row r="11550" spans="6:6">
      <c r="F11550" s="35"/>
    </row>
    <row r="11551" spans="6:6">
      <c r="F11551" s="35"/>
    </row>
    <row r="11552" spans="6:6">
      <c r="F11552" s="35"/>
    </row>
    <row r="11553" spans="6:6">
      <c r="F11553" s="35"/>
    </row>
    <row r="11554" spans="6:6">
      <c r="F11554" s="35"/>
    </row>
    <row r="11555" spans="6:6">
      <c r="F11555" s="35"/>
    </row>
    <row r="11556" spans="6:6">
      <c r="F11556" s="35"/>
    </row>
    <row r="11557" spans="6:6">
      <c r="F11557" s="35"/>
    </row>
    <row r="11558" spans="6:6">
      <c r="F11558" s="35"/>
    </row>
    <row r="11559" spans="6:6">
      <c r="F11559" s="35"/>
    </row>
    <row r="11560" spans="6:6">
      <c r="F11560" s="35"/>
    </row>
    <row r="11561" spans="6:6">
      <c r="F11561" s="35"/>
    </row>
    <row r="11562" spans="6:6">
      <c r="F11562" s="35"/>
    </row>
    <row r="11563" spans="6:6">
      <c r="F11563" s="35"/>
    </row>
    <row r="11564" spans="6:6">
      <c r="F11564" s="35"/>
    </row>
    <row r="11565" spans="6:6">
      <c r="F11565" s="35"/>
    </row>
    <row r="11566" spans="6:6">
      <c r="F11566" s="35"/>
    </row>
    <row r="11567" spans="6:6">
      <c r="F11567" s="35"/>
    </row>
    <row r="11568" spans="6:6">
      <c r="F11568" s="35"/>
    </row>
    <row r="11569" spans="6:6">
      <c r="F11569" s="35"/>
    </row>
    <row r="11570" spans="6:6">
      <c r="F11570" s="35"/>
    </row>
    <row r="11571" spans="6:6">
      <c r="F11571" s="35"/>
    </row>
    <row r="11572" spans="6:6">
      <c r="F11572" s="35"/>
    </row>
    <row r="11573" spans="6:6">
      <c r="F11573" s="35"/>
    </row>
    <row r="11574" spans="6:6">
      <c r="F11574" s="35"/>
    </row>
    <row r="11575" spans="6:6">
      <c r="F11575" s="35"/>
    </row>
    <row r="11576" spans="6:6">
      <c r="F11576" s="35"/>
    </row>
    <row r="11577" spans="6:6">
      <c r="F11577" s="35"/>
    </row>
    <row r="11578" spans="6:6">
      <c r="F11578" s="35"/>
    </row>
    <row r="11579" spans="6:6">
      <c r="F11579" s="35"/>
    </row>
    <row r="11580" spans="6:6">
      <c r="F11580" s="35"/>
    </row>
    <row r="11581" spans="6:6">
      <c r="F11581" s="35"/>
    </row>
    <row r="11582" spans="6:6">
      <c r="F11582" s="35"/>
    </row>
    <row r="11583" spans="6:6">
      <c r="F11583" s="35"/>
    </row>
    <row r="11584" spans="6:6">
      <c r="F11584" s="35"/>
    </row>
    <row r="11585" spans="6:6">
      <c r="F11585" s="35"/>
    </row>
    <row r="11586" spans="6:6">
      <c r="F11586" s="35"/>
    </row>
    <row r="11587" spans="6:6">
      <c r="F11587" s="35"/>
    </row>
    <row r="11588" spans="6:6">
      <c r="F11588" s="35"/>
    </row>
    <row r="11589" spans="6:6">
      <c r="F11589" s="35"/>
    </row>
    <row r="11590" spans="6:6">
      <c r="F11590" s="35"/>
    </row>
    <row r="11591" spans="6:6">
      <c r="F11591" s="35"/>
    </row>
    <row r="11592" spans="6:6">
      <c r="F11592" s="35"/>
    </row>
    <row r="11593" spans="6:6">
      <c r="F11593" s="35"/>
    </row>
    <row r="11594" spans="6:6">
      <c r="F11594" s="35"/>
    </row>
    <row r="11595" spans="6:6">
      <c r="F11595" s="35"/>
    </row>
    <row r="11596" spans="6:6">
      <c r="F11596" s="35"/>
    </row>
    <row r="11597" spans="6:6">
      <c r="F11597" s="35"/>
    </row>
    <row r="11598" spans="6:6">
      <c r="F11598" s="35"/>
    </row>
    <row r="11599" spans="6:6">
      <c r="F11599" s="35"/>
    </row>
    <row r="11600" spans="6:6">
      <c r="F11600" s="35"/>
    </row>
    <row r="11601" spans="6:6">
      <c r="F11601" s="35"/>
    </row>
    <row r="11602" spans="6:6">
      <c r="F11602" s="35"/>
    </row>
    <row r="11603" spans="6:6">
      <c r="F11603" s="35"/>
    </row>
    <row r="11604" spans="6:6">
      <c r="F11604" s="35"/>
    </row>
    <row r="11605" spans="6:6">
      <c r="F11605" s="35"/>
    </row>
    <row r="11606" spans="6:6">
      <c r="F11606" s="35"/>
    </row>
    <row r="11607" spans="6:6">
      <c r="F11607" s="35"/>
    </row>
    <row r="11608" spans="6:6">
      <c r="F11608" s="35"/>
    </row>
    <row r="11609" spans="6:6">
      <c r="F11609" s="35"/>
    </row>
    <row r="11610" spans="6:6">
      <c r="F11610" s="35"/>
    </row>
    <row r="11611" spans="6:6">
      <c r="F11611" s="35"/>
    </row>
    <row r="11612" spans="6:6">
      <c r="F11612" s="35"/>
    </row>
    <row r="11613" spans="6:6">
      <c r="F11613" s="35"/>
    </row>
    <row r="11614" spans="6:6">
      <c r="F11614" s="35"/>
    </row>
    <row r="11615" spans="6:6">
      <c r="F11615" s="35"/>
    </row>
    <row r="11616" spans="6:6">
      <c r="F11616" s="35"/>
    </row>
    <row r="11617" spans="6:6">
      <c r="F11617" s="35"/>
    </row>
    <row r="11618" spans="6:6">
      <c r="F11618" s="35"/>
    </row>
    <row r="11619" spans="6:6">
      <c r="F11619" s="35"/>
    </row>
    <row r="11620" spans="6:6">
      <c r="F11620" s="35"/>
    </row>
    <row r="11621" spans="6:6">
      <c r="F11621" s="35"/>
    </row>
    <row r="11622" spans="6:6">
      <c r="F11622" s="35"/>
    </row>
    <row r="11623" spans="6:6">
      <c r="F11623" s="35"/>
    </row>
    <row r="11624" spans="6:6">
      <c r="F11624" s="35"/>
    </row>
    <row r="11625" spans="6:6">
      <c r="F11625" s="35"/>
    </row>
    <row r="11626" spans="6:6">
      <c r="F11626" s="35"/>
    </row>
    <row r="11627" spans="6:6">
      <c r="F11627" s="35"/>
    </row>
    <row r="11628" spans="6:6">
      <c r="F11628" s="35"/>
    </row>
    <row r="11629" spans="6:6">
      <c r="F11629" s="35"/>
    </row>
    <row r="11630" spans="6:6">
      <c r="F11630" s="35"/>
    </row>
    <row r="11631" spans="6:6">
      <c r="F11631" s="35"/>
    </row>
    <row r="11632" spans="6:6">
      <c r="F11632" s="35"/>
    </row>
    <row r="11633" spans="6:6">
      <c r="F11633" s="35"/>
    </row>
    <row r="11634" spans="6:6">
      <c r="F11634" s="35"/>
    </row>
    <row r="11635" spans="6:6">
      <c r="F11635" s="35"/>
    </row>
    <row r="11636" spans="6:6">
      <c r="F11636" s="35"/>
    </row>
    <row r="11637" spans="6:6">
      <c r="F11637" s="35"/>
    </row>
    <row r="11638" spans="6:6">
      <c r="F11638" s="35"/>
    </row>
    <row r="11639" spans="6:6">
      <c r="F11639" s="35"/>
    </row>
    <row r="11640" spans="6:6">
      <c r="F11640" s="35"/>
    </row>
    <row r="11641" spans="6:6">
      <c r="F11641" s="35"/>
    </row>
    <row r="11642" spans="6:6">
      <c r="F11642" s="35"/>
    </row>
    <row r="11643" spans="6:6">
      <c r="F11643" s="35"/>
    </row>
    <row r="11644" spans="6:6">
      <c r="F11644" s="35"/>
    </row>
    <row r="11645" spans="6:6">
      <c r="F11645" s="35"/>
    </row>
    <row r="11646" spans="6:6">
      <c r="F11646" s="35"/>
    </row>
    <row r="11647" spans="6:6">
      <c r="F11647" s="35"/>
    </row>
    <row r="11648" spans="6:6">
      <c r="F11648" s="35"/>
    </row>
    <row r="11649" spans="6:6">
      <c r="F11649" s="35"/>
    </row>
    <row r="11650" spans="6:6">
      <c r="F11650" s="35"/>
    </row>
    <row r="11651" spans="6:6">
      <c r="F11651" s="35"/>
    </row>
    <row r="11652" spans="6:6">
      <c r="F11652" s="35"/>
    </row>
    <row r="11653" spans="6:6">
      <c r="F11653" s="35"/>
    </row>
    <row r="11654" spans="6:6">
      <c r="F11654" s="35"/>
    </row>
    <row r="11655" spans="6:6">
      <c r="F11655" s="35"/>
    </row>
    <row r="11656" spans="6:6">
      <c r="F11656" s="35"/>
    </row>
    <row r="11657" spans="6:6">
      <c r="F11657" s="35"/>
    </row>
    <row r="11658" spans="6:6">
      <c r="F11658" s="35"/>
    </row>
    <row r="11659" spans="6:6">
      <c r="F11659" s="35"/>
    </row>
    <row r="11660" spans="6:6">
      <c r="F11660" s="35"/>
    </row>
    <row r="11661" spans="6:6">
      <c r="F11661" s="35"/>
    </row>
    <row r="11662" spans="6:6">
      <c r="F11662" s="35"/>
    </row>
    <row r="11663" spans="6:6">
      <c r="F11663" s="35"/>
    </row>
    <row r="11664" spans="6:6">
      <c r="F11664" s="35"/>
    </row>
    <row r="11665" spans="6:6">
      <c r="F11665" s="35"/>
    </row>
    <row r="11666" spans="6:6">
      <c r="F11666" s="35"/>
    </row>
    <row r="11667" spans="6:6">
      <c r="F11667" s="35"/>
    </row>
    <row r="11668" spans="6:6">
      <c r="F11668" s="35"/>
    </row>
    <row r="11669" spans="6:6">
      <c r="F11669" s="35"/>
    </row>
    <row r="11670" spans="6:6">
      <c r="F11670" s="35"/>
    </row>
    <row r="11671" spans="6:6">
      <c r="F11671" s="35"/>
    </row>
    <row r="11672" spans="6:6">
      <c r="F11672" s="35"/>
    </row>
    <row r="11673" spans="6:6">
      <c r="F11673" s="35"/>
    </row>
    <row r="11674" spans="6:6">
      <c r="F11674" s="35"/>
    </row>
    <row r="11675" spans="6:6">
      <c r="F11675" s="35"/>
    </row>
    <row r="11676" spans="6:6">
      <c r="F11676" s="35"/>
    </row>
    <row r="11677" spans="6:6">
      <c r="F11677" s="35"/>
    </row>
    <row r="11678" spans="6:6">
      <c r="F11678" s="35"/>
    </row>
    <row r="11679" spans="6:6">
      <c r="F11679" s="35"/>
    </row>
    <row r="11680" spans="6:6">
      <c r="F11680" s="35"/>
    </row>
    <row r="11681" spans="6:6">
      <c r="F11681" s="35"/>
    </row>
    <row r="11682" spans="6:6">
      <c r="F11682" s="35"/>
    </row>
    <row r="11683" spans="6:6">
      <c r="F11683" s="35"/>
    </row>
    <row r="11684" spans="6:6">
      <c r="F11684" s="35"/>
    </row>
    <row r="11685" spans="6:6">
      <c r="F11685" s="35"/>
    </row>
    <row r="11686" spans="6:6">
      <c r="F11686" s="35"/>
    </row>
    <row r="11687" spans="6:6">
      <c r="F11687" s="35"/>
    </row>
    <row r="11688" spans="6:6">
      <c r="F11688" s="35"/>
    </row>
    <row r="11689" spans="6:6">
      <c r="F11689" s="35"/>
    </row>
    <row r="11690" spans="6:6">
      <c r="F11690" s="35"/>
    </row>
    <row r="11691" spans="6:6">
      <c r="F11691" s="35"/>
    </row>
    <row r="11692" spans="6:6">
      <c r="F11692" s="35"/>
    </row>
    <row r="11693" spans="6:6">
      <c r="F11693" s="35"/>
    </row>
    <row r="11694" spans="6:6">
      <c r="F11694" s="35"/>
    </row>
    <row r="11695" spans="6:6">
      <c r="F11695" s="35"/>
    </row>
    <row r="11696" spans="6:6">
      <c r="F11696" s="35"/>
    </row>
    <row r="11697" spans="6:6">
      <c r="F11697" s="35"/>
    </row>
    <row r="11698" spans="6:6">
      <c r="F11698" s="35"/>
    </row>
    <row r="11699" spans="6:6">
      <c r="F11699" s="35"/>
    </row>
    <row r="11700" spans="6:6">
      <c r="F11700" s="35"/>
    </row>
    <row r="11701" spans="6:6">
      <c r="F11701" s="35"/>
    </row>
    <row r="11702" spans="6:6">
      <c r="F11702" s="35"/>
    </row>
    <row r="11703" spans="6:6">
      <c r="F11703" s="35"/>
    </row>
    <row r="11704" spans="6:6">
      <c r="F11704" s="35"/>
    </row>
    <row r="11705" spans="6:6">
      <c r="F11705" s="35"/>
    </row>
    <row r="11706" spans="6:6">
      <c r="F11706" s="35"/>
    </row>
    <row r="11707" spans="6:6">
      <c r="F11707" s="35"/>
    </row>
    <row r="11708" spans="6:6">
      <c r="F11708" s="35"/>
    </row>
    <row r="11709" spans="6:6">
      <c r="F11709" s="35"/>
    </row>
    <row r="11710" spans="6:6">
      <c r="F11710" s="35"/>
    </row>
    <row r="11711" spans="6:6">
      <c r="F11711" s="35"/>
    </row>
    <row r="11712" spans="6:6">
      <c r="F11712" s="35"/>
    </row>
    <row r="11713" spans="6:6">
      <c r="F11713" s="35"/>
    </row>
    <row r="11714" spans="6:6">
      <c r="F11714" s="35"/>
    </row>
    <row r="11715" spans="6:6">
      <c r="F11715" s="35"/>
    </row>
    <row r="11716" spans="6:6">
      <c r="F11716" s="35"/>
    </row>
    <row r="11717" spans="6:6">
      <c r="F11717" s="35"/>
    </row>
    <row r="11718" spans="6:6">
      <c r="F11718" s="35"/>
    </row>
    <row r="11719" spans="6:6">
      <c r="F11719" s="35"/>
    </row>
    <row r="11720" spans="6:6">
      <c r="F11720" s="35"/>
    </row>
    <row r="11721" spans="6:6">
      <c r="F11721" s="35"/>
    </row>
    <row r="11722" spans="6:6">
      <c r="F11722" s="35"/>
    </row>
    <row r="11723" spans="6:6">
      <c r="F11723" s="35"/>
    </row>
    <row r="11724" spans="6:6">
      <c r="F11724" s="35"/>
    </row>
    <row r="11725" spans="6:6">
      <c r="F11725" s="35"/>
    </row>
    <row r="11726" spans="6:6">
      <c r="F11726" s="35"/>
    </row>
    <row r="11727" spans="6:6">
      <c r="F11727" s="35"/>
    </row>
    <row r="11728" spans="6:6">
      <c r="F11728" s="35"/>
    </row>
    <row r="11729" spans="6:6">
      <c r="F11729" s="35"/>
    </row>
    <row r="11730" spans="6:6">
      <c r="F11730" s="35"/>
    </row>
    <row r="11731" spans="6:6">
      <c r="F11731" s="35"/>
    </row>
    <row r="11732" spans="6:6">
      <c r="F11732" s="35"/>
    </row>
    <row r="11733" spans="6:6">
      <c r="F11733" s="35"/>
    </row>
    <row r="11734" spans="6:6">
      <c r="F11734" s="35"/>
    </row>
    <row r="11735" spans="6:6">
      <c r="F11735" s="35"/>
    </row>
    <row r="11736" spans="6:6">
      <c r="F11736" s="35"/>
    </row>
    <row r="11737" spans="6:6">
      <c r="F11737" s="35"/>
    </row>
    <row r="11738" spans="6:6">
      <c r="F11738" s="35"/>
    </row>
    <row r="11739" spans="6:6">
      <c r="F11739" s="35"/>
    </row>
    <row r="11740" spans="6:6">
      <c r="F11740" s="35"/>
    </row>
    <row r="11741" spans="6:6">
      <c r="F11741" s="35"/>
    </row>
    <row r="11742" spans="6:6">
      <c r="F11742" s="35"/>
    </row>
    <row r="11743" spans="6:6">
      <c r="F11743" s="35"/>
    </row>
    <row r="11744" spans="6:6">
      <c r="F11744" s="35"/>
    </row>
    <row r="11745" spans="6:6">
      <c r="F11745" s="35"/>
    </row>
    <row r="11746" spans="6:6">
      <c r="F11746" s="35"/>
    </row>
    <row r="11747" spans="6:6">
      <c r="F11747" s="35"/>
    </row>
    <row r="11748" spans="6:6">
      <c r="F11748" s="35"/>
    </row>
    <row r="11749" spans="6:6">
      <c r="F11749" s="35"/>
    </row>
    <row r="11750" spans="6:6">
      <c r="F11750" s="35"/>
    </row>
    <row r="11751" spans="6:6">
      <c r="F11751" s="35"/>
    </row>
    <row r="11752" spans="6:6">
      <c r="F11752" s="35"/>
    </row>
    <row r="11753" spans="6:6">
      <c r="F11753" s="35"/>
    </row>
    <row r="11754" spans="6:6">
      <c r="F11754" s="35"/>
    </row>
    <row r="11755" spans="6:6">
      <c r="F11755" s="35"/>
    </row>
    <row r="11756" spans="6:6">
      <c r="F11756" s="35"/>
    </row>
    <row r="11757" spans="6:6">
      <c r="F11757" s="35"/>
    </row>
    <row r="11758" spans="6:6">
      <c r="F11758" s="35"/>
    </row>
    <row r="11759" spans="6:6">
      <c r="F11759" s="35"/>
    </row>
    <row r="11760" spans="6:6">
      <c r="F11760" s="35"/>
    </row>
    <row r="11761" spans="6:6">
      <c r="F11761" s="35"/>
    </row>
    <row r="11762" spans="6:6">
      <c r="F11762" s="35"/>
    </row>
    <row r="11763" spans="6:6">
      <c r="F11763" s="35"/>
    </row>
    <row r="11764" spans="6:6">
      <c r="F11764" s="35"/>
    </row>
    <row r="11765" spans="6:6">
      <c r="F11765" s="35"/>
    </row>
    <row r="11766" spans="6:6">
      <c r="F11766" s="35"/>
    </row>
    <row r="11767" spans="6:6">
      <c r="F11767" s="35"/>
    </row>
    <row r="11768" spans="6:6">
      <c r="F11768" s="35"/>
    </row>
    <row r="11769" spans="6:6">
      <c r="F11769" s="35"/>
    </row>
    <row r="11770" spans="6:6">
      <c r="F11770" s="35"/>
    </row>
    <row r="11771" spans="6:6">
      <c r="F11771" s="35"/>
    </row>
    <row r="11772" spans="6:6">
      <c r="F11772" s="35"/>
    </row>
    <row r="11773" spans="6:6">
      <c r="F11773" s="35"/>
    </row>
    <row r="11774" spans="6:6">
      <c r="F11774" s="35"/>
    </row>
    <row r="11775" spans="6:6">
      <c r="F11775" s="35"/>
    </row>
    <row r="11776" spans="6:6">
      <c r="F11776" s="35"/>
    </row>
    <row r="11777" spans="6:6">
      <c r="F11777" s="35"/>
    </row>
    <row r="11778" spans="6:6">
      <c r="F11778" s="35"/>
    </row>
    <row r="11779" spans="6:6">
      <c r="F11779" s="35"/>
    </row>
    <row r="11780" spans="6:6">
      <c r="F11780" s="35"/>
    </row>
    <row r="11781" spans="6:6">
      <c r="F11781" s="35"/>
    </row>
    <row r="11782" spans="6:6">
      <c r="F11782" s="35"/>
    </row>
    <row r="11783" spans="6:6">
      <c r="F11783" s="35"/>
    </row>
    <row r="11784" spans="6:6">
      <c r="F11784" s="35"/>
    </row>
    <row r="11785" spans="6:6">
      <c r="F11785" s="35"/>
    </row>
    <row r="11786" spans="6:6">
      <c r="F11786" s="35"/>
    </row>
    <row r="11787" spans="6:6">
      <c r="F11787" s="35"/>
    </row>
    <row r="11788" spans="6:6">
      <c r="F11788" s="35"/>
    </row>
    <row r="11789" spans="6:6">
      <c r="F11789" s="35"/>
    </row>
    <row r="11790" spans="6:6">
      <c r="F11790" s="35"/>
    </row>
    <row r="11791" spans="6:6">
      <c r="F11791" s="35"/>
    </row>
    <row r="11792" spans="6:6">
      <c r="F11792" s="35"/>
    </row>
    <row r="11793" spans="6:6">
      <c r="F11793" s="35"/>
    </row>
    <row r="11794" spans="6:6">
      <c r="F11794" s="35"/>
    </row>
    <row r="11795" spans="6:6">
      <c r="F11795" s="35"/>
    </row>
    <row r="11796" spans="6:6">
      <c r="F11796" s="35"/>
    </row>
    <row r="11797" spans="6:6">
      <c r="F11797" s="35"/>
    </row>
    <row r="11798" spans="6:6">
      <c r="F11798" s="35"/>
    </row>
    <row r="11799" spans="6:6">
      <c r="F11799" s="35"/>
    </row>
    <row r="11800" spans="6:6">
      <c r="F11800" s="35"/>
    </row>
    <row r="11801" spans="6:6">
      <c r="F11801" s="35"/>
    </row>
    <row r="11802" spans="6:6">
      <c r="F11802" s="35"/>
    </row>
    <row r="11803" spans="6:6">
      <c r="F11803" s="35"/>
    </row>
    <row r="11804" spans="6:6">
      <c r="F11804" s="35"/>
    </row>
    <row r="11805" spans="6:6">
      <c r="F11805" s="35"/>
    </row>
    <row r="11806" spans="6:6">
      <c r="F11806" s="35"/>
    </row>
    <row r="11807" spans="6:6">
      <c r="F11807" s="35"/>
    </row>
    <row r="11808" spans="6:6">
      <c r="F11808" s="35"/>
    </row>
    <row r="11809" spans="6:6">
      <c r="F11809" s="35"/>
    </row>
    <row r="11810" spans="6:6">
      <c r="F11810" s="35"/>
    </row>
    <row r="11811" spans="6:6">
      <c r="F11811" s="35"/>
    </row>
    <row r="11812" spans="6:6">
      <c r="F11812" s="35"/>
    </row>
    <row r="11813" spans="6:6">
      <c r="F11813" s="35"/>
    </row>
    <row r="11814" spans="6:6">
      <c r="F11814" s="35"/>
    </row>
    <row r="11815" spans="6:6">
      <c r="F11815" s="35"/>
    </row>
    <row r="11816" spans="6:6">
      <c r="F11816" s="35"/>
    </row>
    <row r="11817" spans="6:6">
      <c r="F11817" s="35"/>
    </row>
    <row r="11818" spans="6:6">
      <c r="F11818" s="35"/>
    </row>
    <row r="11819" spans="6:6">
      <c r="F11819" s="35"/>
    </row>
    <row r="11820" spans="6:6">
      <c r="F11820" s="35"/>
    </row>
    <row r="11821" spans="6:6">
      <c r="F11821" s="35"/>
    </row>
    <row r="11822" spans="6:6">
      <c r="F11822" s="35"/>
    </row>
    <row r="11823" spans="6:6">
      <c r="F11823" s="35"/>
    </row>
    <row r="11824" spans="6:6">
      <c r="F11824" s="35"/>
    </row>
    <row r="11825" spans="6:6">
      <c r="F11825" s="35"/>
    </row>
    <row r="11826" spans="6:6">
      <c r="F11826" s="35"/>
    </row>
    <row r="11827" spans="6:6">
      <c r="F11827" s="35"/>
    </row>
    <row r="11828" spans="6:6">
      <c r="F11828" s="35"/>
    </row>
    <row r="11829" spans="6:6">
      <c r="F11829" s="35"/>
    </row>
    <row r="11830" spans="6:6">
      <c r="F11830" s="35"/>
    </row>
    <row r="11831" spans="6:6">
      <c r="F11831" s="35"/>
    </row>
    <row r="11832" spans="6:6">
      <c r="F11832" s="35"/>
    </row>
    <row r="11833" spans="6:6">
      <c r="F11833" s="35"/>
    </row>
    <row r="11834" spans="6:6">
      <c r="F11834" s="35"/>
    </row>
    <row r="11835" spans="6:6">
      <c r="F11835" s="35"/>
    </row>
    <row r="11836" spans="6:6">
      <c r="F11836" s="35"/>
    </row>
    <row r="11837" spans="6:6">
      <c r="F11837" s="35"/>
    </row>
    <row r="11838" spans="6:6">
      <c r="F11838" s="35"/>
    </row>
    <row r="11839" spans="6:6">
      <c r="F11839" s="35"/>
    </row>
    <row r="11840" spans="6:6">
      <c r="F11840" s="35"/>
    </row>
    <row r="11841" spans="6:6">
      <c r="F11841" s="35"/>
    </row>
    <row r="11842" spans="6:6">
      <c r="F11842" s="35"/>
    </row>
    <row r="11843" spans="6:6">
      <c r="F11843" s="35"/>
    </row>
    <row r="11844" spans="6:6">
      <c r="F11844" s="35"/>
    </row>
    <row r="11845" spans="6:6">
      <c r="F11845" s="35"/>
    </row>
    <row r="11846" spans="6:6">
      <c r="F11846" s="35"/>
    </row>
    <row r="11847" spans="6:6">
      <c r="F11847" s="35"/>
    </row>
    <row r="11848" spans="6:6">
      <c r="F11848" s="35"/>
    </row>
    <row r="11849" spans="6:6">
      <c r="F11849" s="35"/>
    </row>
    <row r="11850" spans="6:6">
      <c r="F11850" s="35"/>
    </row>
    <row r="11851" spans="6:6">
      <c r="F11851" s="35"/>
    </row>
    <row r="11852" spans="6:6">
      <c r="F11852" s="35"/>
    </row>
    <row r="11853" spans="6:6">
      <c r="F11853" s="35"/>
    </row>
    <row r="11854" spans="6:6">
      <c r="F11854" s="35"/>
    </row>
    <row r="11855" spans="6:6">
      <c r="F11855" s="35"/>
    </row>
    <row r="11856" spans="6:6">
      <c r="F11856" s="35"/>
    </row>
    <row r="11857" spans="6:6">
      <c r="F11857" s="35"/>
    </row>
    <row r="11858" spans="6:6">
      <c r="F11858" s="35"/>
    </row>
    <row r="11859" spans="6:6">
      <c r="F11859" s="35"/>
    </row>
    <row r="11860" spans="6:6">
      <c r="F11860" s="35"/>
    </row>
    <row r="11861" spans="6:6">
      <c r="F11861" s="35"/>
    </row>
    <row r="11862" spans="6:6">
      <c r="F11862" s="35"/>
    </row>
    <row r="11863" spans="6:6">
      <c r="F11863" s="35"/>
    </row>
    <row r="11864" spans="6:6">
      <c r="F11864" s="35"/>
    </row>
    <row r="11865" spans="6:6">
      <c r="F11865" s="35"/>
    </row>
    <row r="11866" spans="6:6">
      <c r="F11866" s="35"/>
    </row>
    <row r="11867" spans="6:6">
      <c r="F11867" s="35"/>
    </row>
    <row r="11868" spans="6:6">
      <c r="F11868" s="35"/>
    </row>
    <row r="11869" spans="6:6">
      <c r="F11869" s="35"/>
    </row>
    <row r="11870" spans="6:6">
      <c r="F11870" s="35"/>
    </row>
    <row r="11871" spans="6:6">
      <c r="F11871" s="35"/>
    </row>
    <row r="11872" spans="6:6">
      <c r="F11872" s="35"/>
    </row>
    <row r="11873" spans="6:6">
      <c r="F11873" s="35"/>
    </row>
    <row r="11874" spans="6:6">
      <c r="F11874" s="35"/>
    </row>
    <row r="11875" spans="6:6">
      <c r="F11875" s="35"/>
    </row>
    <row r="11876" spans="6:6">
      <c r="F11876" s="35"/>
    </row>
    <row r="11877" spans="6:6">
      <c r="F11877" s="35"/>
    </row>
    <row r="11878" spans="6:6">
      <c r="F11878" s="35"/>
    </row>
    <row r="11879" spans="6:6">
      <c r="F11879" s="35"/>
    </row>
    <row r="11880" spans="6:6">
      <c r="F11880" s="35"/>
    </row>
    <row r="11881" spans="6:6">
      <c r="F11881" s="35"/>
    </row>
    <row r="11882" spans="6:6">
      <c r="F11882" s="35"/>
    </row>
    <row r="11883" spans="6:6">
      <c r="F11883" s="35"/>
    </row>
    <row r="11884" spans="6:6">
      <c r="F11884" s="35"/>
    </row>
    <row r="11885" spans="6:6">
      <c r="F11885" s="35"/>
    </row>
    <row r="11886" spans="6:6">
      <c r="F11886" s="35"/>
    </row>
    <row r="11887" spans="6:6">
      <c r="F11887" s="35"/>
    </row>
    <row r="11888" spans="6:6">
      <c r="F11888" s="35"/>
    </row>
    <row r="11889" spans="6:6">
      <c r="F11889" s="35"/>
    </row>
    <row r="11890" spans="6:6">
      <c r="F11890" s="35"/>
    </row>
    <row r="11891" spans="6:6">
      <c r="F11891" s="35"/>
    </row>
    <row r="11892" spans="6:6">
      <c r="F11892" s="35"/>
    </row>
    <row r="11893" spans="6:6">
      <c r="F11893" s="35"/>
    </row>
    <row r="11894" spans="6:6">
      <c r="F11894" s="35"/>
    </row>
    <row r="11895" spans="6:6">
      <c r="F11895" s="35"/>
    </row>
    <row r="11896" spans="6:6">
      <c r="F11896" s="35"/>
    </row>
    <row r="11897" spans="6:6">
      <c r="F11897" s="35"/>
    </row>
    <row r="11898" spans="6:6">
      <c r="F11898" s="35"/>
    </row>
    <row r="11899" spans="6:6">
      <c r="F11899" s="35"/>
    </row>
    <row r="11900" spans="6:6">
      <c r="F11900" s="35"/>
    </row>
    <row r="11901" spans="6:6">
      <c r="F11901" s="35"/>
    </row>
    <row r="11902" spans="6:6">
      <c r="F11902" s="35"/>
    </row>
    <row r="11903" spans="6:6">
      <c r="F11903" s="35"/>
    </row>
    <row r="11904" spans="6:6">
      <c r="F11904" s="35"/>
    </row>
    <row r="11905" spans="6:6">
      <c r="F11905" s="35"/>
    </row>
    <row r="11906" spans="6:6">
      <c r="F11906" s="35"/>
    </row>
    <row r="11907" spans="6:6">
      <c r="F11907" s="35"/>
    </row>
    <row r="11908" spans="6:6">
      <c r="F11908" s="35"/>
    </row>
    <row r="11909" spans="6:6">
      <c r="F11909" s="35"/>
    </row>
    <row r="11910" spans="6:6">
      <c r="F11910" s="35"/>
    </row>
    <row r="11911" spans="6:6">
      <c r="F11911" s="35"/>
    </row>
    <row r="11912" spans="6:6">
      <c r="F11912" s="35"/>
    </row>
    <row r="11913" spans="6:6">
      <c r="F11913" s="35"/>
    </row>
    <row r="11914" spans="6:6">
      <c r="F11914" s="35"/>
    </row>
    <row r="11915" spans="6:6">
      <c r="F11915" s="35"/>
    </row>
    <row r="11916" spans="6:6">
      <c r="F11916" s="35"/>
    </row>
    <row r="11917" spans="6:6">
      <c r="F11917" s="35"/>
    </row>
    <row r="11918" spans="6:6">
      <c r="F11918" s="35"/>
    </row>
    <row r="11919" spans="6:6">
      <c r="F11919" s="35"/>
    </row>
    <row r="11920" spans="6:6">
      <c r="F11920" s="35"/>
    </row>
    <row r="11921" spans="6:6">
      <c r="F11921" s="35"/>
    </row>
    <row r="11922" spans="6:6">
      <c r="F11922" s="35"/>
    </row>
    <row r="11923" spans="6:6">
      <c r="F11923" s="35"/>
    </row>
    <row r="11924" spans="6:6">
      <c r="F11924" s="35"/>
    </row>
    <row r="11925" spans="6:6">
      <c r="F11925" s="35"/>
    </row>
    <row r="11926" spans="6:6">
      <c r="F11926" s="35"/>
    </row>
    <row r="11927" spans="6:6">
      <c r="F11927" s="35"/>
    </row>
    <row r="11928" spans="6:6">
      <c r="F11928" s="35"/>
    </row>
    <row r="11929" spans="6:6">
      <c r="F11929" s="35"/>
    </row>
    <row r="11930" spans="6:6">
      <c r="F11930" s="35"/>
    </row>
    <row r="11931" spans="6:6">
      <c r="F11931" s="35"/>
    </row>
    <row r="11932" spans="6:6">
      <c r="F11932" s="35"/>
    </row>
    <row r="11933" spans="6:6">
      <c r="F11933" s="35"/>
    </row>
    <row r="11934" spans="6:6">
      <c r="F11934" s="35"/>
    </row>
    <row r="11935" spans="6:6">
      <c r="F11935" s="35"/>
    </row>
    <row r="11936" spans="6:6">
      <c r="F11936" s="35"/>
    </row>
    <row r="11937" spans="6:6">
      <c r="F11937" s="35"/>
    </row>
    <row r="11938" spans="6:6">
      <c r="F11938" s="35"/>
    </row>
    <row r="11939" spans="6:6">
      <c r="F11939" s="35"/>
    </row>
    <row r="11940" spans="6:6">
      <c r="F11940" s="35"/>
    </row>
    <row r="11941" spans="6:6">
      <c r="F11941" s="35"/>
    </row>
    <row r="11942" spans="6:6">
      <c r="F11942" s="35"/>
    </row>
    <row r="11943" spans="6:6">
      <c r="F11943" s="35"/>
    </row>
    <row r="11944" spans="6:6">
      <c r="F11944" s="35"/>
    </row>
    <row r="11945" spans="6:6">
      <c r="F11945" s="35"/>
    </row>
    <row r="11946" spans="6:6">
      <c r="F11946" s="35"/>
    </row>
    <row r="11947" spans="6:6">
      <c r="F11947" s="35"/>
    </row>
    <row r="11948" spans="6:6">
      <c r="F11948" s="35"/>
    </row>
    <row r="11949" spans="6:6">
      <c r="F11949" s="35"/>
    </row>
    <row r="11950" spans="6:6">
      <c r="F11950" s="35"/>
    </row>
    <row r="11951" spans="6:6">
      <c r="F11951" s="35"/>
    </row>
    <row r="11952" spans="6:6">
      <c r="F11952" s="35"/>
    </row>
    <row r="11953" spans="6:6">
      <c r="F11953" s="35"/>
    </row>
    <row r="11954" spans="6:6">
      <c r="F11954" s="35"/>
    </row>
    <row r="11955" spans="6:6">
      <c r="F11955" s="35"/>
    </row>
    <row r="11956" spans="6:6">
      <c r="F11956" s="35"/>
    </row>
    <row r="11957" spans="6:6">
      <c r="F11957" s="35"/>
    </row>
    <row r="11958" spans="6:6">
      <c r="F11958" s="35"/>
    </row>
    <row r="11959" spans="6:6">
      <c r="F11959" s="35"/>
    </row>
    <row r="11960" spans="6:6">
      <c r="F11960" s="35"/>
    </row>
    <row r="11961" spans="6:6">
      <c r="F11961" s="35"/>
    </row>
    <row r="11962" spans="6:6">
      <c r="F11962" s="35"/>
    </row>
    <row r="11963" spans="6:6">
      <c r="F11963" s="35"/>
    </row>
    <row r="11964" spans="6:6">
      <c r="F11964" s="35"/>
    </row>
    <row r="11965" spans="6:6">
      <c r="F11965" s="35"/>
    </row>
    <row r="11966" spans="6:6">
      <c r="F11966" s="35"/>
    </row>
    <row r="11967" spans="6:6">
      <c r="F11967" s="35"/>
    </row>
    <row r="11968" spans="6:6">
      <c r="F11968" s="35"/>
    </row>
    <row r="11969" spans="6:6">
      <c r="F11969" s="35"/>
    </row>
    <row r="11970" spans="6:6">
      <c r="F11970" s="35"/>
    </row>
    <row r="11971" spans="6:6">
      <c r="F11971" s="35"/>
    </row>
    <row r="11972" spans="6:6">
      <c r="F11972" s="35"/>
    </row>
    <row r="11973" spans="6:6">
      <c r="F11973" s="35"/>
    </row>
    <row r="11974" spans="6:6">
      <c r="F11974" s="35"/>
    </row>
    <row r="11975" spans="6:6">
      <c r="F11975" s="35"/>
    </row>
    <row r="11976" spans="6:6">
      <c r="F11976" s="35"/>
    </row>
    <row r="11977" spans="6:6">
      <c r="F11977" s="35"/>
    </row>
    <row r="11978" spans="6:6">
      <c r="F11978" s="35"/>
    </row>
    <row r="11979" spans="6:6">
      <c r="F11979" s="35"/>
    </row>
    <row r="11980" spans="6:6">
      <c r="F11980" s="35"/>
    </row>
    <row r="11981" spans="6:6">
      <c r="F11981" s="35"/>
    </row>
    <row r="11982" spans="6:6">
      <c r="F11982" s="35"/>
    </row>
    <row r="11983" spans="6:6">
      <c r="F11983" s="35"/>
    </row>
    <row r="11984" spans="6:6">
      <c r="F11984" s="35"/>
    </row>
    <row r="11985" spans="6:6">
      <c r="F11985" s="35"/>
    </row>
    <row r="11986" spans="6:6">
      <c r="F11986" s="35"/>
    </row>
    <row r="11987" spans="6:6">
      <c r="F11987" s="35"/>
    </row>
    <row r="11988" spans="6:6">
      <c r="F11988" s="35"/>
    </row>
    <row r="11989" spans="6:6">
      <c r="F11989" s="35"/>
    </row>
    <row r="11990" spans="6:6">
      <c r="F11990" s="35"/>
    </row>
    <row r="11991" spans="6:6">
      <c r="F11991" s="35"/>
    </row>
    <row r="11992" spans="6:6">
      <c r="F11992" s="35"/>
    </row>
    <row r="11993" spans="6:6">
      <c r="F11993" s="35"/>
    </row>
    <row r="11994" spans="6:6">
      <c r="F11994" s="35"/>
    </row>
    <row r="11995" spans="6:6">
      <c r="F11995" s="35"/>
    </row>
    <row r="11996" spans="6:6">
      <c r="F11996" s="35"/>
    </row>
    <row r="11997" spans="6:6">
      <c r="F11997" s="35"/>
    </row>
    <row r="11998" spans="6:6">
      <c r="F11998" s="35"/>
    </row>
    <row r="11999" spans="6:6">
      <c r="F11999" s="35"/>
    </row>
    <row r="12000" spans="6:6">
      <c r="F12000" s="35"/>
    </row>
    <row r="12001" spans="6:6">
      <c r="F12001" s="35"/>
    </row>
    <row r="12002" spans="6:6">
      <c r="F12002" s="35"/>
    </row>
    <row r="12003" spans="6:6">
      <c r="F12003" s="35"/>
    </row>
    <row r="12004" spans="6:6">
      <c r="F12004" s="35"/>
    </row>
    <row r="12005" spans="6:6">
      <c r="F12005" s="35"/>
    </row>
    <row r="12006" spans="6:6">
      <c r="F12006" s="35"/>
    </row>
    <row r="12007" spans="6:6">
      <c r="F12007" s="35"/>
    </row>
    <row r="12008" spans="6:6">
      <c r="F12008" s="35"/>
    </row>
    <row r="12009" spans="6:6">
      <c r="F12009" s="35"/>
    </row>
    <row r="12010" spans="6:6">
      <c r="F12010" s="35"/>
    </row>
    <row r="12011" spans="6:6">
      <c r="F12011" s="35"/>
    </row>
    <row r="12012" spans="6:6">
      <c r="F12012" s="35"/>
    </row>
    <row r="12013" spans="6:6">
      <c r="F12013" s="35"/>
    </row>
    <row r="12014" spans="6:6">
      <c r="F12014" s="35"/>
    </row>
    <row r="12015" spans="6:6">
      <c r="F12015" s="35"/>
    </row>
    <row r="12016" spans="6:6">
      <c r="F12016" s="35"/>
    </row>
    <row r="12017" spans="6:6">
      <c r="F12017" s="35"/>
    </row>
    <row r="12018" spans="6:6">
      <c r="F12018" s="35"/>
    </row>
    <row r="12019" spans="6:6">
      <c r="F12019" s="35"/>
    </row>
    <row r="12020" spans="6:6">
      <c r="F12020" s="35"/>
    </row>
    <row r="12021" spans="6:6">
      <c r="F12021" s="35"/>
    </row>
    <row r="12022" spans="6:6">
      <c r="F12022" s="35"/>
    </row>
    <row r="12023" spans="6:6">
      <c r="F12023" s="35"/>
    </row>
    <row r="12024" spans="6:6">
      <c r="F12024" s="35"/>
    </row>
    <row r="12025" spans="6:6">
      <c r="F12025" s="35"/>
    </row>
    <row r="12026" spans="6:6">
      <c r="F12026" s="35"/>
    </row>
    <row r="12027" spans="6:6">
      <c r="F12027" s="35"/>
    </row>
    <row r="12028" spans="6:6">
      <c r="F12028" s="35"/>
    </row>
    <row r="12029" spans="6:6">
      <c r="F12029" s="35"/>
    </row>
    <row r="12030" spans="6:6">
      <c r="F12030" s="35"/>
    </row>
    <row r="12031" spans="6:6">
      <c r="F12031" s="35"/>
    </row>
    <row r="12032" spans="6:6">
      <c r="F12032" s="35"/>
    </row>
    <row r="12033" spans="6:6">
      <c r="F12033" s="35"/>
    </row>
    <row r="12034" spans="6:6">
      <c r="F12034" s="35"/>
    </row>
    <row r="12035" spans="6:6">
      <c r="F12035" s="35"/>
    </row>
    <row r="12036" spans="6:6">
      <c r="F12036" s="35"/>
    </row>
    <row r="12037" spans="6:6">
      <c r="F12037" s="35"/>
    </row>
    <row r="12038" spans="6:6">
      <c r="F12038" s="35"/>
    </row>
    <row r="12039" spans="6:6">
      <c r="F12039" s="35"/>
    </row>
    <row r="12040" spans="6:6">
      <c r="F12040" s="35"/>
    </row>
    <row r="12041" spans="6:6">
      <c r="F12041" s="35"/>
    </row>
    <row r="12042" spans="6:6">
      <c r="F12042" s="35"/>
    </row>
    <row r="12043" spans="6:6">
      <c r="F12043" s="35"/>
    </row>
    <row r="12044" spans="6:6">
      <c r="F12044" s="35"/>
    </row>
    <row r="12045" spans="6:6">
      <c r="F12045" s="35"/>
    </row>
    <row r="12046" spans="6:6">
      <c r="F12046" s="35"/>
    </row>
    <row r="12047" spans="6:6">
      <c r="F12047" s="35"/>
    </row>
    <row r="12048" spans="6:6">
      <c r="F12048" s="35"/>
    </row>
    <row r="12049" spans="6:6">
      <c r="F12049" s="35"/>
    </row>
    <row r="12050" spans="6:6">
      <c r="F12050" s="35"/>
    </row>
    <row r="12051" spans="6:6">
      <c r="F12051" s="35"/>
    </row>
    <row r="12052" spans="6:6">
      <c r="F12052" s="35"/>
    </row>
    <row r="12053" spans="6:6">
      <c r="F12053" s="35"/>
    </row>
    <row r="12054" spans="6:6">
      <c r="F12054" s="35"/>
    </row>
    <row r="12055" spans="6:6">
      <c r="F12055" s="35"/>
    </row>
    <row r="12056" spans="6:6">
      <c r="F12056" s="35"/>
    </row>
    <row r="12057" spans="6:6">
      <c r="F12057" s="35"/>
    </row>
    <row r="12058" spans="6:6">
      <c r="F12058" s="35"/>
    </row>
    <row r="12059" spans="6:6">
      <c r="F12059" s="35"/>
    </row>
    <row r="12060" spans="6:6">
      <c r="F12060" s="35"/>
    </row>
    <row r="12061" spans="6:6">
      <c r="F12061" s="35"/>
    </row>
    <row r="12062" spans="6:6">
      <c r="F12062" s="35"/>
    </row>
    <row r="12063" spans="6:6">
      <c r="F12063" s="35"/>
    </row>
    <row r="12064" spans="6:6">
      <c r="F12064" s="35"/>
    </row>
    <row r="12065" spans="6:6">
      <c r="F12065" s="35"/>
    </row>
    <row r="12066" spans="6:6">
      <c r="F12066" s="35"/>
    </row>
    <row r="12067" spans="6:6">
      <c r="F12067" s="35"/>
    </row>
    <row r="12068" spans="6:6">
      <c r="F12068" s="35"/>
    </row>
    <row r="12069" spans="6:6">
      <c r="F12069" s="35"/>
    </row>
    <row r="12070" spans="6:6">
      <c r="F12070" s="35"/>
    </row>
    <row r="12071" spans="6:6">
      <c r="F12071" s="35"/>
    </row>
    <row r="12072" spans="6:6">
      <c r="F12072" s="35"/>
    </row>
    <row r="12073" spans="6:6">
      <c r="F12073" s="35"/>
    </row>
    <row r="12074" spans="6:6">
      <c r="F12074" s="35"/>
    </row>
    <row r="12075" spans="6:6">
      <c r="F12075" s="35"/>
    </row>
    <row r="12076" spans="6:6">
      <c r="F12076" s="35"/>
    </row>
    <row r="12077" spans="6:6">
      <c r="F12077" s="35"/>
    </row>
    <row r="12078" spans="6:6">
      <c r="F12078" s="35"/>
    </row>
    <row r="12079" spans="6:6">
      <c r="F12079" s="35"/>
    </row>
    <row r="12080" spans="6:6">
      <c r="F12080" s="35"/>
    </row>
    <row r="12081" spans="6:6">
      <c r="F12081" s="35"/>
    </row>
    <row r="12082" spans="6:6">
      <c r="F12082" s="35"/>
    </row>
    <row r="12083" spans="6:6">
      <c r="F12083" s="35"/>
    </row>
    <row r="12084" spans="6:6">
      <c r="F12084" s="35"/>
    </row>
    <row r="12085" spans="6:6">
      <c r="F12085" s="35"/>
    </row>
    <row r="12086" spans="6:6">
      <c r="F12086" s="35"/>
    </row>
    <row r="12087" spans="6:6">
      <c r="F12087" s="35"/>
    </row>
    <row r="12088" spans="6:6">
      <c r="F12088" s="35"/>
    </row>
    <row r="12089" spans="6:6">
      <c r="F12089" s="35"/>
    </row>
    <row r="12090" spans="6:6">
      <c r="F12090" s="35"/>
    </row>
    <row r="12091" spans="6:6">
      <c r="F12091" s="35"/>
    </row>
    <row r="12092" spans="6:6">
      <c r="F12092" s="35"/>
    </row>
    <row r="12093" spans="6:6">
      <c r="F12093" s="35"/>
    </row>
    <row r="12094" spans="6:6">
      <c r="F12094" s="35"/>
    </row>
    <row r="12095" spans="6:6">
      <c r="F12095" s="35"/>
    </row>
    <row r="12096" spans="6:6">
      <c r="F12096" s="35"/>
    </row>
    <row r="12097" spans="6:6">
      <c r="F12097" s="35"/>
    </row>
    <row r="12098" spans="6:6">
      <c r="F12098" s="35"/>
    </row>
    <row r="12099" spans="6:6">
      <c r="F12099" s="35"/>
    </row>
    <row r="12100" spans="6:6">
      <c r="F12100" s="35"/>
    </row>
    <row r="12101" spans="6:6">
      <c r="F12101" s="35"/>
    </row>
    <row r="12102" spans="6:6">
      <c r="F12102" s="35"/>
    </row>
    <row r="12103" spans="6:6">
      <c r="F12103" s="35"/>
    </row>
    <row r="12104" spans="6:6">
      <c r="F12104" s="35"/>
    </row>
    <row r="12105" spans="6:6">
      <c r="F12105" s="35"/>
    </row>
    <row r="12106" spans="6:6">
      <c r="F12106" s="35"/>
    </row>
    <row r="12107" spans="6:6">
      <c r="F12107" s="35"/>
    </row>
    <row r="12108" spans="6:6">
      <c r="F12108" s="35"/>
    </row>
    <row r="12109" spans="6:6">
      <c r="F12109" s="35"/>
    </row>
    <row r="12110" spans="6:6">
      <c r="F12110" s="35"/>
    </row>
    <row r="12111" spans="6:6">
      <c r="F12111" s="35"/>
    </row>
    <row r="12112" spans="6:6">
      <c r="F12112" s="35"/>
    </row>
    <row r="12113" spans="6:6">
      <c r="F12113" s="35"/>
    </row>
    <row r="12114" spans="6:6">
      <c r="F12114" s="35"/>
    </row>
    <row r="12115" spans="6:6">
      <c r="F12115" s="35"/>
    </row>
    <row r="12116" spans="6:6">
      <c r="F12116" s="35"/>
    </row>
    <row r="12117" spans="6:6">
      <c r="F12117" s="35"/>
    </row>
    <row r="12118" spans="6:6">
      <c r="F12118" s="35"/>
    </row>
    <row r="12119" spans="6:6">
      <c r="F12119" s="35"/>
    </row>
    <row r="12120" spans="6:6">
      <c r="F12120" s="35"/>
    </row>
    <row r="12121" spans="6:6">
      <c r="F12121" s="35"/>
    </row>
    <row r="12122" spans="6:6">
      <c r="F12122" s="35"/>
    </row>
    <row r="12123" spans="6:6">
      <c r="F12123" s="35"/>
    </row>
    <row r="12124" spans="6:6">
      <c r="F12124" s="35"/>
    </row>
    <row r="12125" spans="6:6">
      <c r="F12125" s="35"/>
    </row>
    <row r="12126" spans="6:6">
      <c r="F12126" s="35"/>
    </row>
    <row r="12127" spans="6:6">
      <c r="F12127" s="35"/>
    </row>
    <row r="12128" spans="6:6">
      <c r="F12128" s="35"/>
    </row>
    <row r="12129" spans="6:6">
      <c r="F12129" s="35"/>
    </row>
    <row r="12130" spans="6:6">
      <c r="F12130" s="35"/>
    </row>
    <row r="12131" spans="6:6">
      <c r="F12131" s="35"/>
    </row>
    <row r="12132" spans="6:6">
      <c r="F12132" s="35"/>
    </row>
    <row r="12133" spans="6:6">
      <c r="F12133" s="35"/>
    </row>
    <row r="12134" spans="6:6">
      <c r="F12134" s="35"/>
    </row>
    <row r="12135" spans="6:6">
      <c r="F12135" s="35"/>
    </row>
    <row r="12136" spans="6:6">
      <c r="F12136" s="35"/>
    </row>
    <row r="12137" spans="6:6">
      <c r="F12137" s="35"/>
    </row>
    <row r="12138" spans="6:6">
      <c r="F12138" s="35"/>
    </row>
    <row r="12139" spans="6:6">
      <c r="F12139" s="35"/>
    </row>
    <row r="12140" spans="6:6">
      <c r="F12140" s="35"/>
    </row>
    <row r="12141" spans="6:6">
      <c r="F12141" s="35"/>
    </row>
    <row r="12142" spans="6:6">
      <c r="F12142" s="35"/>
    </row>
    <row r="12143" spans="6:6">
      <c r="F12143" s="35"/>
    </row>
    <row r="12144" spans="6:6">
      <c r="F12144" s="35"/>
    </row>
    <row r="12145" spans="6:6">
      <c r="F12145" s="35"/>
    </row>
    <row r="12146" spans="6:6">
      <c r="F12146" s="35"/>
    </row>
    <row r="12147" spans="6:6">
      <c r="F12147" s="35"/>
    </row>
    <row r="12148" spans="6:6">
      <c r="F12148" s="35"/>
    </row>
    <row r="12149" spans="6:6">
      <c r="F12149" s="35"/>
    </row>
    <row r="12150" spans="6:6">
      <c r="F12150" s="35"/>
    </row>
    <row r="12151" spans="6:6">
      <c r="F12151" s="35"/>
    </row>
    <row r="12152" spans="6:6">
      <c r="F12152" s="35"/>
    </row>
    <row r="12153" spans="6:6">
      <c r="F12153" s="35"/>
    </row>
    <row r="12154" spans="6:6">
      <c r="F12154" s="35"/>
    </row>
    <row r="12155" spans="6:6">
      <c r="F12155" s="35"/>
    </row>
    <row r="12156" spans="6:6">
      <c r="F12156" s="35"/>
    </row>
    <row r="12157" spans="6:6">
      <c r="F12157" s="35"/>
    </row>
    <row r="12158" spans="6:6">
      <c r="F12158" s="35"/>
    </row>
    <row r="12159" spans="6:6">
      <c r="F12159" s="35"/>
    </row>
    <row r="12160" spans="6:6">
      <c r="F12160" s="35"/>
    </row>
    <row r="12161" spans="6:6">
      <c r="F12161" s="35"/>
    </row>
    <row r="12162" spans="6:6">
      <c r="F12162" s="35"/>
    </row>
    <row r="12163" spans="6:6">
      <c r="F12163" s="35"/>
    </row>
    <row r="12164" spans="6:6">
      <c r="F12164" s="35"/>
    </row>
    <row r="12165" spans="6:6">
      <c r="F12165" s="35"/>
    </row>
    <row r="12166" spans="6:6">
      <c r="F12166" s="35"/>
    </row>
    <row r="12167" spans="6:6">
      <c r="F12167" s="35"/>
    </row>
    <row r="12168" spans="6:6">
      <c r="F12168" s="35"/>
    </row>
    <row r="12169" spans="6:6">
      <c r="F12169" s="35"/>
    </row>
    <row r="12170" spans="6:6">
      <c r="F12170" s="35"/>
    </row>
    <row r="12171" spans="6:6">
      <c r="F12171" s="35"/>
    </row>
    <row r="12172" spans="6:6">
      <c r="F12172" s="35"/>
    </row>
    <row r="12173" spans="6:6">
      <c r="F12173" s="35"/>
    </row>
    <row r="12174" spans="6:6">
      <c r="F12174" s="35"/>
    </row>
    <row r="12175" spans="6:6">
      <c r="F12175" s="35"/>
    </row>
    <row r="12176" spans="6:6">
      <c r="F12176" s="35"/>
    </row>
    <row r="12177" spans="6:6">
      <c r="F12177" s="35"/>
    </row>
    <row r="12178" spans="6:6">
      <c r="F12178" s="35"/>
    </row>
    <row r="12179" spans="6:6">
      <c r="F12179" s="35"/>
    </row>
    <row r="12180" spans="6:6">
      <c r="F12180" s="35"/>
    </row>
    <row r="12181" spans="6:6">
      <c r="F12181" s="35"/>
    </row>
    <row r="12182" spans="6:6">
      <c r="F12182" s="35"/>
    </row>
    <row r="12183" spans="6:6">
      <c r="F12183" s="35"/>
    </row>
    <row r="12184" spans="6:6">
      <c r="F12184" s="35"/>
    </row>
    <row r="12185" spans="6:6">
      <c r="F12185" s="35"/>
    </row>
    <row r="12186" spans="6:6">
      <c r="F12186" s="35"/>
    </row>
    <row r="12187" spans="6:6">
      <c r="F12187" s="35"/>
    </row>
    <row r="12188" spans="6:6">
      <c r="F12188" s="35"/>
    </row>
    <row r="12189" spans="6:6">
      <c r="F12189" s="35"/>
    </row>
    <row r="12190" spans="6:6">
      <c r="F12190" s="35"/>
    </row>
    <row r="12191" spans="6:6">
      <c r="F12191" s="35"/>
    </row>
    <row r="12192" spans="6:6">
      <c r="F12192" s="35"/>
    </row>
    <row r="12193" spans="6:6">
      <c r="F12193" s="35"/>
    </row>
    <row r="12194" spans="6:6">
      <c r="F12194" s="35"/>
    </row>
    <row r="12195" spans="6:6">
      <c r="F12195" s="35"/>
    </row>
    <row r="12196" spans="6:6">
      <c r="F12196" s="35"/>
    </row>
    <row r="12197" spans="6:6">
      <c r="F12197" s="35"/>
    </row>
    <row r="12198" spans="6:6">
      <c r="F12198" s="35"/>
    </row>
    <row r="12199" spans="6:6">
      <c r="F12199" s="35"/>
    </row>
    <row r="12200" spans="6:6">
      <c r="F12200" s="35"/>
    </row>
    <row r="12201" spans="6:6">
      <c r="F12201" s="35"/>
    </row>
    <row r="12202" spans="6:6">
      <c r="F12202" s="35"/>
    </row>
    <row r="12203" spans="6:6">
      <c r="F12203" s="35"/>
    </row>
    <row r="12204" spans="6:6">
      <c r="F12204" s="35"/>
    </row>
    <row r="12205" spans="6:6">
      <c r="F12205" s="35"/>
    </row>
    <row r="12206" spans="6:6">
      <c r="F12206" s="35"/>
    </row>
    <row r="12207" spans="6:6">
      <c r="F12207" s="35"/>
    </row>
    <row r="12208" spans="6:6">
      <c r="F12208" s="35"/>
    </row>
    <row r="12209" spans="6:6">
      <c r="F12209" s="35"/>
    </row>
    <row r="12210" spans="6:6">
      <c r="F12210" s="35"/>
    </row>
    <row r="12211" spans="6:6">
      <c r="F12211" s="35"/>
    </row>
    <row r="12212" spans="6:6">
      <c r="F12212" s="35"/>
    </row>
    <row r="12213" spans="6:6">
      <c r="F12213" s="35"/>
    </row>
    <row r="12214" spans="6:6">
      <c r="F12214" s="35"/>
    </row>
    <row r="12215" spans="6:6">
      <c r="F12215" s="35"/>
    </row>
    <row r="12216" spans="6:6">
      <c r="F12216" s="35"/>
    </row>
    <row r="12217" spans="6:6">
      <c r="F12217" s="35"/>
    </row>
    <row r="12218" spans="6:6">
      <c r="F12218" s="35"/>
    </row>
    <row r="12219" spans="6:6">
      <c r="F12219" s="35"/>
    </row>
    <row r="12220" spans="6:6">
      <c r="F12220" s="35"/>
    </row>
    <row r="12221" spans="6:6">
      <c r="F12221" s="35"/>
    </row>
    <row r="12222" spans="6:6">
      <c r="F12222" s="35"/>
    </row>
    <row r="12223" spans="6:6">
      <c r="F12223" s="35"/>
    </row>
    <row r="12224" spans="6:6">
      <c r="F12224" s="35"/>
    </row>
    <row r="12225" spans="6:6">
      <c r="F12225" s="35"/>
    </row>
    <row r="12226" spans="6:6">
      <c r="F12226" s="35"/>
    </row>
    <row r="12227" spans="6:6">
      <c r="F12227" s="35"/>
    </row>
    <row r="12228" spans="6:6">
      <c r="F12228" s="35"/>
    </row>
    <row r="12229" spans="6:6">
      <c r="F12229" s="35"/>
    </row>
    <row r="12230" spans="6:6">
      <c r="F12230" s="35"/>
    </row>
    <row r="12231" spans="6:6">
      <c r="F12231" s="35"/>
    </row>
    <row r="12232" spans="6:6">
      <c r="F12232" s="35"/>
    </row>
    <row r="12233" spans="6:6">
      <c r="F12233" s="35"/>
    </row>
    <row r="12234" spans="6:6">
      <c r="F12234" s="35"/>
    </row>
    <row r="12235" spans="6:6">
      <c r="F12235" s="35"/>
    </row>
    <row r="12236" spans="6:6">
      <c r="F12236" s="35"/>
    </row>
    <row r="12237" spans="6:6">
      <c r="F12237" s="35"/>
    </row>
    <row r="12238" spans="6:6">
      <c r="F12238" s="35"/>
    </row>
    <row r="12239" spans="6:6">
      <c r="F12239" s="35"/>
    </row>
    <row r="12240" spans="6:6">
      <c r="F12240" s="35"/>
    </row>
    <row r="12241" spans="6:6">
      <c r="F12241" s="35"/>
    </row>
    <row r="12242" spans="6:6">
      <c r="F12242" s="35"/>
    </row>
    <row r="12243" spans="6:6">
      <c r="F12243" s="35"/>
    </row>
    <row r="12244" spans="6:6">
      <c r="F12244" s="35"/>
    </row>
    <row r="12245" spans="6:6">
      <c r="F12245" s="35"/>
    </row>
    <row r="12246" spans="6:6">
      <c r="F12246" s="35"/>
    </row>
    <row r="12247" spans="6:6">
      <c r="F12247" s="35"/>
    </row>
    <row r="12248" spans="6:6">
      <c r="F12248" s="35"/>
    </row>
    <row r="12249" spans="6:6">
      <c r="F12249" s="35"/>
    </row>
    <row r="12250" spans="6:6">
      <c r="F12250" s="35"/>
    </row>
    <row r="12251" spans="6:6">
      <c r="F12251" s="35"/>
    </row>
    <row r="12252" spans="6:6">
      <c r="F12252" s="35"/>
    </row>
    <row r="12253" spans="6:6">
      <c r="F12253" s="35"/>
    </row>
    <row r="12254" spans="6:6">
      <c r="F12254" s="35"/>
    </row>
    <row r="12255" spans="6:6">
      <c r="F12255" s="35"/>
    </row>
    <row r="12256" spans="6:6">
      <c r="F12256" s="35"/>
    </row>
    <row r="12257" spans="6:6">
      <c r="F12257" s="35"/>
    </row>
    <row r="12258" spans="6:6">
      <c r="F12258" s="35"/>
    </row>
    <row r="12259" spans="6:6">
      <c r="F12259" s="35"/>
    </row>
    <row r="12260" spans="6:6">
      <c r="F12260" s="35"/>
    </row>
    <row r="12261" spans="6:6">
      <c r="F12261" s="35"/>
    </row>
    <row r="12262" spans="6:6">
      <c r="F12262" s="35"/>
    </row>
    <row r="12263" spans="6:6">
      <c r="F12263" s="35"/>
    </row>
    <row r="12264" spans="6:6">
      <c r="F12264" s="35"/>
    </row>
    <row r="12265" spans="6:6">
      <c r="F12265" s="35"/>
    </row>
    <row r="12266" spans="6:6">
      <c r="F12266" s="35"/>
    </row>
    <row r="12267" spans="6:6">
      <c r="F12267" s="35"/>
    </row>
    <row r="12268" spans="6:6">
      <c r="F12268" s="35"/>
    </row>
    <row r="12269" spans="6:6">
      <c r="F12269" s="35"/>
    </row>
    <row r="12270" spans="6:6">
      <c r="F12270" s="35"/>
    </row>
    <row r="12271" spans="6:6">
      <c r="F12271" s="35"/>
    </row>
    <row r="12272" spans="6:6">
      <c r="F12272" s="35"/>
    </row>
    <row r="12273" spans="6:6">
      <c r="F12273" s="35"/>
    </row>
    <row r="12274" spans="6:6">
      <c r="F12274" s="35"/>
    </row>
    <row r="12275" spans="6:6">
      <c r="F12275" s="35"/>
    </row>
    <row r="12276" spans="6:6">
      <c r="F12276" s="35"/>
    </row>
    <row r="12277" spans="6:6">
      <c r="F12277" s="35"/>
    </row>
    <row r="12278" spans="6:6">
      <c r="F12278" s="35"/>
    </row>
    <row r="12279" spans="6:6">
      <c r="F12279" s="35"/>
    </row>
    <row r="12280" spans="6:6">
      <c r="F12280" s="35"/>
    </row>
    <row r="12281" spans="6:6">
      <c r="F12281" s="35"/>
    </row>
    <row r="12282" spans="6:6">
      <c r="F12282" s="35"/>
    </row>
    <row r="12283" spans="6:6">
      <c r="F12283" s="35"/>
    </row>
    <row r="12284" spans="6:6">
      <c r="F12284" s="35"/>
    </row>
    <row r="12285" spans="6:6">
      <c r="F12285" s="35"/>
    </row>
    <row r="12286" spans="6:6">
      <c r="F12286" s="35"/>
    </row>
    <row r="12287" spans="6:6">
      <c r="F12287" s="35"/>
    </row>
    <row r="12288" spans="6:6">
      <c r="F12288" s="35"/>
    </row>
    <row r="12289" spans="6:6">
      <c r="F12289" s="35"/>
    </row>
    <row r="12290" spans="6:6">
      <c r="F12290" s="35"/>
    </row>
    <row r="12291" spans="6:6">
      <c r="F12291" s="35"/>
    </row>
    <row r="12292" spans="6:6">
      <c r="F12292" s="35"/>
    </row>
    <row r="12293" spans="6:6">
      <c r="F12293" s="35"/>
    </row>
    <row r="12294" spans="6:6">
      <c r="F12294" s="35"/>
    </row>
    <row r="12295" spans="6:6">
      <c r="F12295" s="35"/>
    </row>
    <row r="12296" spans="6:6">
      <c r="F12296" s="35"/>
    </row>
    <row r="12297" spans="6:6">
      <c r="F12297" s="35"/>
    </row>
    <row r="12298" spans="6:6">
      <c r="F12298" s="35"/>
    </row>
    <row r="12299" spans="6:6">
      <c r="F12299" s="35"/>
    </row>
    <row r="12300" spans="6:6">
      <c r="F12300" s="35"/>
    </row>
    <row r="12301" spans="6:6">
      <c r="F12301" s="35"/>
    </row>
    <row r="12302" spans="6:6">
      <c r="F12302" s="35"/>
    </row>
    <row r="12303" spans="6:6">
      <c r="F12303" s="35"/>
    </row>
    <row r="12304" spans="6:6">
      <c r="F12304" s="35"/>
    </row>
    <row r="12305" spans="6:6">
      <c r="F12305" s="35"/>
    </row>
    <row r="12306" spans="6:6">
      <c r="F12306" s="35"/>
    </row>
    <row r="12307" spans="6:6">
      <c r="F12307" s="35"/>
    </row>
    <row r="12308" spans="6:6">
      <c r="F12308" s="35"/>
    </row>
    <row r="12309" spans="6:6">
      <c r="F12309" s="35"/>
    </row>
    <row r="12310" spans="6:6">
      <c r="F12310" s="35"/>
    </row>
    <row r="12311" spans="6:6">
      <c r="F12311" s="35"/>
    </row>
    <row r="12312" spans="6:6">
      <c r="F12312" s="35"/>
    </row>
    <row r="12313" spans="6:6">
      <c r="F12313" s="35"/>
    </row>
    <row r="12314" spans="6:6">
      <c r="F12314" s="35"/>
    </row>
    <row r="12315" spans="6:6">
      <c r="F12315" s="35"/>
    </row>
    <row r="12316" spans="6:6">
      <c r="F12316" s="35"/>
    </row>
    <row r="12317" spans="6:6">
      <c r="F12317" s="35"/>
    </row>
    <row r="12318" spans="6:6">
      <c r="F12318" s="35"/>
    </row>
    <row r="12319" spans="6:6">
      <c r="F12319" s="35"/>
    </row>
    <row r="12320" spans="6:6">
      <c r="F12320" s="35"/>
    </row>
    <row r="12321" spans="6:6">
      <c r="F12321" s="35"/>
    </row>
    <row r="12322" spans="6:6">
      <c r="F12322" s="35"/>
    </row>
    <row r="12323" spans="6:6">
      <c r="F12323" s="35"/>
    </row>
    <row r="12324" spans="6:6">
      <c r="F12324" s="35"/>
    </row>
    <row r="12325" spans="6:6">
      <c r="F12325" s="35"/>
    </row>
    <row r="12326" spans="6:6">
      <c r="F12326" s="35"/>
    </row>
    <row r="12327" spans="6:6">
      <c r="F12327" s="35"/>
    </row>
    <row r="12328" spans="6:6">
      <c r="F12328" s="35"/>
    </row>
    <row r="12329" spans="6:6">
      <c r="F12329" s="35"/>
    </row>
    <row r="12330" spans="6:6">
      <c r="F12330" s="35"/>
    </row>
    <row r="12331" spans="6:6">
      <c r="F12331" s="35"/>
    </row>
    <row r="12332" spans="6:6">
      <c r="F12332" s="35"/>
    </row>
    <row r="12333" spans="6:6">
      <c r="F12333" s="35"/>
    </row>
    <row r="12334" spans="6:6">
      <c r="F12334" s="35"/>
    </row>
    <row r="12335" spans="6:6">
      <c r="F12335" s="35"/>
    </row>
    <row r="12336" spans="6:6">
      <c r="F12336" s="35"/>
    </row>
    <row r="12337" spans="6:6">
      <c r="F12337" s="35"/>
    </row>
    <row r="12338" spans="6:6">
      <c r="F12338" s="35"/>
    </row>
    <row r="12339" spans="6:6">
      <c r="F12339" s="35"/>
    </row>
    <row r="12340" spans="6:6">
      <c r="F12340" s="35"/>
    </row>
    <row r="12341" spans="6:6">
      <c r="F12341" s="35"/>
    </row>
    <row r="12342" spans="6:6">
      <c r="F12342" s="35"/>
    </row>
    <row r="12343" spans="6:6">
      <c r="F12343" s="35"/>
    </row>
    <row r="12344" spans="6:6">
      <c r="F12344" s="35"/>
    </row>
    <row r="12345" spans="6:6">
      <c r="F12345" s="35"/>
    </row>
    <row r="12346" spans="6:6">
      <c r="F12346" s="35"/>
    </row>
    <row r="12347" spans="6:6">
      <c r="F12347" s="35"/>
    </row>
    <row r="12348" spans="6:6">
      <c r="F12348" s="35"/>
    </row>
    <row r="12349" spans="6:6">
      <c r="F12349" s="35"/>
    </row>
    <row r="12350" spans="6:6">
      <c r="F12350" s="35"/>
    </row>
    <row r="12351" spans="6:6">
      <c r="F12351" s="35"/>
    </row>
    <row r="12352" spans="6:6">
      <c r="F12352" s="35"/>
    </row>
    <row r="12353" spans="6:6">
      <c r="F12353" s="35"/>
    </row>
    <row r="12354" spans="6:6">
      <c r="F12354" s="35"/>
    </row>
    <row r="12355" spans="6:6">
      <c r="F12355" s="35"/>
    </row>
    <row r="12356" spans="6:6">
      <c r="F12356" s="35"/>
    </row>
    <row r="12357" spans="6:6">
      <c r="F12357" s="35"/>
    </row>
    <row r="12358" spans="6:6">
      <c r="F12358" s="35"/>
    </row>
    <row r="12359" spans="6:6">
      <c r="F12359" s="35"/>
    </row>
    <row r="12360" spans="6:6">
      <c r="F12360" s="35"/>
    </row>
    <row r="12361" spans="6:6">
      <c r="F12361" s="35"/>
    </row>
    <row r="12362" spans="6:6">
      <c r="F12362" s="35"/>
    </row>
    <row r="12363" spans="6:6">
      <c r="F12363" s="35"/>
    </row>
    <row r="12364" spans="6:6">
      <c r="F12364" s="35"/>
    </row>
    <row r="12365" spans="6:6">
      <c r="F12365" s="35"/>
    </row>
    <row r="12366" spans="6:6">
      <c r="F12366" s="35"/>
    </row>
    <row r="12367" spans="6:6">
      <c r="F12367" s="35"/>
    </row>
    <row r="12368" spans="6:6">
      <c r="F12368" s="35"/>
    </row>
    <row r="12369" spans="6:6">
      <c r="F12369" s="35"/>
    </row>
    <row r="12370" spans="6:6">
      <c r="F12370" s="35"/>
    </row>
    <row r="12371" spans="6:6">
      <c r="F12371" s="35"/>
    </row>
    <row r="12372" spans="6:6">
      <c r="F12372" s="35"/>
    </row>
    <row r="12373" spans="6:6">
      <c r="F12373" s="35"/>
    </row>
    <row r="12374" spans="6:6">
      <c r="F12374" s="35"/>
    </row>
    <row r="12375" spans="6:6">
      <c r="F12375" s="35"/>
    </row>
    <row r="12376" spans="6:6">
      <c r="F12376" s="35"/>
    </row>
    <row r="12377" spans="6:6">
      <c r="F12377" s="35"/>
    </row>
    <row r="12378" spans="6:6">
      <c r="F12378" s="35"/>
    </row>
    <row r="12379" spans="6:6">
      <c r="F12379" s="35"/>
    </row>
    <row r="12380" spans="6:6">
      <c r="F12380" s="35"/>
    </row>
    <row r="12381" spans="6:6">
      <c r="F12381" s="35"/>
    </row>
    <row r="12382" spans="6:6">
      <c r="F12382" s="35"/>
    </row>
    <row r="12383" spans="6:6">
      <c r="F12383" s="35"/>
    </row>
    <row r="12384" spans="6:6">
      <c r="F12384" s="35"/>
    </row>
    <row r="12385" spans="6:6">
      <c r="F12385" s="35"/>
    </row>
    <row r="12386" spans="6:6">
      <c r="F12386" s="35"/>
    </row>
    <row r="12387" spans="6:6">
      <c r="F12387" s="35"/>
    </row>
    <row r="12388" spans="6:6">
      <c r="F12388" s="35"/>
    </row>
    <row r="12389" spans="6:6">
      <c r="F12389" s="35"/>
    </row>
    <row r="12390" spans="6:6">
      <c r="F12390" s="35"/>
    </row>
    <row r="12391" spans="6:6">
      <c r="F12391" s="35"/>
    </row>
    <row r="12392" spans="6:6">
      <c r="F12392" s="35"/>
    </row>
    <row r="12393" spans="6:6">
      <c r="F12393" s="35"/>
    </row>
    <row r="12394" spans="6:6">
      <c r="F12394" s="35"/>
    </row>
    <row r="12395" spans="6:6">
      <c r="F12395" s="35"/>
    </row>
    <row r="12396" spans="6:6">
      <c r="F12396" s="35"/>
    </row>
    <row r="12397" spans="6:6">
      <c r="F12397" s="35"/>
    </row>
    <row r="12398" spans="6:6">
      <c r="F12398" s="35"/>
    </row>
    <row r="12399" spans="6:6">
      <c r="F12399" s="35"/>
    </row>
    <row r="12400" spans="6:6">
      <c r="F12400" s="35"/>
    </row>
    <row r="12401" spans="6:6">
      <c r="F12401" s="35"/>
    </row>
    <row r="12402" spans="6:6">
      <c r="F12402" s="35"/>
    </row>
    <row r="12403" spans="6:6">
      <c r="F12403" s="35"/>
    </row>
    <row r="12404" spans="6:6">
      <c r="F12404" s="35"/>
    </row>
    <row r="12405" spans="6:6">
      <c r="F12405" s="35"/>
    </row>
    <row r="12406" spans="6:6">
      <c r="F12406" s="35"/>
    </row>
    <row r="12407" spans="6:6">
      <c r="F12407" s="35"/>
    </row>
    <row r="12408" spans="6:6">
      <c r="F12408" s="35"/>
    </row>
    <row r="12409" spans="6:6">
      <c r="F12409" s="35"/>
    </row>
    <row r="12410" spans="6:6">
      <c r="F12410" s="35"/>
    </row>
    <row r="12411" spans="6:6">
      <c r="F12411" s="35"/>
    </row>
    <row r="12412" spans="6:6">
      <c r="F12412" s="35"/>
    </row>
    <row r="12413" spans="6:6">
      <c r="F12413" s="35"/>
    </row>
    <row r="12414" spans="6:6">
      <c r="F12414" s="35"/>
    </row>
    <row r="12415" spans="6:6">
      <c r="F12415" s="35"/>
    </row>
    <row r="12416" spans="6:6">
      <c r="F12416" s="35"/>
    </row>
    <row r="12417" spans="6:6">
      <c r="F12417" s="35"/>
    </row>
    <row r="12418" spans="6:6">
      <c r="F12418" s="35"/>
    </row>
    <row r="12419" spans="6:6">
      <c r="F12419" s="35"/>
    </row>
    <row r="12420" spans="6:6">
      <c r="F12420" s="35"/>
    </row>
    <row r="12421" spans="6:6">
      <c r="F12421" s="35"/>
    </row>
    <row r="12422" spans="6:6">
      <c r="F12422" s="35"/>
    </row>
    <row r="12423" spans="6:6">
      <c r="F12423" s="35"/>
    </row>
    <row r="12424" spans="6:6">
      <c r="F12424" s="35"/>
    </row>
    <row r="12425" spans="6:6">
      <c r="F12425" s="35"/>
    </row>
    <row r="12426" spans="6:6">
      <c r="F12426" s="35"/>
    </row>
    <row r="12427" spans="6:6">
      <c r="F12427" s="35"/>
    </row>
    <row r="12428" spans="6:6">
      <c r="F12428" s="35"/>
    </row>
    <row r="12429" spans="6:6">
      <c r="F12429" s="35"/>
    </row>
    <row r="12430" spans="6:6">
      <c r="F12430" s="35"/>
    </row>
    <row r="12431" spans="6:6">
      <c r="F12431" s="35"/>
    </row>
    <row r="12432" spans="6:6">
      <c r="F12432" s="35"/>
    </row>
    <row r="12433" spans="6:6">
      <c r="F12433" s="35"/>
    </row>
    <row r="12434" spans="6:6">
      <c r="F12434" s="35"/>
    </row>
    <row r="12435" spans="6:6">
      <c r="F12435" s="35"/>
    </row>
    <row r="12436" spans="6:6">
      <c r="F12436" s="35"/>
    </row>
    <row r="12437" spans="6:6">
      <c r="F12437" s="35"/>
    </row>
    <row r="12438" spans="6:6">
      <c r="F12438" s="35"/>
    </row>
    <row r="12439" spans="6:6">
      <c r="F12439" s="35"/>
    </row>
    <row r="12440" spans="6:6">
      <c r="F12440" s="35"/>
    </row>
    <row r="12441" spans="6:6">
      <c r="F12441" s="35"/>
    </row>
    <row r="12442" spans="6:6">
      <c r="F12442" s="35"/>
    </row>
    <row r="12443" spans="6:6">
      <c r="F12443" s="35"/>
    </row>
    <row r="12444" spans="6:6">
      <c r="F12444" s="35"/>
    </row>
    <row r="12445" spans="6:6">
      <c r="F12445" s="35"/>
    </row>
    <row r="12446" spans="6:6">
      <c r="F12446" s="35"/>
    </row>
    <row r="12447" spans="6:6">
      <c r="F12447" s="35"/>
    </row>
    <row r="12448" spans="6:6">
      <c r="F12448" s="35"/>
    </row>
    <row r="12449" spans="6:6">
      <c r="F12449" s="35"/>
    </row>
    <row r="12450" spans="6:6">
      <c r="F12450" s="35"/>
    </row>
    <row r="12451" spans="6:6">
      <c r="F12451" s="35"/>
    </row>
    <row r="12452" spans="6:6">
      <c r="F12452" s="35"/>
    </row>
    <row r="12453" spans="6:6">
      <c r="F12453" s="35"/>
    </row>
    <row r="12454" spans="6:6">
      <c r="F12454" s="35"/>
    </row>
    <row r="12455" spans="6:6">
      <c r="F12455" s="35"/>
    </row>
    <row r="12456" spans="6:6">
      <c r="F12456" s="35"/>
    </row>
    <row r="12457" spans="6:6">
      <c r="F12457" s="35"/>
    </row>
    <row r="12458" spans="6:6">
      <c r="F12458" s="35"/>
    </row>
    <row r="12459" spans="6:6">
      <c r="F12459" s="35"/>
    </row>
    <row r="12460" spans="6:6">
      <c r="F12460" s="35"/>
    </row>
    <row r="12461" spans="6:6">
      <c r="F12461" s="35"/>
    </row>
    <row r="12462" spans="6:6">
      <c r="F12462" s="35"/>
    </row>
    <row r="12463" spans="6:6">
      <c r="F12463" s="35"/>
    </row>
    <row r="12464" spans="6:6">
      <c r="F12464" s="35"/>
    </row>
    <row r="12465" spans="6:6">
      <c r="F12465" s="35"/>
    </row>
    <row r="12466" spans="6:6">
      <c r="F12466" s="35"/>
    </row>
    <row r="12467" spans="6:6">
      <c r="F12467" s="35"/>
    </row>
    <row r="12468" spans="6:6">
      <c r="F12468" s="35"/>
    </row>
    <row r="12469" spans="6:6">
      <c r="F12469" s="35"/>
    </row>
    <row r="12470" spans="6:6">
      <c r="F12470" s="35"/>
    </row>
    <row r="12471" spans="6:6">
      <c r="F12471" s="35"/>
    </row>
    <row r="12472" spans="6:6">
      <c r="F12472" s="35"/>
    </row>
    <row r="12473" spans="6:6">
      <c r="F12473" s="35"/>
    </row>
    <row r="12474" spans="6:6">
      <c r="F12474" s="35"/>
    </row>
    <row r="12475" spans="6:6">
      <c r="F12475" s="35"/>
    </row>
    <row r="12476" spans="6:6">
      <c r="F12476" s="35"/>
    </row>
    <row r="12477" spans="6:6">
      <c r="F12477" s="35"/>
    </row>
    <row r="12478" spans="6:6">
      <c r="F12478" s="35"/>
    </row>
    <row r="12479" spans="6:6">
      <c r="F12479" s="35"/>
    </row>
    <row r="12480" spans="6:6">
      <c r="F12480" s="35"/>
    </row>
    <row r="12481" spans="6:6">
      <c r="F12481" s="35"/>
    </row>
    <row r="12482" spans="6:6">
      <c r="F12482" s="35"/>
    </row>
    <row r="12483" spans="6:6">
      <c r="F12483" s="35"/>
    </row>
    <row r="12484" spans="6:6">
      <c r="F12484" s="35"/>
    </row>
    <row r="12485" spans="6:6">
      <c r="F12485" s="35"/>
    </row>
    <row r="12486" spans="6:6">
      <c r="F12486" s="35"/>
    </row>
    <row r="12487" spans="6:6">
      <c r="F12487" s="35"/>
    </row>
    <row r="12488" spans="6:6">
      <c r="F12488" s="35"/>
    </row>
    <row r="12489" spans="6:6">
      <c r="F12489" s="35"/>
    </row>
    <row r="12490" spans="6:6">
      <c r="F12490" s="35"/>
    </row>
    <row r="12491" spans="6:6">
      <c r="F12491" s="35"/>
    </row>
    <row r="12492" spans="6:6">
      <c r="F12492" s="35"/>
    </row>
    <row r="12493" spans="6:6">
      <c r="F12493" s="35"/>
    </row>
    <row r="12494" spans="6:6">
      <c r="F12494" s="35"/>
    </row>
    <row r="12495" spans="6:6">
      <c r="F12495" s="35"/>
    </row>
    <row r="12496" spans="6:6">
      <c r="F12496" s="35"/>
    </row>
    <row r="12497" spans="6:6">
      <c r="F12497" s="35"/>
    </row>
    <row r="12498" spans="6:6">
      <c r="F12498" s="35"/>
    </row>
    <row r="12499" spans="6:6">
      <c r="F12499" s="35"/>
    </row>
    <row r="12500" spans="6:6">
      <c r="F12500" s="35"/>
    </row>
    <row r="12501" spans="6:6">
      <c r="F12501" s="35"/>
    </row>
    <row r="12502" spans="6:6">
      <c r="F12502" s="35"/>
    </row>
    <row r="12503" spans="6:6">
      <c r="F12503" s="35"/>
    </row>
    <row r="12504" spans="6:6">
      <c r="F12504" s="35"/>
    </row>
    <row r="12505" spans="6:6">
      <c r="F12505" s="35"/>
    </row>
    <row r="12506" spans="6:6">
      <c r="F12506" s="35"/>
    </row>
    <row r="12507" spans="6:6">
      <c r="F12507" s="35"/>
    </row>
    <row r="12508" spans="6:6">
      <c r="F12508" s="35"/>
    </row>
    <row r="12509" spans="6:6">
      <c r="F12509" s="35"/>
    </row>
    <row r="12510" spans="6:6">
      <c r="F12510" s="35"/>
    </row>
    <row r="12511" spans="6:6">
      <c r="F12511" s="35"/>
    </row>
    <row r="12512" spans="6:6">
      <c r="F12512" s="35"/>
    </row>
    <row r="12513" spans="6:6">
      <c r="F12513" s="35"/>
    </row>
    <row r="12514" spans="6:6">
      <c r="F12514" s="35"/>
    </row>
    <row r="12515" spans="6:6">
      <c r="F12515" s="35"/>
    </row>
    <row r="12516" spans="6:6">
      <c r="F12516" s="35"/>
    </row>
    <row r="12517" spans="6:6">
      <c r="F12517" s="35"/>
    </row>
    <row r="12518" spans="6:6">
      <c r="F12518" s="35"/>
    </row>
    <row r="12519" spans="6:6">
      <c r="F12519" s="35"/>
    </row>
    <row r="12520" spans="6:6">
      <c r="F12520" s="35"/>
    </row>
    <row r="12521" spans="6:6">
      <c r="F12521" s="35"/>
    </row>
    <row r="12522" spans="6:6">
      <c r="F12522" s="35"/>
    </row>
    <row r="12523" spans="6:6">
      <c r="F12523" s="35"/>
    </row>
    <row r="12524" spans="6:6">
      <c r="F12524" s="35"/>
    </row>
    <row r="12525" spans="6:6">
      <c r="F12525" s="35"/>
    </row>
    <row r="12526" spans="6:6">
      <c r="F12526" s="35"/>
    </row>
    <row r="12527" spans="6:6">
      <c r="F12527" s="35"/>
    </row>
    <row r="12528" spans="6:6">
      <c r="F12528" s="35"/>
    </row>
    <row r="12529" spans="6:6">
      <c r="F12529" s="35"/>
    </row>
    <row r="12530" spans="6:6">
      <c r="F12530" s="35"/>
    </row>
    <row r="12531" spans="6:6">
      <c r="F12531" s="35"/>
    </row>
    <row r="12532" spans="6:6">
      <c r="F12532" s="35"/>
    </row>
    <row r="12533" spans="6:6">
      <c r="F12533" s="35"/>
    </row>
    <row r="12534" spans="6:6">
      <c r="F12534" s="35"/>
    </row>
    <row r="12535" spans="6:6">
      <c r="F12535" s="35"/>
    </row>
    <row r="12536" spans="6:6">
      <c r="F12536" s="35"/>
    </row>
    <row r="12537" spans="6:6">
      <c r="F12537" s="35"/>
    </row>
    <row r="12538" spans="6:6">
      <c r="F12538" s="35"/>
    </row>
    <row r="12539" spans="6:6">
      <c r="F12539" s="35"/>
    </row>
    <row r="12540" spans="6:6">
      <c r="F12540" s="35"/>
    </row>
    <row r="12541" spans="6:6">
      <c r="F12541" s="35"/>
    </row>
    <row r="12542" spans="6:6">
      <c r="F12542" s="35"/>
    </row>
    <row r="12543" spans="6:6">
      <c r="F12543" s="35"/>
    </row>
    <row r="12544" spans="6:6">
      <c r="F12544" s="35"/>
    </row>
    <row r="12545" spans="6:6">
      <c r="F12545" s="35"/>
    </row>
    <row r="12546" spans="6:6">
      <c r="F12546" s="35"/>
    </row>
    <row r="12547" spans="6:6">
      <c r="F12547" s="35"/>
    </row>
    <row r="12548" spans="6:6">
      <c r="F12548" s="35"/>
    </row>
    <row r="12549" spans="6:6">
      <c r="F12549" s="35"/>
    </row>
    <row r="12550" spans="6:6">
      <c r="F12550" s="35"/>
    </row>
    <row r="12551" spans="6:6">
      <c r="F12551" s="35"/>
    </row>
    <row r="12552" spans="6:6">
      <c r="F12552" s="35"/>
    </row>
    <row r="12553" spans="6:6">
      <c r="F12553" s="35"/>
    </row>
    <row r="12554" spans="6:6">
      <c r="F12554" s="35"/>
    </row>
    <row r="12555" spans="6:6">
      <c r="F12555" s="35"/>
    </row>
    <row r="12556" spans="6:6">
      <c r="F12556" s="35"/>
    </row>
    <row r="12557" spans="6:6">
      <c r="F12557" s="35"/>
    </row>
    <row r="12558" spans="6:6">
      <c r="F12558" s="35"/>
    </row>
    <row r="12559" spans="6:6">
      <c r="F12559" s="35"/>
    </row>
    <row r="12560" spans="6:6">
      <c r="F12560" s="35"/>
    </row>
    <row r="12561" spans="6:6">
      <c r="F12561" s="35"/>
    </row>
    <row r="12562" spans="6:6">
      <c r="F12562" s="35"/>
    </row>
    <row r="12563" spans="6:6">
      <c r="F12563" s="35"/>
    </row>
    <row r="12564" spans="6:6">
      <c r="F12564" s="35"/>
    </row>
    <row r="12565" spans="6:6">
      <c r="F12565" s="35"/>
    </row>
    <row r="12566" spans="6:6">
      <c r="F12566" s="35"/>
    </row>
    <row r="12567" spans="6:6">
      <c r="F12567" s="35"/>
    </row>
    <row r="12568" spans="6:6">
      <c r="F12568" s="35"/>
    </row>
    <row r="12569" spans="6:6">
      <c r="F12569" s="35"/>
    </row>
    <row r="12570" spans="6:6">
      <c r="F12570" s="35"/>
    </row>
    <row r="12571" spans="6:6">
      <c r="F12571" s="35"/>
    </row>
    <row r="12572" spans="6:6">
      <c r="F12572" s="35"/>
    </row>
    <row r="12573" spans="6:6">
      <c r="F12573" s="35"/>
    </row>
    <row r="12574" spans="6:6">
      <c r="F12574" s="35"/>
    </row>
    <row r="12575" spans="6:6">
      <c r="F12575" s="35"/>
    </row>
    <row r="12576" spans="6:6">
      <c r="F12576" s="35"/>
    </row>
    <row r="12577" spans="6:6">
      <c r="F12577" s="35"/>
    </row>
    <row r="12578" spans="6:6">
      <c r="F12578" s="35"/>
    </row>
    <row r="12579" spans="6:6">
      <c r="F12579" s="35"/>
    </row>
    <row r="12580" spans="6:6">
      <c r="F12580" s="35"/>
    </row>
    <row r="12581" spans="6:6">
      <c r="F12581" s="35"/>
    </row>
    <row r="12582" spans="6:6">
      <c r="F12582" s="35"/>
    </row>
    <row r="12583" spans="6:6">
      <c r="F12583" s="35"/>
    </row>
    <row r="12584" spans="6:6">
      <c r="F12584" s="35"/>
    </row>
    <row r="12585" spans="6:6">
      <c r="F12585" s="35"/>
    </row>
    <row r="12586" spans="6:6">
      <c r="F12586" s="35"/>
    </row>
    <row r="12587" spans="6:6">
      <c r="F12587" s="35"/>
    </row>
    <row r="12588" spans="6:6">
      <c r="F12588" s="35"/>
    </row>
    <row r="12589" spans="6:6">
      <c r="F12589" s="35"/>
    </row>
    <row r="12590" spans="6:6">
      <c r="F12590" s="35"/>
    </row>
    <row r="12591" spans="6:6">
      <c r="F12591" s="35"/>
    </row>
    <row r="12592" spans="6:6">
      <c r="F12592" s="35"/>
    </row>
    <row r="12593" spans="6:6">
      <c r="F12593" s="35"/>
    </row>
    <row r="12594" spans="6:6">
      <c r="F12594" s="35"/>
    </row>
    <row r="12595" spans="6:6">
      <c r="F12595" s="35"/>
    </row>
    <row r="12596" spans="6:6">
      <c r="F12596" s="35"/>
    </row>
    <row r="12597" spans="6:6">
      <c r="F12597" s="35"/>
    </row>
    <row r="12598" spans="6:6">
      <c r="F12598" s="35"/>
    </row>
    <row r="12599" spans="6:6">
      <c r="F12599" s="35"/>
    </row>
    <row r="12600" spans="6:6">
      <c r="F12600" s="35"/>
    </row>
    <row r="12601" spans="6:6">
      <c r="F12601" s="35"/>
    </row>
    <row r="12602" spans="6:6">
      <c r="F12602" s="35"/>
    </row>
    <row r="12603" spans="6:6">
      <c r="F12603" s="35"/>
    </row>
    <row r="12604" spans="6:6">
      <c r="F12604" s="35"/>
    </row>
    <row r="12605" spans="6:6">
      <c r="F12605" s="35"/>
    </row>
    <row r="12606" spans="6:6">
      <c r="F12606" s="35"/>
    </row>
    <row r="12607" spans="6:6">
      <c r="F12607" s="35"/>
    </row>
    <row r="12608" spans="6:6">
      <c r="F12608" s="35"/>
    </row>
    <row r="12609" spans="6:6">
      <c r="F12609" s="35"/>
    </row>
    <row r="12610" spans="6:6">
      <c r="F12610" s="35"/>
    </row>
    <row r="12611" spans="6:6">
      <c r="F12611" s="35"/>
    </row>
    <row r="12612" spans="6:6">
      <c r="F12612" s="35"/>
    </row>
    <row r="12613" spans="6:6">
      <c r="F12613" s="35"/>
    </row>
    <row r="12614" spans="6:6">
      <c r="F12614" s="35"/>
    </row>
    <row r="12615" spans="6:6">
      <c r="F12615" s="35"/>
    </row>
    <row r="12616" spans="6:6">
      <c r="F12616" s="35"/>
    </row>
    <row r="12617" spans="6:6">
      <c r="F12617" s="35"/>
    </row>
    <row r="12618" spans="6:6">
      <c r="F12618" s="35"/>
    </row>
    <row r="12619" spans="6:6">
      <c r="F12619" s="35"/>
    </row>
    <row r="12620" spans="6:6">
      <c r="F12620" s="35"/>
    </row>
    <row r="12621" spans="6:6">
      <c r="F12621" s="35"/>
    </row>
    <row r="12622" spans="6:6">
      <c r="F12622" s="35"/>
    </row>
    <row r="12623" spans="6:6">
      <c r="F12623" s="35"/>
    </row>
    <row r="12624" spans="6:6">
      <c r="F12624" s="35"/>
    </row>
    <row r="12625" spans="6:6">
      <c r="F12625" s="35"/>
    </row>
    <row r="12626" spans="6:6">
      <c r="F12626" s="35"/>
    </row>
    <row r="12627" spans="6:6">
      <c r="F12627" s="35"/>
    </row>
    <row r="12628" spans="6:6">
      <c r="F12628" s="35"/>
    </row>
    <row r="12629" spans="6:6">
      <c r="F12629" s="35"/>
    </row>
    <row r="12630" spans="6:6">
      <c r="F12630" s="35"/>
    </row>
    <row r="12631" spans="6:6">
      <c r="F12631" s="35"/>
    </row>
    <row r="12632" spans="6:6">
      <c r="F12632" s="35"/>
    </row>
    <row r="12633" spans="6:6">
      <c r="F12633" s="35"/>
    </row>
    <row r="12634" spans="6:6">
      <c r="F12634" s="35"/>
    </row>
    <row r="12635" spans="6:6">
      <c r="F12635" s="35"/>
    </row>
    <row r="12636" spans="6:6">
      <c r="F12636" s="35"/>
    </row>
    <row r="12637" spans="6:6">
      <c r="F12637" s="35"/>
    </row>
    <row r="12638" spans="6:6">
      <c r="F12638" s="35"/>
    </row>
    <row r="12639" spans="6:6">
      <c r="F12639" s="35"/>
    </row>
    <row r="12640" spans="6:6">
      <c r="F12640" s="35"/>
    </row>
    <row r="12641" spans="6:6">
      <c r="F12641" s="35"/>
    </row>
    <row r="12642" spans="6:6">
      <c r="F12642" s="35"/>
    </row>
    <row r="12643" spans="6:6">
      <c r="F12643" s="35"/>
    </row>
    <row r="12644" spans="6:6">
      <c r="F12644" s="35"/>
    </row>
  </sheetData>
  <phoneticPr fontId="13" type="noConversion"/>
  <pageMargins left="0.7" right="0.7" top="0.75" bottom="0.75" header="0.3" footer="0.3"/>
  <pageSetup paperSize="9" scale="1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9445E-C2DD-4B47-94F4-139C2A376BCE}">
          <x14:formula1>
            <xm:f>Служебный!$R$2:$R$14</xm:f>
          </x14:formula1>
          <xm:sqref>F8:F12644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7" tint="0.39997558519241921"/>
  </sheetPr>
  <dimension ref="A1:L33"/>
  <sheetViews>
    <sheetView workbookViewId="0">
      <selection activeCell="C8" sqref="C8"/>
    </sheetView>
  </sheetViews>
  <sheetFormatPr defaultRowHeight="15"/>
  <cols>
    <col min="2" max="2" width="36.28515625" customWidth="1"/>
    <col min="3" max="3" width="15.140625" customWidth="1"/>
    <col min="6" max="6" width="9.140625" style="289"/>
    <col min="7" max="7" width="50.5703125" customWidth="1"/>
    <col min="8" max="8" width="16.140625" style="289" customWidth="1"/>
    <col min="9" max="9" width="18.140625" customWidth="1"/>
    <col min="10" max="10" width="12.5703125" customWidth="1"/>
    <col min="12" max="12" width="20.5703125" style="289" customWidth="1"/>
  </cols>
  <sheetData>
    <row r="1" spans="1:12">
      <c r="A1" s="63"/>
      <c r="B1" s="63" t="s">
        <v>153</v>
      </c>
      <c r="C1" s="63"/>
    </row>
    <row r="2" spans="1:12">
      <c r="A2" s="64"/>
      <c r="B2" s="64" t="s">
        <v>154</v>
      </c>
      <c r="C2" s="64"/>
    </row>
    <row r="3" spans="1:12">
      <c r="A3" s="81"/>
      <c r="B3" s="81" t="s">
        <v>157</v>
      </c>
      <c r="C3" s="81"/>
    </row>
    <row r="5" spans="1:12" ht="15.75" thickBot="1"/>
    <row r="6" spans="1:12" ht="24" customHeight="1" thickBot="1">
      <c r="B6" s="348" t="s">
        <v>160</v>
      </c>
      <c r="C6" s="349"/>
      <c r="E6" s="350" t="str">
        <f>CONCATENATE("Данные о напластовании грунтов по скважине № ", $C$7)</f>
        <v>Данные о напластовании грунтов по скважине № 1514</v>
      </c>
      <c r="F6" s="351"/>
      <c r="G6" s="351"/>
      <c r="H6" s="351"/>
      <c r="I6" s="351"/>
      <c r="J6" s="351"/>
      <c r="K6" s="351"/>
      <c r="L6" s="352"/>
    </row>
    <row r="7" spans="1:12" ht="32.25" thickBot="1">
      <c r="B7" s="293" t="s">
        <v>284</v>
      </c>
      <c r="C7" s="294">
        <v>1514</v>
      </c>
      <c r="E7" s="73" t="s">
        <v>1</v>
      </c>
      <c r="F7" s="75" t="s">
        <v>31</v>
      </c>
      <c r="G7" s="74" t="s">
        <v>32</v>
      </c>
      <c r="H7" s="74" t="s">
        <v>33</v>
      </c>
      <c r="I7" s="74" t="s">
        <v>34</v>
      </c>
      <c r="J7" s="76" t="s">
        <v>35</v>
      </c>
      <c r="K7" s="73" t="s">
        <v>1</v>
      </c>
      <c r="L7" s="73" t="s">
        <v>322</v>
      </c>
    </row>
    <row r="8" spans="1:12" ht="39.950000000000003" customHeight="1">
      <c r="B8" s="178" t="s">
        <v>285</v>
      </c>
      <c r="C8" s="182">
        <v>120</v>
      </c>
      <c r="E8" s="177">
        <v>1</v>
      </c>
      <c r="F8" s="291">
        <v>1</v>
      </c>
      <c r="G8" s="179" t="str">
        <f>IF(F8&gt;0,VLOOKUP($F8,Геология!$D$7:$BO$993,7,FALSE)," ")</f>
        <v>Насыпные грунты    с вкл. строительного мусора</v>
      </c>
      <c r="H8" s="292">
        <v>140.5</v>
      </c>
      <c r="I8" s="179">
        <f>IF(H9&lt;&gt;0,H9, H8-$C$11)</f>
        <v>136</v>
      </c>
      <c r="J8" s="179">
        <f>IF(IF(F8&lt;&gt;0,H8-I8,0)&lt;0,0,IF(F8&lt;&gt;0,H8-I8,0))</f>
        <v>4.5</v>
      </c>
      <c r="K8" s="177">
        <v>1</v>
      </c>
      <c r="L8" s="182" t="s">
        <v>236</v>
      </c>
    </row>
    <row r="9" spans="1:12" ht="39.950000000000003" customHeight="1">
      <c r="B9" s="178" t="s">
        <v>287</v>
      </c>
      <c r="C9" s="182">
        <v>139.4</v>
      </c>
      <c r="E9" s="177">
        <v>2</v>
      </c>
      <c r="F9" s="291">
        <v>2</v>
      </c>
      <c r="G9" s="179" t="str">
        <f>IF(F9&gt;0,VLOOKUP($F9,Геология!$D$7:$BO$993,7,FALSE)," ")</f>
        <v xml:space="preserve">Пески мелкие водонасыщенные средней плотности </v>
      </c>
      <c r="H9" s="292">
        <v>136</v>
      </c>
      <c r="I9" s="199">
        <f t="shared" ref="I9:I27" si="0">IF(H10&lt;&gt;0,H10, H9-$C$11)</f>
        <v>134.6</v>
      </c>
      <c r="J9" s="179">
        <f t="shared" ref="J9:J27" si="1">IF(IF(F9&lt;&gt;0,H9-I9,0)&lt;0,0,IF(F9&lt;&gt;0,H9-I9,0))</f>
        <v>1.4000000000000057</v>
      </c>
      <c r="K9" s="177">
        <v>2</v>
      </c>
      <c r="L9" s="182" t="s">
        <v>235</v>
      </c>
    </row>
    <row r="10" spans="1:12" ht="39.950000000000003" customHeight="1">
      <c r="B10" s="197" t="s">
        <v>288</v>
      </c>
      <c r="C10" s="265">
        <f>'Несущая способность по грунту 1'!B22</f>
        <v>6</v>
      </c>
      <c r="E10" s="177">
        <v>3</v>
      </c>
      <c r="F10" s="291" t="s">
        <v>107</v>
      </c>
      <c r="G10" s="179" t="str">
        <f>IF(F10&gt;0,VLOOKUP($F10,Геология!$D$7:$BO$993,7,FALSE)," ")</f>
        <v xml:space="preserve">Супеси пластичные   </v>
      </c>
      <c r="H10" s="292">
        <v>134.6</v>
      </c>
      <c r="I10" s="199">
        <f t="shared" si="0"/>
        <v>133.1</v>
      </c>
      <c r="J10" s="179">
        <f t="shared" si="1"/>
        <v>1.5</v>
      </c>
      <c r="K10" s="177">
        <v>3</v>
      </c>
      <c r="L10" s="182" t="s">
        <v>235</v>
      </c>
    </row>
    <row r="11" spans="1:12" ht="39.950000000000003" customHeight="1">
      <c r="B11" s="234" t="s">
        <v>305</v>
      </c>
      <c r="C11" s="182">
        <v>5.27</v>
      </c>
      <c r="E11" s="177">
        <v>4</v>
      </c>
      <c r="F11" s="291" t="s">
        <v>104</v>
      </c>
      <c r="G11" s="179" t="str">
        <f>IF(F11&gt;0,VLOOKUP($F11,Геология!$D$7:$BO$993,7,FALSE)," ")</f>
        <v>Суглинки полутвердые   с примесью органики, слабозаторфованные, с прослоями суглинка и глины тугопластичной</v>
      </c>
      <c r="H11" s="292">
        <v>133.1</v>
      </c>
      <c r="I11" s="199">
        <f t="shared" si="0"/>
        <v>129.19999999999999</v>
      </c>
      <c r="J11" s="179">
        <f t="shared" si="1"/>
        <v>3.9000000000000057</v>
      </c>
      <c r="K11" s="177">
        <v>4</v>
      </c>
      <c r="L11" s="182" t="s">
        <v>235</v>
      </c>
    </row>
    <row r="12" spans="1:12" ht="39.950000000000003" customHeight="1">
      <c r="E12" s="177">
        <v>5</v>
      </c>
      <c r="F12" s="291">
        <v>7</v>
      </c>
      <c r="G12" s="179" t="str">
        <f>IF(F12&gt;0,VLOOKUP($F12,Геология!$D$7:$BO$993,7,FALSE)," ")</f>
        <v>Глины твердые   с прослоями полутвердых, суглинков и супесей</v>
      </c>
      <c r="H12" s="292">
        <v>129.19999999999999</v>
      </c>
      <c r="I12" s="199">
        <f>IF(H13&lt;&gt;0,H13, H12-$C$11)</f>
        <v>128</v>
      </c>
      <c r="J12" s="179">
        <f t="shared" si="1"/>
        <v>1.1999999999999886</v>
      </c>
      <c r="K12" s="177">
        <v>5</v>
      </c>
      <c r="L12" s="182" t="s">
        <v>235</v>
      </c>
    </row>
    <row r="13" spans="1:12" ht="39.950000000000003" customHeight="1">
      <c r="B13" s="269" t="s">
        <v>342</v>
      </c>
      <c r="C13" s="182">
        <v>141</v>
      </c>
      <c r="E13" s="177">
        <v>6</v>
      </c>
      <c r="F13" s="291">
        <v>6</v>
      </c>
      <c r="G13" s="179" t="str">
        <f>IF(F13&gt;0,VLOOKUP($F13,Геология!$D$7:$BO$993,7,FALSE)," ")</f>
        <v>Суглинки полутвердые   с прослоями твердых глин</v>
      </c>
      <c r="H13" s="292">
        <v>128</v>
      </c>
      <c r="I13" s="199">
        <f t="shared" si="0"/>
        <v>127</v>
      </c>
      <c r="J13" s="179">
        <f t="shared" si="1"/>
        <v>1</v>
      </c>
      <c r="K13" s="258">
        <v>6</v>
      </c>
      <c r="L13" s="290" t="s">
        <v>235</v>
      </c>
    </row>
    <row r="14" spans="1:12" ht="39.950000000000003" customHeight="1">
      <c r="B14" s="197" t="s">
        <v>343</v>
      </c>
      <c r="C14" s="279">
        <f>C13-H8</f>
        <v>0.5</v>
      </c>
      <c r="E14" s="177">
        <v>7</v>
      </c>
      <c r="F14" s="291">
        <v>5</v>
      </c>
      <c r="G14" s="179" t="str">
        <f>IF(F14&gt;0,VLOOKUP($F14,Геология!$D$7:$BO$993,7,FALSE)," ")</f>
        <v xml:space="preserve">Супеси твердые   </v>
      </c>
      <c r="H14" s="292">
        <v>127</v>
      </c>
      <c r="I14" s="199">
        <f t="shared" si="0"/>
        <v>126</v>
      </c>
      <c r="J14" s="179">
        <f t="shared" si="1"/>
        <v>1</v>
      </c>
      <c r="K14" s="258">
        <v>7</v>
      </c>
      <c r="L14" s="290" t="s">
        <v>235</v>
      </c>
    </row>
    <row r="15" spans="1:12" ht="39.950000000000003" customHeight="1">
      <c r="E15" s="177">
        <v>8</v>
      </c>
      <c r="F15" s="291" t="s">
        <v>40</v>
      </c>
      <c r="G15" s="179" t="str">
        <f>IF(F15&gt;0,VLOOKUP($F15,Геология!$D$7:$BO$993,7,FALSE)," ")</f>
        <v xml:space="preserve">Пески крупные водонасыщенные рыхлые </v>
      </c>
      <c r="H15" s="292">
        <v>126</v>
      </c>
      <c r="I15" s="199">
        <f t="shared" si="0"/>
        <v>125</v>
      </c>
      <c r="J15" s="179">
        <f t="shared" si="1"/>
        <v>1</v>
      </c>
      <c r="K15" s="258">
        <v>8</v>
      </c>
      <c r="L15" s="290" t="s">
        <v>235</v>
      </c>
    </row>
    <row r="16" spans="1:12" ht="39.950000000000003" customHeight="1">
      <c r="E16" s="177">
        <v>9</v>
      </c>
      <c r="F16" s="291">
        <v>5</v>
      </c>
      <c r="G16" s="179" t="str">
        <f>IF(F16&gt;0,VLOOKUP($F16,Геология!$D$7:$BO$993,7,FALSE)," ")</f>
        <v xml:space="preserve">Супеси твердые   </v>
      </c>
      <c r="H16" s="292">
        <v>125</v>
      </c>
      <c r="I16" s="199">
        <f t="shared" si="0"/>
        <v>124</v>
      </c>
      <c r="J16" s="179">
        <f t="shared" si="1"/>
        <v>1</v>
      </c>
      <c r="K16" s="258">
        <v>9</v>
      </c>
      <c r="L16" s="290" t="s">
        <v>235</v>
      </c>
    </row>
    <row r="17" spans="5:12" ht="39.950000000000003" customHeight="1">
      <c r="E17" s="177">
        <v>10</v>
      </c>
      <c r="F17" s="291">
        <v>6</v>
      </c>
      <c r="G17" s="179" t="str">
        <f>IF(F17&gt;0,VLOOKUP($F17,Геология!$D$7:$BO$993,7,FALSE)," ")</f>
        <v>Суглинки полутвердые   с прослоями твердых глин</v>
      </c>
      <c r="H17" s="292">
        <v>124</v>
      </c>
      <c r="I17" s="199">
        <f t="shared" si="0"/>
        <v>118</v>
      </c>
      <c r="J17" s="179">
        <f t="shared" si="1"/>
        <v>6</v>
      </c>
      <c r="K17" s="258">
        <v>10</v>
      </c>
      <c r="L17" s="290" t="s">
        <v>235</v>
      </c>
    </row>
    <row r="18" spans="5:12" ht="39.950000000000003" customHeight="1">
      <c r="E18" s="177">
        <v>11</v>
      </c>
      <c r="F18" s="291">
        <v>7</v>
      </c>
      <c r="G18" s="179" t="str">
        <f>IF(F18&gt;0,VLOOKUP($F18,Геология!$D$7:$BO$993,7,FALSE)," ")</f>
        <v>Глины твердые   с прослоями полутвердых, суглинков и супесей</v>
      </c>
      <c r="H18" s="292">
        <v>118</v>
      </c>
      <c r="I18" s="199">
        <f t="shared" si="0"/>
        <v>117</v>
      </c>
      <c r="J18" s="179">
        <f t="shared" si="1"/>
        <v>1</v>
      </c>
      <c r="K18" s="258">
        <v>11</v>
      </c>
      <c r="L18" s="290" t="s">
        <v>235</v>
      </c>
    </row>
    <row r="19" spans="5:12" ht="39.950000000000003" customHeight="1">
      <c r="E19" s="177">
        <v>12</v>
      </c>
      <c r="F19" s="291">
        <v>5</v>
      </c>
      <c r="G19" s="179" t="str">
        <f>IF(F19&gt;0,VLOOKUP($F19,Геология!$D$7:$BO$993,7,FALSE)," ")</f>
        <v xml:space="preserve">Супеси твердые   </v>
      </c>
      <c r="H19" s="292">
        <v>117</v>
      </c>
      <c r="I19" s="199">
        <f t="shared" si="0"/>
        <v>111.73</v>
      </c>
      <c r="J19" s="179">
        <f t="shared" si="1"/>
        <v>5.269999999999996</v>
      </c>
      <c r="K19" s="258">
        <v>12</v>
      </c>
      <c r="L19" s="290" t="s">
        <v>235</v>
      </c>
    </row>
    <row r="20" spans="5:12" ht="39.950000000000003" customHeight="1">
      <c r="E20" s="177">
        <v>13</v>
      </c>
      <c r="F20" s="291"/>
      <c r="G20" s="179" t="str">
        <f>IF(F20&gt;0,VLOOKUP($F20,Геология!$D$7:$BO$993,7,FALSE)," ")</f>
        <v xml:space="preserve"> </v>
      </c>
      <c r="H20" s="292"/>
      <c r="I20" s="199">
        <f t="shared" si="0"/>
        <v>-5.27</v>
      </c>
      <c r="J20" s="179">
        <f t="shared" si="1"/>
        <v>0</v>
      </c>
      <c r="K20" s="258">
        <v>13</v>
      </c>
      <c r="L20" s="290" t="s">
        <v>235</v>
      </c>
    </row>
    <row r="21" spans="5:12" ht="39.950000000000003" customHeight="1">
      <c r="E21" s="177">
        <v>14</v>
      </c>
      <c r="F21" s="291"/>
      <c r="G21" s="179" t="str">
        <f>IF(F21&gt;0,VLOOKUP($F21,Геология!$D$7:$BO$993,7,FALSE)," ")</f>
        <v xml:space="preserve"> </v>
      </c>
      <c r="H21" s="292"/>
      <c r="I21" s="199">
        <f t="shared" si="0"/>
        <v>-5.27</v>
      </c>
      <c r="J21" s="179">
        <f t="shared" si="1"/>
        <v>0</v>
      </c>
      <c r="K21" s="258">
        <v>14</v>
      </c>
      <c r="L21" s="290" t="s">
        <v>235</v>
      </c>
    </row>
    <row r="22" spans="5:12" ht="39.950000000000003" customHeight="1">
      <c r="E22" s="177">
        <v>15</v>
      </c>
      <c r="F22" s="291"/>
      <c r="G22" s="179" t="str">
        <f>IF(F22&gt;0,VLOOKUP($F22,Геология!$D$7:$BO$993,7,FALSE)," ")</f>
        <v xml:space="preserve"> </v>
      </c>
      <c r="H22" s="292"/>
      <c r="I22" s="199">
        <f t="shared" si="0"/>
        <v>-5.27</v>
      </c>
      <c r="J22" s="179">
        <f t="shared" si="1"/>
        <v>0</v>
      </c>
      <c r="K22" s="258">
        <v>15</v>
      </c>
      <c r="L22" s="290" t="s">
        <v>235</v>
      </c>
    </row>
    <row r="23" spans="5:12" ht="39.950000000000003" customHeight="1">
      <c r="E23" s="177">
        <v>16</v>
      </c>
      <c r="F23" s="291"/>
      <c r="G23" s="179" t="str">
        <f>IF(F23&gt;0,VLOOKUP($F23,Геология!$D$7:$BO$993,7,FALSE)," ")</f>
        <v xml:space="preserve"> </v>
      </c>
      <c r="H23" s="292"/>
      <c r="I23" s="199">
        <f t="shared" si="0"/>
        <v>-5.27</v>
      </c>
      <c r="J23" s="179">
        <f t="shared" si="1"/>
        <v>0</v>
      </c>
      <c r="K23" s="258">
        <v>16</v>
      </c>
      <c r="L23" s="290" t="s">
        <v>235</v>
      </c>
    </row>
    <row r="24" spans="5:12" ht="39.950000000000003" customHeight="1">
      <c r="E24" s="177">
        <v>17</v>
      </c>
      <c r="F24" s="291"/>
      <c r="G24" s="179" t="str">
        <f>IF(F24&gt;0,VLOOKUP($F24,Геология!$D$7:$BO$993,7,FALSE)," ")</f>
        <v xml:space="preserve"> </v>
      </c>
      <c r="H24" s="292"/>
      <c r="I24" s="199">
        <f t="shared" si="0"/>
        <v>-5.27</v>
      </c>
      <c r="J24" s="179">
        <f t="shared" si="1"/>
        <v>0</v>
      </c>
      <c r="K24" s="258">
        <v>17</v>
      </c>
      <c r="L24" s="290" t="s">
        <v>235</v>
      </c>
    </row>
    <row r="25" spans="5:12" ht="39.950000000000003" customHeight="1">
      <c r="E25" s="177">
        <v>18</v>
      </c>
      <c r="F25" s="291"/>
      <c r="G25" s="179" t="str">
        <f>IF(F25&gt;0,VLOOKUP($F25,Геология!$D$7:$BO$993,7,FALSE)," ")</f>
        <v xml:space="preserve"> </v>
      </c>
      <c r="H25" s="292"/>
      <c r="I25" s="199">
        <f t="shared" si="0"/>
        <v>-5.27</v>
      </c>
      <c r="J25" s="179">
        <f t="shared" si="1"/>
        <v>0</v>
      </c>
      <c r="K25" s="258">
        <v>18</v>
      </c>
      <c r="L25" s="290" t="s">
        <v>235</v>
      </c>
    </row>
    <row r="26" spans="5:12" ht="39.950000000000003" customHeight="1">
      <c r="E26" s="177">
        <v>19</v>
      </c>
      <c r="F26" s="291"/>
      <c r="G26" s="179" t="str">
        <f>IF(F26&gt;0,VLOOKUP($F26,Геология!$D$7:$BO$993,7,FALSE)," ")</f>
        <v xml:space="preserve"> </v>
      </c>
      <c r="H26" s="292"/>
      <c r="I26" s="199">
        <f t="shared" si="0"/>
        <v>-5.27</v>
      </c>
      <c r="J26" s="179">
        <f t="shared" si="1"/>
        <v>0</v>
      </c>
      <c r="K26" s="258">
        <v>19</v>
      </c>
      <c r="L26" s="290" t="s">
        <v>235</v>
      </c>
    </row>
    <row r="27" spans="5:12" ht="39.950000000000003" customHeight="1">
      <c r="E27" s="177">
        <v>20</v>
      </c>
      <c r="F27" s="291"/>
      <c r="G27" s="179" t="str">
        <f>IF(F27&gt;0,VLOOKUP($F27,Геология!$D$7:$BO$993,7,FALSE)," ")</f>
        <v xml:space="preserve"> </v>
      </c>
      <c r="H27" s="292"/>
      <c r="I27" s="199">
        <f t="shared" si="0"/>
        <v>-5.27</v>
      </c>
      <c r="J27" s="179">
        <f t="shared" si="1"/>
        <v>0</v>
      </c>
      <c r="K27" s="258">
        <v>20</v>
      </c>
      <c r="L27" s="290" t="s">
        <v>235</v>
      </c>
    </row>
    <row r="28" spans="5:12">
      <c r="E28" s="267">
        <v>21</v>
      </c>
      <c r="F28" s="291"/>
      <c r="G28" s="268" t="str">
        <f>IF(F28&gt;0,VLOOKUP($F28,Геология!$D$7:$BO$993,7,FALSE)," ")</f>
        <v xml:space="preserve"> </v>
      </c>
      <c r="H28" s="292"/>
      <c r="I28" s="268">
        <f t="shared" ref="I28:I33" si="2">IF(H29&lt;&gt;0,H29, H28-$C$11)</f>
        <v>-5.27</v>
      </c>
      <c r="J28" s="268">
        <f t="shared" ref="J28:J33" si="3">IF(IF(F28&lt;&gt;0,H28-I28,0)&lt;0,0,IF(F28&lt;&gt;0,H28-I28,0))</f>
        <v>0</v>
      </c>
      <c r="K28" s="268">
        <v>21</v>
      </c>
      <c r="L28" s="290" t="s">
        <v>235</v>
      </c>
    </row>
    <row r="29" spans="5:12">
      <c r="E29" s="267">
        <v>22</v>
      </c>
      <c r="F29" s="291"/>
      <c r="G29" s="268" t="str">
        <f>IF(F29&gt;0,VLOOKUP($F29,Геология!$D$7:$BO$993,7,FALSE)," ")</f>
        <v xml:space="preserve"> </v>
      </c>
      <c r="H29" s="292"/>
      <c r="I29" s="268">
        <f t="shared" si="2"/>
        <v>-5.27</v>
      </c>
      <c r="J29" s="268">
        <f t="shared" si="3"/>
        <v>0</v>
      </c>
      <c r="K29" s="268">
        <v>22</v>
      </c>
      <c r="L29" s="290" t="s">
        <v>235</v>
      </c>
    </row>
    <row r="30" spans="5:12">
      <c r="E30" s="267">
        <v>23</v>
      </c>
      <c r="F30" s="291"/>
      <c r="G30" s="268" t="str">
        <f>IF(F30&gt;0,VLOOKUP($F30,Геология!$D$7:$BO$993,7,FALSE)," ")</f>
        <v xml:space="preserve"> </v>
      </c>
      <c r="H30" s="292"/>
      <c r="I30" s="268">
        <f t="shared" si="2"/>
        <v>-5.27</v>
      </c>
      <c r="J30" s="268">
        <f t="shared" si="3"/>
        <v>0</v>
      </c>
      <c r="K30" s="268">
        <v>23</v>
      </c>
      <c r="L30" s="290" t="s">
        <v>235</v>
      </c>
    </row>
    <row r="31" spans="5:12">
      <c r="E31" s="267">
        <v>24</v>
      </c>
      <c r="F31" s="291"/>
      <c r="G31" s="268" t="str">
        <f>IF(F31&gt;0,VLOOKUP($F31,Геология!$D$7:$BO$993,7,FALSE)," ")</f>
        <v xml:space="preserve"> </v>
      </c>
      <c r="H31" s="292"/>
      <c r="I31" s="268">
        <f t="shared" si="2"/>
        <v>-5.27</v>
      </c>
      <c r="J31" s="268">
        <f t="shared" si="3"/>
        <v>0</v>
      </c>
      <c r="K31" s="268">
        <v>24</v>
      </c>
      <c r="L31" s="290" t="s">
        <v>235</v>
      </c>
    </row>
    <row r="32" spans="5:12">
      <c r="E32" s="267">
        <v>25</v>
      </c>
      <c r="F32" s="291"/>
      <c r="G32" s="268" t="str">
        <f>IF(F32&gt;0,VLOOKUP($F32,Геология!$D$7:$BO$993,7,FALSE)," ")</f>
        <v xml:space="preserve"> </v>
      </c>
      <c r="H32" s="292"/>
      <c r="I32" s="268">
        <f t="shared" si="2"/>
        <v>-5.27</v>
      </c>
      <c r="J32" s="268">
        <f t="shared" si="3"/>
        <v>0</v>
      </c>
      <c r="K32" s="268">
        <v>25</v>
      </c>
      <c r="L32" s="290" t="s">
        <v>235</v>
      </c>
    </row>
    <row r="33" spans="5:12">
      <c r="E33" s="267">
        <v>26</v>
      </c>
      <c r="F33" s="291"/>
      <c r="G33" s="268" t="str">
        <f>IF(F33&gt;0,VLOOKUP($F33,Геология!$D$7:$BO$993,7,FALSE)," ")</f>
        <v xml:space="preserve"> </v>
      </c>
      <c r="H33" s="292"/>
      <c r="I33" s="268">
        <f t="shared" si="2"/>
        <v>-5.27</v>
      </c>
      <c r="J33" s="268">
        <f t="shared" si="3"/>
        <v>0</v>
      </c>
      <c r="K33" s="268">
        <v>26</v>
      </c>
      <c r="L33" s="290" t="s">
        <v>235</v>
      </c>
    </row>
  </sheetData>
  <mergeCells count="2">
    <mergeCell ref="B6:C6"/>
    <mergeCell ref="E6:L6"/>
  </mergeCells>
  <conditionalFormatting sqref="H8">
    <cfRule type="expression" dxfId="67" priority="18">
      <formula>$F8&gt;0</formula>
    </cfRule>
  </conditionalFormatting>
  <conditionalFormatting sqref="H8">
    <cfRule type="expression" dxfId="66" priority="16">
      <formula>$F8=0</formula>
    </cfRule>
  </conditionalFormatting>
  <conditionalFormatting sqref="I8:I33">
    <cfRule type="expression" dxfId="65" priority="14">
      <formula>$F8=0</formula>
    </cfRule>
  </conditionalFormatting>
  <conditionalFormatting sqref="J8">
    <cfRule type="expression" dxfId="64" priority="12">
      <formula>$F8=0</formula>
    </cfRule>
  </conditionalFormatting>
  <conditionalFormatting sqref="G8">
    <cfRule type="expression" dxfId="63" priority="11">
      <formula>$F8=0</formula>
    </cfRule>
  </conditionalFormatting>
  <conditionalFormatting sqref="H9:H33">
    <cfRule type="expression" dxfId="62" priority="10">
      <formula>$F9&gt;0</formula>
    </cfRule>
  </conditionalFormatting>
  <conditionalFormatting sqref="H9:H33">
    <cfRule type="expression" dxfId="61" priority="9">
      <formula>$F9=0</formula>
    </cfRule>
  </conditionalFormatting>
  <conditionalFormatting sqref="J9:J33">
    <cfRule type="expression" dxfId="60" priority="6">
      <formula>$F9=0</formula>
    </cfRule>
  </conditionalFormatting>
  <conditionalFormatting sqref="G9:G33">
    <cfRule type="expression" dxfId="59" priority="5">
      <formula>$F9=0</formula>
    </cfRule>
  </conditionalFormatting>
  <conditionalFormatting sqref="K13">
    <cfRule type="expression" dxfId="58" priority="4">
      <formula>$F13=0</formula>
    </cfRule>
  </conditionalFormatting>
  <conditionalFormatting sqref="L13">
    <cfRule type="expression" dxfId="57" priority="3">
      <formula>$F13=0</formula>
    </cfRule>
  </conditionalFormatting>
  <conditionalFormatting sqref="K14:K33">
    <cfRule type="expression" dxfId="56" priority="2">
      <formula>$F14=0</formula>
    </cfRule>
  </conditionalFormatting>
  <conditionalFormatting sqref="L14:L33">
    <cfRule type="expression" dxfId="55" priority="1">
      <formula>$F14=0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0BDB02-4280-42E7-9635-7770959A3C72}">
          <x14:formula1>
            <xm:f>Служебный!$K$2:$K$3</xm:f>
          </x14:formula1>
          <xm:sqref>L8:L33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FF1FD-CF24-4224-9E74-7195208F35CB}">
  <sheetPr codeName="Лист3">
    <tabColor theme="7" tint="0.39997558519241921"/>
  </sheetPr>
  <dimension ref="A1"/>
  <sheetViews>
    <sheetView workbookViewId="0">
      <selection activeCell="D33" sqref="D33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9" tint="0.59999389629810485"/>
    <pageSetUpPr fitToPage="1"/>
  </sheetPr>
  <dimension ref="A2:AY209"/>
  <sheetViews>
    <sheetView tabSelected="1" zoomScale="70" zoomScaleNormal="70" workbookViewId="0">
      <pane ySplit="8" topLeftCell="A9" activePane="bottomLeft" state="frozen"/>
      <selection pane="bottomLeft" activeCell="M9" sqref="M9:M18"/>
    </sheetView>
  </sheetViews>
  <sheetFormatPr defaultRowHeight="15"/>
  <cols>
    <col min="1" max="1" width="63.7109375" customWidth="1"/>
    <col min="2" max="4" width="15.140625" customWidth="1"/>
    <col min="5" max="5" width="13.7109375" customWidth="1"/>
    <col min="8" max="8" width="34.140625" customWidth="1"/>
    <col min="9" max="9" width="13.85546875" customWidth="1"/>
    <col min="10" max="10" width="10.7109375" customWidth="1"/>
    <col min="11" max="11" width="12" customWidth="1"/>
    <col min="12" max="12" width="12.140625" customWidth="1"/>
    <col min="19" max="19" width="13.7109375" customWidth="1"/>
    <col min="22" max="22" width="13.7109375" customWidth="1"/>
    <col min="26" max="26" width="9.140625" customWidth="1"/>
    <col min="44" max="44" width="9.140625" style="1"/>
    <col min="47" max="47" width="9.140625" style="1"/>
    <col min="50" max="50" width="9.140625" style="103"/>
  </cols>
  <sheetData>
    <row r="2" spans="1:51" s="172" customFormat="1" ht="21">
      <c r="A2" s="171" t="s">
        <v>158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AR2" s="173"/>
      <c r="AU2" s="173"/>
      <c r="AX2" s="173"/>
    </row>
    <row r="4" spans="1:51" ht="15.75">
      <c r="A4" s="63" t="s">
        <v>153</v>
      </c>
      <c r="B4" s="33"/>
      <c r="H4" s="29"/>
    </row>
    <row r="5" spans="1:51" ht="15.75">
      <c r="A5" s="64" t="s">
        <v>154</v>
      </c>
      <c r="B5" s="49"/>
      <c r="H5" s="29" t="s">
        <v>57</v>
      </c>
      <c r="I5" s="340">
        <f>Скважина!$C$7</f>
        <v>1514</v>
      </c>
    </row>
    <row r="6" spans="1:51">
      <c r="A6" s="81" t="s">
        <v>157</v>
      </c>
      <c r="B6" s="81"/>
    </row>
    <row r="7" spans="1:51" ht="19.5" thickBot="1">
      <c r="G7" s="32" t="str">
        <f>CONCATENATE("Определение трения по боковой поверхности сваи по скважине № ",I$5)</f>
        <v>Определение трения по боковой поверхности сваи по скважине № 1514</v>
      </c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99" t="s">
        <v>207</v>
      </c>
      <c r="U7" s="399"/>
      <c r="V7" s="399"/>
      <c r="AN7" s="400" t="s">
        <v>168</v>
      </c>
      <c r="AO7" s="400"/>
      <c r="AP7" s="400"/>
      <c r="AQ7" s="400"/>
      <c r="AR7" s="400"/>
      <c r="AS7" s="400"/>
      <c r="AT7" s="400"/>
      <c r="AU7" s="400"/>
      <c r="AV7" s="400"/>
      <c r="AW7" s="400"/>
      <c r="AX7" s="400"/>
      <c r="AY7" s="400"/>
    </row>
    <row r="8" spans="1:51" ht="51" thickBot="1">
      <c r="F8" s="287" t="s">
        <v>290</v>
      </c>
      <c r="G8" s="287" t="s">
        <v>31</v>
      </c>
      <c r="H8" s="286" t="s">
        <v>32</v>
      </c>
      <c r="I8" s="286" t="s">
        <v>73</v>
      </c>
      <c r="J8" s="286" t="s">
        <v>33</v>
      </c>
      <c r="K8" s="286" t="s">
        <v>34</v>
      </c>
      <c r="L8" s="286" t="s">
        <v>35</v>
      </c>
      <c r="M8" s="286" t="s">
        <v>55</v>
      </c>
      <c r="N8" s="288" t="s">
        <v>36</v>
      </c>
      <c r="O8" s="286" t="s">
        <v>58</v>
      </c>
      <c r="P8" s="286" t="s">
        <v>59</v>
      </c>
      <c r="Q8" s="286" t="s">
        <v>60</v>
      </c>
      <c r="R8" s="286" t="s">
        <v>61</v>
      </c>
      <c r="S8" s="76" t="s">
        <v>56</v>
      </c>
      <c r="T8" s="74" t="s">
        <v>204</v>
      </c>
      <c r="U8" s="74" t="s">
        <v>205</v>
      </c>
      <c r="V8" s="76" t="s">
        <v>206</v>
      </c>
      <c r="AN8" s="174" t="s">
        <v>169</v>
      </c>
      <c r="AO8" s="174" t="s">
        <v>170</v>
      </c>
      <c r="AP8" s="174" t="s">
        <v>167</v>
      </c>
      <c r="AQ8" s="175" t="s">
        <v>182</v>
      </c>
      <c r="AR8" s="175" t="s">
        <v>183</v>
      </c>
      <c r="AS8" s="94" t="s">
        <v>184</v>
      </c>
      <c r="AT8" s="94" t="s">
        <v>188</v>
      </c>
      <c r="AU8" s="176" t="s">
        <v>186</v>
      </c>
      <c r="AV8" s="112" t="s">
        <v>187</v>
      </c>
      <c r="AW8" s="112" t="s">
        <v>217</v>
      </c>
      <c r="AX8" s="176" t="s">
        <v>218</v>
      </c>
      <c r="AY8" s="112" t="s">
        <v>219</v>
      </c>
    </row>
    <row r="9" spans="1:51" ht="15" customHeight="1">
      <c r="A9" s="29" t="s">
        <v>62</v>
      </c>
      <c r="F9" s="360">
        <f>IF(Скважина!$I8&lt;Скважина!$C$9,Скважина!E8,IF(Скважина!$I9&lt;Скважина!$C$9,Скважина!E9,IF(Скважина!$I10&lt;Скважина!$C$9,Скважина!E10,IF(Скважина!$I11&lt;Скважина!$C$9,Скважина!E11,IF(Скважина!$I12&lt;Скважина!$C$9,Скважина!E12,IF(Скважина!$I13&lt;Скважина!$C$9,Скважина!E13,IF(Скважина!$I14&lt;Скважина!$C$9,Скважина!E14,IF(Скважина!$I15&lt;Скважина!$C$9,Скважина!E15,IF(Скважина!$I16&lt;Скважина!$C$9,Скважина!E16,IF(Скважина!$I17&lt;Скважина!$C$9,Скважина!E17,IF(Скважина!$I18&lt;Скважина!$C$9,Скважина!E18,IF(Скважина!$I19&lt;Скважина!$C$9,Скважина!E19,IF(Скважина!$I20&lt;Скважина!$C$9,Скважина!E20,IF(Скважина!$I21&lt;Скважина!$C$9,Скважина!E21,IF(Скважина!$I22&lt;Скважина!$C$9,Скважина!E22,IF(Скважина!$I23&lt;Скважина!$C$9,Скважина!E23,IF(Скважина!$I24&lt;Скважина!$C$9,Скважина!E24,IF(Скважина!$I25&lt;Скважина!$C$9,Скважина!E25,IF(Скважина!$I26&lt;Скважина!$C$9,Скважина!E26,IF(Скважина!$I27&lt;Скважина!$C$9,Скважина!E27,0))))))))))))))))))))</f>
        <v>1</v>
      </c>
      <c r="G9" s="360">
        <f>IF(F9&lt;21,VLOOKUP('Несущая способность по грунту 1'!F9,Скважина!$E$8:$K$27,2,FALSE),0)</f>
        <v>1</v>
      </c>
      <c r="H9" s="363" t="str">
        <f>IF(G9&lt;&gt;0,VLOOKUP('Несущая способность по грунту 1'!G9,Геология!$D$7:$BO$993,7,FALSE)," ")</f>
        <v>Насыпные грунты    с вкл. строительного мусора</v>
      </c>
      <c r="I9" s="366">
        <f>IF(G9&lt;&gt;0,VLOOKUP('Несущая способность по грунту 1'!G9, Геология!$D$8:$BM$993, 22,FALSE)," ")</f>
        <v>0</v>
      </c>
      <c r="J9" s="369">
        <f>IF(G9&lt;&gt;0,IF(Скважина!$C$9&gt;Скважина!$H$8,Скважина!$H$8,Скважина!$C$9),0)</f>
        <v>139.4</v>
      </c>
      <c r="K9" s="372">
        <f>IF(VLOOKUP($F9,Скважина!$E$8:$K$27,5,FALSE)&gt;Скважина!$C$8,VLOOKUP($F9,Скважина!$E$8:$K$27,5,FALSE),Скважина!$C$8)</f>
        <v>136</v>
      </c>
      <c r="L9" s="355">
        <f>IF(IF(G9&lt;&gt;0,J9-K9,0)&lt;0,0,IF(G9&lt;&gt;0,J9-K9,0))</f>
        <v>3.4000000000000057</v>
      </c>
      <c r="M9" s="385">
        <v>2</v>
      </c>
      <c r="N9" s="275">
        <f>IF(G9&lt;&gt;0,1,0)</f>
        <v>1</v>
      </c>
      <c r="O9" s="66">
        <f>IF(N9&lt;&gt;" ",L$9/COUNT(N$9:N$18), " ")</f>
        <v>1.7000000000000028</v>
      </c>
      <c r="P9" s="66">
        <f>IF(AND(Скважина!$C$14&lt;3,Скважина!$C$14&gt;(-3)),Скважина!$H$8-Скважина!$C$9+O9/2,IF(Скважина!$C$14&gt;3,Скважина!$H$8-Скважина!$C$9+O9/2+3,Скважина!$H$8-Скважина!$C$9+O9/2-3))</f>
        <v>1.9499999999999957</v>
      </c>
      <c r="Q9" s="66" cm="1">
        <f t="array" ref="Q9">IF(Скважина!$L$8=Служебный!$K$2,IF(O9&lt;&gt;" ",IF('Несущая способность по грунту 1'!P9&gt;1,Interpol(9,14,Служебный!$H$33:$H$46,Служебный!$I$32:$Q$32,Служебный!$I$33:$Q$46,'Несущая способность по грунту 1'!P9,IF($I$9&lt;=0.2,0.2,$I$9)),0)," "),0)</f>
        <v>0</v>
      </c>
      <c r="R9" s="67">
        <f>IF(N9&lt;&gt;" ",O9*Q9," ")</f>
        <v>0</v>
      </c>
      <c r="S9" s="189">
        <f>SUM(R9:R88)</f>
        <v>622.96519999999998</v>
      </c>
      <c r="T9" s="34"/>
      <c r="U9" s="72">
        <f>IF(N9&lt;&gt;" ",O9*T9," ")</f>
        <v>0</v>
      </c>
      <c r="V9" s="189">
        <f>SUM(U9:U88)</f>
        <v>0</v>
      </c>
      <c r="X9" s="159" t="s">
        <v>338</v>
      </c>
      <c r="Y9" s="160"/>
      <c r="Z9" s="161" t="s">
        <v>155</v>
      </c>
      <c r="AA9" s="162"/>
      <c r="AC9" s="283" t="s">
        <v>213</v>
      </c>
      <c r="AD9" s="284"/>
      <c r="AN9" s="353">
        <f>IF(OR(G9=0,F9&gt;20)," ",VLOOKUP('Несущая способность по грунту 1'!G9,Геология!$D$7:$BO$993,23,FALSE))</f>
        <v>18.631399999999999</v>
      </c>
      <c r="AO9" s="353">
        <f>IF(AN9&lt;&gt;" ",AN9*L9," ")</f>
        <v>63.346760000000103</v>
      </c>
      <c r="AP9" s="396">
        <f>SUM(AO9:AO208)/SUM(L9:L208)</f>
        <v>17.761496597938141</v>
      </c>
      <c r="AQ9" s="353">
        <f>IF(G9&lt;&gt;0,VLOOKUP('Несущая способность по грунту 1'!G9,Геология!$D$7:$BO$993,24,FALSE)," ")</f>
        <v>0.35</v>
      </c>
      <c r="AR9" s="353">
        <f>IF(AQ9&lt;&gt;" ",AQ9*L9," ")</f>
        <v>1.1900000000000019</v>
      </c>
      <c r="AS9" s="396">
        <f>SUM(AR9:AR208)/SUM(L9:L208)</f>
        <v>0.34396907216494843</v>
      </c>
      <c r="AT9" s="353">
        <f>IF(G9&lt;&gt;0,VLOOKUP('Несущая способность по грунту 1'!G9,Геология!$D$7:$BO$993,21,FALSE)," ")</f>
        <v>4</v>
      </c>
      <c r="AU9" s="353">
        <f>IF(G9&lt;&gt;0,AT9*L9," ")</f>
        <v>13.600000000000023</v>
      </c>
      <c r="AV9" s="396">
        <f>SUM(AU9:AU208)/SUM(L9:L208)</f>
        <v>14.481597938144322</v>
      </c>
      <c r="AW9" s="353">
        <f>IF(G9&lt;&gt;0,VLOOKUP('Несущая способность по грунту 1'!G9,Геология!$D$7:$BO$993,27,FALSE), " ")</f>
        <v>1.4814814814814814</v>
      </c>
      <c r="AX9" s="353">
        <f>IF(G9&lt;&gt;0,AW9*L9," ")</f>
        <v>5.0370370370370452</v>
      </c>
      <c r="AY9" s="396">
        <f>SUM(AX9:AX208)/SUM(L9:L208)</f>
        <v>5.4169951949205437</v>
      </c>
    </row>
    <row r="10" spans="1:51">
      <c r="A10" s="48" t="s">
        <v>63</v>
      </c>
      <c r="B10" s="51">
        <f>J9-SUM(L9:L208)</f>
        <v>120</v>
      </c>
      <c r="C10" s="54"/>
      <c r="D10" s="54"/>
      <c r="F10" s="361"/>
      <c r="G10" s="361"/>
      <c r="H10" s="364"/>
      <c r="I10" s="367"/>
      <c r="J10" s="370"/>
      <c r="K10" s="373"/>
      <c r="L10" s="356"/>
      <c r="M10" s="386"/>
      <c r="N10" s="267">
        <f>IF(N9=" "," ", IF(N9&lt;M$9,N9+1, " "))</f>
        <v>2</v>
      </c>
      <c r="O10" s="28">
        <f t="shared" ref="O10:O18" si="0">IF(N10&lt;&gt;" ",L$9/COUNT(N$9:N$18), " ")</f>
        <v>1.7000000000000028</v>
      </c>
      <c r="P10" s="28">
        <f>IF(N10&lt;&gt;" ",MAX($P$9:P9)+O10/2," ")</f>
        <v>2.7999999999999972</v>
      </c>
      <c r="Q10" s="28" cm="1">
        <f t="array" ref="Q10">IF(Скважина!$L$8=Служебный!$K$2,IF(O10&lt;&gt;" ",IF('Несущая способность по грунту 1'!P10&gt;1,Interpol(9,14,Служебный!$H$33:$H$46,Служебный!$I$32:$Q$32,Служебный!$I$33:$Q$46,'Несущая способность по грунту 1'!P10,IF($I$9&lt;=0.2,0.2,$I$9)),0)," "),0)</f>
        <v>0</v>
      </c>
      <c r="R10" s="68">
        <f t="shared" ref="R10:R18" si="1">IF(N10&lt;&gt;" ",O10*Q10," ")</f>
        <v>0</v>
      </c>
      <c r="S10" s="188"/>
      <c r="T10" s="28"/>
      <c r="U10" s="72">
        <f t="shared" ref="U10:U73" si="2">IF(N10&lt;&gt;" ",O10*T10," ")</f>
        <v>0</v>
      </c>
      <c r="V10" s="188"/>
      <c r="X10" s="163" t="s">
        <v>39</v>
      </c>
      <c r="Y10" s="47">
        <v>0.2</v>
      </c>
      <c r="Z10" s="142">
        <f>IF(I9&lt;=0.2,0.2,I9)</f>
        <v>0.2</v>
      </c>
      <c r="AA10" s="151">
        <v>0.3</v>
      </c>
      <c r="AC10" s="262" t="s">
        <v>39</v>
      </c>
      <c r="AD10" s="165" t="s">
        <v>214</v>
      </c>
      <c r="AN10" s="353"/>
      <c r="AO10" s="353"/>
      <c r="AP10" s="397"/>
      <c r="AQ10" s="353"/>
      <c r="AR10" s="353"/>
      <c r="AS10" s="397"/>
      <c r="AT10" s="353"/>
      <c r="AU10" s="353"/>
      <c r="AV10" s="397"/>
      <c r="AW10" s="353"/>
      <c r="AX10" s="353"/>
      <c r="AY10" s="397"/>
    </row>
    <row r="11" spans="1:51" ht="15.75" thickBot="1">
      <c r="A11" s="250" t="s">
        <v>311</v>
      </c>
      <c r="B11" s="182" t="s">
        <v>317</v>
      </c>
      <c r="C11" s="55"/>
      <c r="D11" s="55"/>
      <c r="F11" s="361"/>
      <c r="G11" s="361"/>
      <c r="H11" s="364"/>
      <c r="I11" s="367"/>
      <c r="J11" s="370"/>
      <c r="K11" s="373"/>
      <c r="L11" s="356"/>
      <c r="M11" s="386"/>
      <c r="N11" s="267" t="str">
        <f t="shared" ref="N11:N18" si="3">IF(N10=" "," ", IF(N10&lt;M$9,N10+1, " "))</f>
        <v xml:space="preserve"> </v>
      </c>
      <c r="O11" s="28" t="str">
        <f t="shared" si="0"/>
        <v xml:space="preserve"> </v>
      </c>
      <c r="P11" s="28" t="str">
        <f>IF(N11&lt;&gt;" ",MAX($P$9:P10)+O11/2," ")</f>
        <v xml:space="preserve"> </v>
      </c>
      <c r="Q11" s="28" cm="1">
        <f t="array" ref="Q11">IF(Скважина!$L$8=Служебный!$K$2,IF(O11&lt;&gt;" ",IF('Несущая способность по грунту 1'!P11&gt;1,Interpol(9,14,Служебный!$H$33:$H$46,Служебный!$I$32:$Q$32,Служебный!$I$33:$Q$46,'Несущая способность по грунту 1'!P11,IF($I$9&lt;=0.2,0.2,$I$9)),0)," "),0)</f>
        <v>0</v>
      </c>
      <c r="R11" s="68" t="str">
        <f t="shared" si="1"/>
        <v xml:space="preserve"> </v>
      </c>
      <c r="S11" s="188"/>
      <c r="T11" s="28"/>
      <c r="U11" s="72" t="str">
        <f t="shared" si="2"/>
        <v xml:space="preserve"> </v>
      </c>
      <c r="V11" s="188"/>
      <c r="X11" s="164">
        <v>6</v>
      </c>
      <c r="Y11" s="109">
        <f>IF(Y10=0.2,VLOOKUP(X11,Служебный!$H$33:$Q$46,2,FALSE),IF(Y10=0.3,VLOOKUP(X11,Служебный!$H$33:$Q$46,3,FALSE),IF(Y10=0.4,VLOOKUP(X11,Служебный!$H$33:$Q$46,4,FALSE),IF(Y10=0.5,VLOOKUP(X11,Служебный!$H$33:$Q$46,5,FALSE),IF(Y10=0.6,VLOOKUP(X11,Служебный!$H$33:$Q$46,6,FALSE),IF(Y10=0.7,VLOOKUP(X11,Служебный!$H$33:$Q$46,7,FALSE),IF(Y10=0.8,VLOOKUP(X11,Служебный!$H$33:$Q$46,8,FALSE),IF(Y10=0.9,VLOOKUP(X11,Служебный!$H$33:$Q$46,9,FALSE),IF(Y10=1,VLOOKUP(X11,Служебный!$H$33:$Q$46,10,FALSE),0)))))))))</f>
        <v>58</v>
      </c>
      <c r="Z11" s="79">
        <f>(AA11-Y11)/(AA10-Y10)*(Z10-Y10)+Y11</f>
        <v>58</v>
      </c>
      <c r="AA11" s="165">
        <f>IF(AA10=0.2,VLOOKUP(X11,Служебный!$H$33:$Q$46,2,FALSE),IF(AA10=0.3,VLOOKUP(X11,Служебный!$H$33:$Q$46,3,FALSE),IF(AA10=0.4,VLOOKUP(X11,Служебный!$H$33:$Q$46,4,FALSE),IF(AA10=0.5,VLOOKUP(X11,Служебный!$H$33:$Q$46,5,FALSE),IF(AA10=0.6,VLOOKUP(X11,Служебный!$H$33:$Q$46,6,FALSE),IF(AA10=0.7,VLOOKUP(X11,Служебный!$H$33:$Q$46,7,FALSE),IF(AA10=0.8,VLOOKUP(X11,Служебный!$H$33:$Q$46,8,FALSE),IF(AA10=0.9,VLOOKUP(X11,Служебный!$H$33:$Q$46,9,FALSE),IF(AA10=1,VLOOKUP(X11,Служебный!$H$33:$Q$46,10,FALSE),0)))))))))</f>
        <v>42</v>
      </c>
      <c r="AC11" s="164">
        <v>2</v>
      </c>
      <c r="AD11" s="151">
        <v>25</v>
      </c>
      <c r="AN11" s="353"/>
      <c r="AO11" s="353"/>
      <c r="AP11" s="397"/>
      <c r="AQ11" s="353"/>
      <c r="AR11" s="353"/>
      <c r="AS11" s="397"/>
      <c r="AT11" s="353"/>
      <c r="AU11" s="353"/>
      <c r="AV11" s="397"/>
      <c r="AW11" s="353"/>
      <c r="AX11" s="353"/>
      <c r="AY11" s="397"/>
    </row>
    <row r="12" spans="1:51" ht="15.75" thickBot="1">
      <c r="A12" s="62" t="s">
        <v>142</v>
      </c>
      <c r="B12" s="62">
        <v>1</v>
      </c>
      <c r="C12" s="56"/>
      <c r="D12" s="56"/>
      <c r="F12" s="361"/>
      <c r="G12" s="361"/>
      <c r="H12" s="364"/>
      <c r="I12" s="367"/>
      <c r="J12" s="370"/>
      <c r="K12" s="373"/>
      <c r="L12" s="356"/>
      <c r="M12" s="386"/>
      <c r="N12" s="267" t="str">
        <f t="shared" si="3"/>
        <v xml:space="preserve"> </v>
      </c>
      <c r="O12" s="28" t="str">
        <f t="shared" si="0"/>
        <v xml:space="preserve"> </v>
      </c>
      <c r="P12" s="28" t="str">
        <f>IF(N12&lt;&gt;" ",MAX($P$9:P11)+O12/2," ")</f>
        <v xml:space="preserve"> </v>
      </c>
      <c r="Q12" s="28" cm="1">
        <f t="array" ref="Q12">IF(Скважина!$L$8=Служебный!$K$2,IF(O12&lt;&gt;" ",IF('Несущая способность по грунту 1'!P12&gt;1,Interpol(9,14,Служебный!$H$33:$H$46,Служебный!$I$32:$Q$32,Служебный!$I$33:$Q$46,'Несущая способность по грунту 1'!P12,IF($I$9&lt;=0.2,0.2,$I$9)),0)," "),0)</f>
        <v>0</v>
      </c>
      <c r="R12" s="68" t="str">
        <f t="shared" si="1"/>
        <v xml:space="preserve"> </v>
      </c>
      <c r="S12" s="188"/>
      <c r="T12" s="28"/>
      <c r="U12" s="72" t="str">
        <f t="shared" si="2"/>
        <v xml:space="preserve"> </v>
      </c>
      <c r="V12" s="188"/>
      <c r="X12" s="164">
        <v>0.83099999999999996</v>
      </c>
      <c r="Y12" s="78"/>
      <c r="Z12" s="77">
        <f>(Z13-Z11)/(X13-X11)*(X12-X11)+Z11</f>
        <v>47.661999999999999</v>
      </c>
      <c r="AA12" s="166"/>
      <c r="AC12" s="164">
        <v>2.0249999999999999</v>
      </c>
      <c r="AD12" s="285">
        <f>(AD13-AD11)/(AC13-AC11)*(AC12-AC11)+AD11</f>
        <v>27.499999999999989</v>
      </c>
      <c r="AN12" s="353"/>
      <c r="AO12" s="353"/>
      <c r="AP12" s="397"/>
      <c r="AQ12" s="353"/>
      <c r="AR12" s="353"/>
      <c r="AS12" s="397"/>
      <c r="AT12" s="353"/>
      <c r="AU12" s="353"/>
      <c r="AV12" s="397"/>
      <c r="AW12" s="353"/>
      <c r="AX12" s="353"/>
      <c r="AY12" s="397"/>
    </row>
    <row r="13" spans="1:51" ht="15.75" thickBot="1">
      <c r="A13" s="380" t="str">
        <f>VLOOKUP(B12,Служебный!A6:D27,2,FALSE)</f>
        <v>1. Погружение сплошных и полых с закрытым нижним концом свай механическими(подвесными), паровоздушными и дизельными молотами</v>
      </c>
      <c r="B13" s="380"/>
      <c r="C13" s="57"/>
      <c r="D13" s="57"/>
      <c r="F13" s="361"/>
      <c r="G13" s="361"/>
      <c r="H13" s="364"/>
      <c r="I13" s="367"/>
      <c r="J13" s="370"/>
      <c r="K13" s="373"/>
      <c r="L13" s="356"/>
      <c r="M13" s="386"/>
      <c r="N13" s="267" t="str">
        <f t="shared" si="3"/>
        <v xml:space="preserve"> </v>
      </c>
      <c r="O13" s="28" t="str">
        <f t="shared" si="0"/>
        <v xml:space="preserve"> </v>
      </c>
      <c r="P13" s="28" t="str">
        <f>IF(N13&lt;&gt;" ",MAX($P$9:P12)+O13/2," ")</f>
        <v xml:space="preserve"> </v>
      </c>
      <c r="Q13" s="28" cm="1">
        <f t="array" ref="Q13">IF(Скважина!$L$8=Служебный!$K$2,IF(O13&lt;&gt;" ",IF('Несущая способность по грунту 1'!P13&gt;1,Interpol(9,14,Служебный!$H$33:$H$46,Служебный!$I$32:$Q$32,Служебный!$I$33:$Q$46,'Несущая способность по грунту 1'!P13,IF($I$9&lt;=0.2,0.2,$I$9)),0)," "),0)</f>
        <v>0</v>
      </c>
      <c r="R13" s="68" t="str">
        <f t="shared" si="1"/>
        <v xml:space="preserve"> </v>
      </c>
      <c r="S13" s="188"/>
      <c r="T13" s="28"/>
      <c r="U13" s="72" t="str">
        <f t="shared" si="2"/>
        <v xml:space="preserve"> </v>
      </c>
      <c r="V13" s="188"/>
      <c r="X13" s="167">
        <v>8</v>
      </c>
      <c r="Y13" s="168">
        <f>IF(Y10=0.2,VLOOKUP(X13,Служебный!$H$33:$Q$46,2,FALSE),IF(Y10=0.3,VLOOKUP(X13,Служебный!$H$33:$Q$46,3,FALSE),IF(Y10=0.4,VLOOKUP(X13,Служебный!$H$33:$Q$46,4,FALSE),IF(Y10=0.5,VLOOKUP(X13,Служебный!$H$33:$Q$46,5,FALSE),IF(Y10=0.6,VLOOKUP(X13,Служебный!$H$33:$Q$46,6,FALSE),IF(Y10=0.7,VLOOKUP(X13,Служебный!$H$33:$Q$46,7,FALSE),IF(Y10=0.8,VLOOKUP(X13,Служебный!$H$33:$Q$46,8,FALSE),IF(Y10=0.9,VLOOKUP(X13,Служебный!$H$33:$Q$46,9,FALSE),IF(Y10=1,VLOOKUP(X13,Служебный!$H$33:$Q$46,10,FALSE),0)))))))))</f>
        <v>62</v>
      </c>
      <c r="Z13" s="169">
        <f>(AA13-Y13)/(AA10-Y10)*(Z10-Y10)+Y13</f>
        <v>62</v>
      </c>
      <c r="AA13" s="170">
        <f>IF(AA10=0.2,VLOOKUP(X13,Служебный!$H$33:$Q$46,2,FALSE),IF(AA10=0.3,VLOOKUP(X13,Служебный!$H$33:$Q$46,3,FALSE),IF(AA10=0.4,VLOOKUP(X13,Служебный!$H$33:$Q$46,4,FALSE),IF(AA10=0.5,VLOOKUP(X13,Служебный!$H$33:$Q$46,5,FALSE),IF(AA10=0.6,VLOOKUP(X13,Служебный!$H$33:$Q$46,6,FALSE),IF(AA10=0.7,VLOOKUP(X13,Служебный!$H$33:$Q$46,7,FALSE),IF(AA10=0.8,VLOOKUP(X13,Служебный!$H$33:$Q$46,8,FALSE),IF(AA10=0.9,VLOOKUP(X13,Служебный!$H$33:$Q$46,9,FALSE),IF(AA10=1,VLOOKUP(X13,Служебный!$H$33:$Q$46,10,FALSE),0)))))))))</f>
        <v>44</v>
      </c>
      <c r="AC13" s="167">
        <v>2.2000000000000002</v>
      </c>
      <c r="AD13" s="155">
        <v>45</v>
      </c>
      <c r="AN13" s="353"/>
      <c r="AO13" s="353"/>
      <c r="AP13" s="397"/>
      <c r="AQ13" s="353"/>
      <c r="AR13" s="353"/>
      <c r="AS13" s="397"/>
      <c r="AT13" s="353"/>
      <c r="AU13" s="353"/>
      <c r="AV13" s="397"/>
      <c r="AW13" s="353"/>
      <c r="AX13" s="353"/>
      <c r="AY13" s="397"/>
    </row>
    <row r="14" spans="1:51">
      <c r="A14" s="380"/>
      <c r="B14" s="380"/>
      <c r="C14" s="57"/>
      <c r="D14" s="57"/>
      <c r="F14" s="361"/>
      <c r="G14" s="361"/>
      <c r="H14" s="364"/>
      <c r="I14" s="367"/>
      <c r="J14" s="370"/>
      <c r="K14" s="373"/>
      <c r="L14" s="356"/>
      <c r="M14" s="386"/>
      <c r="N14" s="267" t="str">
        <f t="shared" si="3"/>
        <v xml:space="preserve"> </v>
      </c>
      <c r="O14" s="28" t="str">
        <f t="shared" si="0"/>
        <v xml:space="preserve"> </v>
      </c>
      <c r="P14" s="28" t="str">
        <f>IF(N14&lt;&gt;" ",MAX($P$9:P13)+O14/2," ")</f>
        <v xml:space="preserve"> </v>
      </c>
      <c r="Q14" s="28" cm="1">
        <f t="array" ref="Q14">IF(Скважина!$L$8=Служебный!$K$2,IF(O14&lt;&gt;" ",IF('Несущая способность по грунту 1'!P14&gt;1,Interpol(9,14,Служебный!$H$33:$H$46,Служебный!$I$32:$Q$32,Служебный!$I$33:$Q$46,'Несущая способность по грунту 1'!P14,IF($I$9&lt;=0.2,0.2,$I$9)),0)," "),0)</f>
        <v>0</v>
      </c>
      <c r="R14" s="68" t="str">
        <f t="shared" si="1"/>
        <v xml:space="preserve"> </v>
      </c>
      <c r="S14" s="188"/>
      <c r="T14" s="28"/>
      <c r="U14" s="72" t="str">
        <f t="shared" si="2"/>
        <v xml:space="preserve"> </v>
      </c>
      <c r="V14" s="188"/>
      <c r="X14" t="str">
        <f>H9</f>
        <v>Насыпные грунты    с вкл. строительного мусора</v>
      </c>
      <c r="AN14" s="353"/>
      <c r="AO14" s="353"/>
      <c r="AP14" s="397"/>
      <c r="AQ14" s="353"/>
      <c r="AR14" s="353"/>
      <c r="AS14" s="397"/>
      <c r="AT14" s="353"/>
      <c r="AU14" s="353"/>
      <c r="AV14" s="397"/>
      <c r="AW14" s="353"/>
      <c r="AX14" s="353"/>
      <c r="AY14" s="397"/>
    </row>
    <row r="15" spans="1:51">
      <c r="A15" s="380"/>
      <c r="B15" s="380"/>
      <c r="C15" s="57"/>
      <c r="D15" s="57"/>
      <c r="F15" s="361"/>
      <c r="G15" s="361"/>
      <c r="H15" s="364"/>
      <c r="I15" s="367"/>
      <c r="J15" s="370"/>
      <c r="K15" s="373"/>
      <c r="L15" s="356"/>
      <c r="M15" s="386"/>
      <c r="N15" s="267" t="str">
        <f t="shared" si="3"/>
        <v xml:space="preserve"> </v>
      </c>
      <c r="O15" s="28" t="str">
        <f t="shared" si="0"/>
        <v xml:space="preserve"> </v>
      </c>
      <c r="P15" s="28" t="str">
        <f>IF(N15&lt;&gt;" ",MAX($P$9:P14)+O15/2," ")</f>
        <v xml:space="preserve"> </v>
      </c>
      <c r="Q15" s="28" cm="1">
        <f t="array" ref="Q15">IF(Скважина!$L$8=Служебный!$K$2,IF(O15&lt;&gt;" ",IF('Несущая способность по грунту 1'!P15&gt;1,Interpol(9,14,Служебный!$H$33:$H$46,Служебный!$I$32:$Q$32,Служебный!$I$33:$Q$46,'Несущая способность по грунту 1'!P15,IF($I$9&lt;=0.2,0.2,$I$9)),0)," "),0)</f>
        <v>0</v>
      </c>
      <c r="R15" s="68" t="str">
        <f t="shared" si="1"/>
        <v xml:space="preserve"> </v>
      </c>
      <c r="S15" s="188"/>
      <c r="T15" s="28"/>
      <c r="U15" s="72" t="str">
        <f t="shared" si="2"/>
        <v xml:space="preserve"> </v>
      </c>
      <c r="V15" s="188"/>
      <c r="AN15" s="353"/>
      <c r="AO15" s="353"/>
      <c r="AP15" s="397"/>
      <c r="AQ15" s="353"/>
      <c r="AR15" s="353"/>
      <c r="AS15" s="397"/>
      <c r="AT15" s="353"/>
      <c r="AU15" s="353"/>
      <c r="AV15" s="397"/>
      <c r="AW15" s="353"/>
      <c r="AX15" s="353"/>
      <c r="AY15" s="397"/>
    </row>
    <row r="16" spans="1:51">
      <c r="A16" s="380"/>
      <c r="B16" s="380"/>
      <c r="C16" s="57"/>
      <c r="D16" s="57"/>
      <c r="F16" s="361"/>
      <c r="G16" s="361"/>
      <c r="H16" s="364"/>
      <c r="I16" s="367"/>
      <c r="J16" s="370"/>
      <c r="K16" s="373"/>
      <c r="L16" s="356"/>
      <c r="M16" s="386"/>
      <c r="N16" s="267" t="str">
        <f t="shared" si="3"/>
        <v xml:space="preserve"> </v>
      </c>
      <c r="O16" s="28" t="str">
        <f t="shared" si="0"/>
        <v xml:space="preserve"> </v>
      </c>
      <c r="P16" s="28" t="str">
        <f>IF(N16&lt;&gt;" ",MAX($P$9:P15)+O16/2," ")</f>
        <v xml:space="preserve"> </v>
      </c>
      <c r="Q16" s="28" cm="1">
        <f t="array" ref="Q16">IF(Скважина!$L$8=Служебный!$K$2,IF(O16&lt;&gt;" ",IF('Несущая способность по грунту 1'!P16&gt;1,Interpol(9,14,Служебный!$H$33:$H$46,Служебный!$I$32:$Q$32,Служебный!$I$33:$Q$46,'Несущая способность по грунту 1'!P16,IF($I$9&lt;=0.2,0.2,$I$9)),0)," "),0)</f>
        <v>0</v>
      </c>
      <c r="R16" s="68" t="str">
        <f t="shared" si="1"/>
        <v xml:space="preserve"> </v>
      </c>
      <c r="S16" s="188"/>
      <c r="T16" s="28"/>
      <c r="U16" s="72" t="str">
        <f t="shared" si="2"/>
        <v xml:space="preserve"> </v>
      </c>
      <c r="V16" s="188"/>
      <c r="AN16" s="353"/>
      <c r="AO16" s="353"/>
      <c r="AP16" s="397"/>
      <c r="AQ16" s="353"/>
      <c r="AR16" s="353"/>
      <c r="AS16" s="397"/>
      <c r="AT16" s="353"/>
      <c r="AU16" s="353"/>
      <c r="AV16" s="397"/>
      <c r="AW16" s="353"/>
      <c r="AX16" s="353"/>
      <c r="AY16" s="397"/>
    </row>
    <row r="17" spans="1:51">
      <c r="A17" s="381" t="s">
        <v>143</v>
      </c>
      <c r="B17" s="381"/>
      <c r="C17" s="58"/>
      <c r="D17" s="58"/>
      <c r="F17" s="361"/>
      <c r="G17" s="361"/>
      <c r="H17" s="364"/>
      <c r="I17" s="367"/>
      <c r="J17" s="370"/>
      <c r="K17" s="373"/>
      <c r="L17" s="356"/>
      <c r="M17" s="386"/>
      <c r="N17" s="267" t="str">
        <f t="shared" si="3"/>
        <v xml:space="preserve"> </v>
      </c>
      <c r="O17" s="28" t="str">
        <f t="shared" si="0"/>
        <v xml:space="preserve"> </v>
      </c>
      <c r="P17" s="28" t="str">
        <f>IF(N17&lt;&gt;" ",MAX($P$9:P16)+O17/2," ")</f>
        <v xml:space="preserve"> </v>
      </c>
      <c r="Q17" s="28" cm="1">
        <f t="array" ref="Q17">IF(Скважина!$L$8=Служебный!$K$2,IF(O17&lt;&gt;" ",IF('Несущая способность по грунту 1'!P17&gt;1,Interpol(9,14,Служебный!$H$33:$H$46,Служебный!$I$32:$Q$32,Служебный!$I$33:$Q$46,'Несущая способность по грунту 1'!P17,IF($I$9&lt;=0.2,0.2,$I$9)),0)," "),0)</f>
        <v>0</v>
      </c>
      <c r="R17" s="68" t="str">
        <f t="shared" si="1"/>
        <v xml:space="preserve"> </v>
      </c>
      <c r="S17" s="188"/>
      <c r="T17" s="28"/>
      <c r="U17" s="72" t="str">
        <f t="shared" si="2"/>
        <v xml:space="preserve"> </v>
      </c>
      <c r="V17" s="188"/>
      <c r="AN17" s="353"/>
      <c r="AO17" s="353"/>
      <c r="AP17" s="397"/>
      <c r="AQ17" s="353"/>
      <c r="AR17" s="353"/>
      <c r="AS17" s="397"/>
      <c r="AT17" s="353"/>
      <c r="AU17" s="353"/>
      <c r="AV17" s="397"/>
      <c r="AW17" s="353"/>
      <c r="AX17" s="353"/>
      <c r="AY17" s="397"/>
    </row>
    <row r="18" spans="1:51" ht="19.5" thickBot="1">
      <c r="A18" s="52" t="s">
        <v>118</v>
      </c>
      <c r="B18" s="51">
        <f>VLOOKUP(B12,Служебный!A6:D27,3,FALSE)</f>
        <v>1</v>
      </c>
      <c r="C18" s="54"/>
      <c r="D18" s="54"/>
      <c r="F18" s="362"/>
      <c r="G18" s="362"/>
      <c r="H18" s="365"/>
      <c r="I18" s="368"/>
      <c r="J18" s="371"/>
      <c r="K18" s="374"/>
      <c r="L18" s="357"/>
      <c r="M18" s="387"/>
      <c r="N18" s="274" t="str">
        <f t="shared" si="3"/>
        <v xml:space="preserve"> </v>
      </c>
      <c r="O18" s="70" t="str">
        <f t="shared" si="0"/>
        <v xml:space="preserve"> </v>
      </c>
      <c r="P18" s="70" t="str">
        <f>IF(N18&lt;&gt;" ",MAX($P$9:P17)+O18/2," ")</f>
        <v xml:space="preserve"> </v>
      </c>
      <c r="Q18" s="70" cm="1">
        <f t="array" ref="Q18">IF(Скважина!$L$8=Служебный!$K$2,IF(O18&lt;&gt;" ",IF('Несущая способность по грунту 1'!P18&gt;1,Interpol(9,14,Служебный!$H$33:$H$46,Служебный!$I$32:$Q$32,Служебный!$I$33:$Q$46,'Несущая способность по грунту 1'!P18,IF($I$9&lt;=0.2,0.2,$I$9)),0)," "),0)</f>
        <v>0</v>
      </c>
      <c r="R18" s="71" t="str">
        <f t="shared" si="1"/>
        <v xml:space="preserve"> </v>
      </c>
      <c r="S18" s="188"/>
      <c r="T18" s="70"/>
      <c r="U18" s="72" t="str">
        <f t="shared" si="2"/>
        <v xml:space="preserve"> </v>
      </c>
      <c r="V18" s="188"/>
      <c r="AN18" s="353"/>
      <c r="AO18" s="353"/>
      <c r="AP18" s="397"/>
      <c r="AQ18" s="353"/>
      <c r="AR18" s="353"/>
      <c r="AS18" s="397"/>
      <c r="AT18" s="353"/>
      <c r="AU18" s="353"/>
      <c r="AV18" s="397"/>
      <c r="AW18" s="353"/>
      <c r="AX18" s="353"/>
      <c r="AY18" s="397"/>
    </row>
    <row r="19" spans="1:51" ht="15" customHeight="1">
      <c r="A19" s="52" t="s">
        <v>119</v>
      </c>
      <c r="B19" s="51">
        <f>VLOOKUP(B12,Служебный!A6:D27,4,FALSE)</f>
        <v>1</v>
      </c>
      <c r="C19" s="54"/>
      <c r="D19" s="54"/>
      <c r="F19" s="360">
        <f>F9+1</f>
        <v>2</v>
      </c>
      <c r="G19" s="360">
        <f>IF(F19&lt;21,IF(VLOOKUP(F19,Скважина!$E$8:$K$27,4,FALSE)&gt;Скважина!$C$8,VLOOKUP('Несущая способность по грунту 1'!F19,Скважина!$E$8:$K$27,2,FALSE),0),0)</f>
        <v>2</v>
      </c>
      <c r="H19" s="363" t="str">
        <f>IF(G19&lt;&gt;0,VLOOKUP('Несущая способность по грунту 1'!G19,Геология!$D$7:$BO$993,7,FALSE)," ")</f>
        <v xml:space="preserve">Пески мелкие водонасыщенные средней плотности </v>
      </c>
      <c r="I19" s="366">
        <f>IF(G19&lt;&gt;0,VLOOKUP('Несущая способность по грунту 1'!G19, Геология!$D$8:$BM$993, 22,FALSE)," ")</f>
        <v>0</v>
      </c>
      <c r="J19" s="369">
        <f>VLOOKUP(F19,Скважина!$E$8:$K$27,4,FALSE)</f>
        <v>136</v>
      </c>
      <c r="K19" s="372">
        <f>IF(VLOOKUP($F19,Скважина!$E$8:$K$27,5,FALSE)&gt;Скважина!$C$8,VLOOKUP($F19,Скважина!$E$8:$K$27,5,FALSE),Скважина!$C$8)</f>
        <v>134.6</v>
      </c>
      <c r="L19" s="355">
        <f>IF(IF(G19&lt;&gt;0,J19-K19,0)&lt;0,0,IF(G19&lt;&gt;0,J19-K19,0))</f>
        <v>1.4000000000000057</v>
      </c>
      <c r="M19" s="358">
        <v>4</v>
      </c>
      <c r="N19" s="275">
        <f>IF(M19&lt;&gt;0,MAX(N$9:N$18)+1," ")</f>
        <v>3</v>
      </c>
      <c r="O19" s="66">
        <f>IF(N19&lt;&gt;" ",L$19/COUNT(N$19:N$28), " ")</f>
        <v>0.35000000000000142</v>
      </c>
      <c r="P19" s="66">
        <f>IF(N19&lt;&gt;" ",MAX($P$9:P18)+O19/2," ")</f>
        <v>2.9749999999999979</v>
      </c>
      <c r="Q19" s="66" cm="1">
        <f t="array" ref="Q19">IF(Скважина!$L$9=Служебный!$K$2,IF(O19&lt;&gt;" ",IF('Несущая способность по грунту 1'!P19&gt;1,Interpol(9,14,Служебный!$H$33:$H$46,Служебный!$I$32:$Q$32,Служебный!$I$33:$Q$46,'Несущая способность по грунту 1'!P19,IF($I$19&lt;=0.2,0.2,$I$19)),0)," "),0)</f>
        <v>47.849999999999987</v>
      </c>
      <c r="R19" s="67">
        <f>IF(N19&lt;&gt;" ",O19*Q19," ")</f>
        <v>16.747500000000063</v>
      </c>
      <c r="S19" s="188"/>
      <c r="T19" s="66"/>
      <c r="U19" s="72">
        <f t="shared" si="2"/>
        <v>0</v>
      </c>
      <c r="V19" s="188"/>
      <c r="X19" s="159" t="s">
        <v>338</v>
      </c>
      <c r="Y19" s="160"/>
      <c r="Z19" s="161" t="s">
        <v>155</v>
      </c>
      <c r="AA19" s="162"/>
      <c r="AC19" s="283" t="s">
        <v>213</v>
      </c>
      <c r="AD19" s="284"/>
      <c r="AN19" s="353">
        <f>IF(OR(G19=0,F19&gt;20)," ",VLOOKUP('Несущая способность по грунту 1'!G19,Геология!$D$7:$BO$993,23,FALSE))</f>
        <v>9.0215199999999971</v>
      </c>
      <c r="AO19" s="353">
        <f t="shared" ref="AO19" si="4">IF(AN19&lt;&gt;" ",AN19*L19," ")</f>
        <v>12.630128000000047</v>
      </c>
      <c r="AP19" s="397"/>
      <c r="AQ19" s="353">
        <f>IF(G19&lt;&gt;0,VLOOKUP('Несущая способность по грунту 1'!G19,Геология!$D$7:$BO$993,24,FALSE)," ")</f>
        <v>0.35</v>
      </c>
      <c r="AR19" s="353">
        <f t="shared" ref="AR19" si="5">IF(AQ19&lt;&gt;" ",AQ19*L19," ")</f>
        <v>0.49000000000000193</v>
      </c>
      <c r="AS19" s="397"/>
      <c r="AT19" s="353">
        <f>IF(G19&lt;&gt;0,VLOOKUP('Несущая способность по грунту 1'!G19,Геология!$D$7:$BO$993,21,FALSE)," ")</f>
        <v>23.9</v>
      </c>
      <c r="AU19" s="353">
        <f t="shared" ref="AU19" si="6">IF(G19&lt;&gt;0,AT19*L19," ")</f>
        <v>33.460000000000136</v>
      </c>
      <c r="AV19" s="397"/>
      <c r="AW19" s="353">
        <f>IF(G19&lt;&gt;0,VLOOKUP('Несущая способность по грунту 1'!G19,Геология!$D$7:$BO$993,27,FALSE)," ")</f>
        <v>8.8518518518518512</v>
      </c>
      <c r="AX19" s="353">
        <f t="shared" ref="AX19" si="7">IF(G19&lt;&gt;0,AW19*L19," ")</f>
        <v>12.392592592592642</v>
      </c>
      <c r="AY19" s="397"/>
    </row>
    <row r="20" spans="1:51">
      <c r="A20" s="276" t="s">
        <v>340</v>
      </c>
      <c r="B20" s="317">
        <f>SUM(L9:L87)+Скважина!$H$8-Скважина!$C$9</f>
        <v>15.5</v>
      </c>
      <c r="C20" s="55"/>
      <c r="D20" s="55"/>
      <c r="F20" s="361"/>
      <c r="G20" s="361"/>
      <c r="H20" s="364"/>
      <c r="I20" s="367"/>
      <c r="J20" s="370"/>
      <c r="K20" s="373"/>
      <c r="L20" s="356"/>
      <c r="M20" s="354"/>
      <c r="N20" s="267">
        <f>IF(N19=" "," ", IF(N19&lt;SUM(M$9:M$28),N19+1, " "))</f>
        <v>4</v>
      </c>
      <c r="O20" s="28">
        <f t="shared" ref="O20:O28" si="8">IF(N20&lt;&gt;" ",L$19/COUNT(N$19:N$28), " ")</f>
        <v>0.35000000000000142</v>
      </c>
      <c r="P20" s="28">
        <f>IF(N20&lt;&gt;" ",MAX($P$9:P19)+O20/2," ")</f>
        <v>3.1499999999999986</v>
      </c>
      <c r="Q20" s="28" cm="1">
        <f t="array" ref="Q20">IF(Скважина!$L$9=Служебный!$K$2,IF(O20&lt;&gt;" ",IF('Несущая способность по грунту 1'!P20&gt;1,Interpol(9,14,Служебный!$H$33:$H$46,Служебный!$I$32:$Q$32,Служебный!$I$33:$Q$46,'Несущая способность по грунту 1'!P20,IF($I$19&lt;=0.2,0.2,$I$19)),0)," "),0)</f>
        <v>48.749999999999993</v>
      </c>
      <c r="R20" s="68">
        <f t="shared" ref="R20:R28" si="9">IF(N20&lt;&gt;" ",O20*Q20," ")</f>
        <v>17.062500000000068</v>
      </c>
      <c r="S20" s="188"/>
      <c r="T20" s="28"/>
      <c r="U20" s="72">
        <f t="shared" si="2"/>
        <v>0</v>
      </c>
      <c r="V20" s="188"/>
      <c r="X20" s="163" t="s">
        <v>39</v>
      </c>
      <c r="Y20" s="47">
        <v>0.2</v>
      </c>
      <c r="Z20" s="142">
        <f>IF(I19&lt;=0.2,0.2,I19)</f>
        <v>0.2</v>
      </c>
      <c r="AA20" s="151">
        <v>0.3</v>
      </c>
      <c r="AC20" s="262" t="s">
        <v>39</v>
      </c>
      <c r="AD20" s="165" t="s">
        <v>214</v>
      </c>
      <c r="AN20" s="353"/>
      <c r="AO20" s="353"/>
      <c r="AP20" s="397"/>
      <c r="AQ20" s="353"/>
      <c r="AR20" s="353"/>
      <c r="AS20" s="397"/>
      <c r="AT20" s="353"/>
      <c r="AU20" s="353"/>
      <c r="AV20" s="397"/>
      <c r="AW20" s="353"/>
      <c r="AX20" s="353"/>
      <c r="AY20" s="397"/>
    </row>
    <row r="21" spans="1:51" ht="15.75" thickBot="1">
      <c r="A21" s="266" t="s">
        <v>341</v>
      </c>
      <c r="B21" s="317">
        <f>SUM(L9:L88)</f>
        <v>14.400000000000006</v>
      </c>
      <c r="C21" s="56"/>
      <c r="D21" s="56"/>
      <c r="F21" s="361"/>
      <c r="G21" s="361"/>
      <c r="H21" s="364"/>
      <c r="I21" s="367"/>
      <c r="J21" s="370"/>
      <c r="K21" s="373"/>
      <c r="L21" s="356"/>
      <c r="M21" s="354"/>
      <c r="N21" s="267">
        <f t="shared" ref="N21:N28" si="10">IF(N20=" "," ", IF(N20&lt;SUM(M$9:M$28),N20+1, " "))</f>
        <v>5</v>
      </c>
      <c r="O21" s="28">
        <f t="shared" si="8"/>
        <v>0.35000000000000142</v>
      </c>
      <c r="P21" s="28">
        <f>IF(N21&lt;&gt;" ",MAX($P$9:P20)+O21/2," ")</f>
        <v>3.3249999999999993</v>
      </c>
      <c r="Q21" s="28" cm="1">
        <f t="array" ref="Q21">IF(Скважина!$L$9=Служебный!$K$2,IF(O21&lt;&gt;" ",IF('Несущая способность по грунту 1'!P21&gt;1,Interpol(9,14,Служебный!$H$33:$H$46,Служебный!$I$32:$Q$32,Служебный!$I$33:$Q$46,'Несущая способность по грунту 1'!P21,IF($I$19&lt;=0.2,0.2,$I$19)),0)," "),0)</f>
        <v>49.625</v>
      </c>
      <c r="R21" s="68">
        <f t="shared" si="9"/>
        <v>17.36875000000007</v>
      </c>
      <c r="S21" s="188"/>
      <c r="T21" s="28"/>
      <c r="U21" s="72">
        <f t="shared" si="2"/>
        <v>0</v>
      </c>
      <c r="V21" s="188"/>
      <c r="X21" s="164">
        <v>2</v>
      </c>
      <c r="Y21" s="109">
        <f>IF(Y20=0.2,VLOOKUP(X21,Служебный!$H$33:$Q$46,2,FALSE),IF(Y20=0.3,VLOOKUP(X21,Служебный!$H$33:$Q$46,3,FALSE),IF(Y20=0.4,VLOOKUP(X21,Служебный!$H$33:$Q$46,4,FALSE),IF(Y20=0.5,VLOOKUP(X21,Служебный!$H$33:$Q$46,5,FALSE),IF(Y20=0.6,VLOOKUP(X21,Служебный!$H$33:$Q$46,6,FALSE),IF(Y20=0.7,VLOOKUP(X21,Служебный!$H$33:$Q$46,7,FALSE),IF(Y20=0.8,VLOOKUP(X21,Служебный!$H$33:$Q$46,8,FALSE),IF(Y20=0.9,VLOOKUP(X21,Служебный!$H$33:$Q$46,9,FALSE),IF(Y20=1,VLOOKUP(X21,Служебный!$H$33:$Q$46,10,FALSE),0)))))))))</f>
        <v>42</v>
      </c>
      <c r="Z21" s="79">
        <f>(AA21-Y21)/(AA20-Y20)*(Z20-Y20)+Y21</f>
        <v>42</v>
      </c>
      <c r="AA21" s="165">
        <f>IF(AA20=0.2,VLOOKUP(X21,Служебный!$H$33:$Q$46,2,FALSE),IF(AA20=0.3,VLOOKUP(X21,Служебный!$H$33:$Q$46,3,FALSE),IF(AA20=0.4,VLOOKUP(X21,Служебный!$H$33:$Q$46,4,FALSE),IF(AA20=0.5,VLOOKUP(X21,Служебный!$H$33:$Q$46,5,FALSE),IF(AA20=0.6,VLOOKUP(X21,Служебный!$H$33:$Q$46,6,FALSE),IF(AA20=0.7,VLOOKUP(X21,Служебный!$H$33:$Q$46,7,FALSE),IF(AA20=0.8,VLOOKUP(X21,Служебный!$H$33:$Q$46,8,FALSE),IF(AA20=0.9,VLOOKUP(X21,Служебный!$H$33:$Q$46,9,FALSE),IF(AA20=1,VLOOKUP(X21,Служебный!$H$33:$Q$46,10,FALSE),0)))))))))</f>
        <v>30</v>
      </c>
      <c r="AC21" s="164">
        <v>7</v>
      </c>
      <c r="AD21" s="151">
        <v>119</v>
      </c>
      <c r="AN21" s="353"/>
      <c r="AO21" s="353"/>
      <c r="AP21" s="397"/>
      <c r="AQ21" s="353"/>
      <c r="AR21" s="353"/>
      <c r="AS21" s="397"/>
      <c r="AT21" s="353"/>
      <c r="AU21" s="353"/>
      <c r="AV21" s="397"/>
      <c r="AW21" s="353"/>
      <c r="AX21" s="353"/>
      <c r="AY21" s="397"/>
    </row>
    <row r="22" spans="1:51" ht="15.75" thickBot="1">
      <c r="A22" s="298" t="s">
        <v>289</v>
      </c>
      <c r="B22" s="318">
        <f>IF(AND(G9&lt;&gt;" ",$B$10&lt;J9,$B$10&gt;=K9),G9,IF(AND(G19&lt;&gt;" ",$B$10&lt;J19,$B$10&gt;=K19),G19,IF(AND(G29&lt;&gt;" ",$B$10&lt;J29,$B$10&gt;=K29),G29,IF(AND(G39&lt;&gt;" ",$B$10&lt;J39,$B$10&gt;=K39),G39,IF(AND(G49&lt;&gt;" ",$B$10&lt;J49,$B$10&gt;=K49),G49,IF(AND(G59&lt;&gt;" ",$B$10&lt;J59,$B$10&gt;=K59),G59,IF(AND(G69&lt;&gt;" ",$B$10&lt;J69,$B$10&gt;=K69),G69,IF(AND(G79&lt;&gt;" ",$B$10&lt;J79,$B$10&gt;=K79),G79,IF(AND(G89&lt;&gt;" ",$B$10&lt;J89,$B$10&gt;=K89),G89,IF(AND(G99&lt;&gt;" ",$B$10&lt;J99,$B$10&gt;=K99),G99,IF(AND(G109&lt;&gt;" ",$B$10&lt;J109,$B$10&gt;=K109),G109,IF(AND(G119&lt;&gt;" ",$B$10&lt;J119,$B$10&gt;=K119),G119,IF(AND(G129&lt;&gt;" ",$B$10&lt;J129,$B$10&gt;=K129),G129,IF(AND(G139&lt;&gt;" ",$B$10&lt;J139,$B$10&gt;=K139),G139,IF(AND(G149&lt;&gt;" ",$B$10&lt;J149,$B$10&gt;=K149),G149,IF(AND(G159&lt;&gt;" ",$B$10&lt;J159,$B$10&gt;=K159),G159,IF(AND(G169&lt;&gt;" ",$B$10&lt;J169,$B$10&gt;=K169),G169,IF(AND(G179&lt;&gt;" ",$B$10&lt;J179,$B$10&gt;=K179),G179,IF(AND(G189&lt;&gt;" ",$B$10&lt;J189,$B$10&gt;=K189),G189,IF(AND(G199&lt;&gt;" ",$B$10&lt;J199,$B$10&gt;=K199),G199,"НИЖЕ РАЗРЕЗА"))))))))))))))))))))</f>
        <v>6</v>
      </c>
      <c r="C22" s="319">
        <f>IF(AND(F9&lt;&gt;" ",$B$10&lt;J9,$B$10&gt;=K9),F9,IF(AND(F19&lt;&gt;" ",$B$10&lt;J19,$B$10&gt;=K19),F19,IF(AND(F29&lt;&gt;" ",$B$10&lt;J29,$B$10&gt;=K29),F29,IF(AND(F39&lt;&gt;" ",$B$10&lt;J39,$B$10&gt;=K39),F39,IF(AND(F49&lt;&gt;" ",$B$10&lt;J49,$B$10&gt;=K49),F49,IF(AND(F59&lt;&gt;" ",$B$10&lt;J59,$B$10&gt;=K59),F59,IF(AND(F69&lt;&gt;" ",$B$10&lt;J69,$B$10&gt;=K69),F69,IF(AND(F79&lt;&gt;" ",$B$10&lt;J79,$B$10&gt;=K79),F79,IF(AND(F89&lt;&gt;" ",$B$10&lt;J89,$B$10&gt;=K89),F89,IF(AND(F99&lt;&gt;" ",$B$10&lt;J99,$B$10&gt;=K99),F99,IF(AND(F109&lt;&gt;" ",$B$10&lt;J109,$B$10&gt;=K109),F109,IF(AND(F119&lt;&gt;" ",$B$10&lt;J119,$B$10&gt;=K119),F119,IF(AND(F129&lt;&gt;" ",$B$10&lt;J129,$B$10&gt;=K129),F129,IF(AND(F139&lt;&gt;" ",$B$10&lt;J139,$B$10&gt;=K139),F139,IF(AND(F149&lt;&gt;" ",$B$10&lt;J149,$B$10&gt;=K149),F149,IF(AND(F159&lt;&gt;" ",$B$10&lt;J159,$B$10&gt;=K159),F159,IF(AND(F169&lt;&gt;" ",$B$10&lt;J169,$B$10&gt;=K169),F169,IF(AND(F179&lt;&gt;" ",$B$10&lt;J179,$B$10&gt;=K179),F179,IF(AND(F189&lt;&gt;" ",$B$10&lt;J189,$B$10&gt;=K189),F189,IF(AND(F199&lt;&gt;" ",$B$10&lt;J199,$B$10&gt;=K199),F199,"НИЖЕ РАЗРЕЗА"))))))))))))))))))))</f>
        <v>10</v>
      </c>
      <c r="D22" s="56"/>
      <c r="F22" s="361"/>
      <c r="G22" s="361"/>
      <c r="H22" s="364"/>
      <c r="I22" s="367"/>
      <c r="J22" s="370"/>
      <c r="K22" s="373"/>
      <c r="L22" s="356"/>
      <c r="M22" s="354"/>
      <c r="N22" s="267">
        <f t="shared" si="10"/>
        <v>6</v>
      </c>
      <c r="O22" s="28">
        <f t="shared" si="8"/>
        <v>0.35000000000000142</v>
      </c>
      <c r="P22" s="28">
        <f>IF(N22&lt;&gt;" ",MAX($P$9:P21)+O22/2," ")</f>
        <v>3.5</v>
      </c>
      <c r="Q22" s="28" cm="1">
        <f t="array" ref="Q22">IF(Скважина!$L$9=Служебный!$K$2,IF(O22&lt;&gt;" ",IF('Несущая способность по грунту 1'!P22&gt;1,Interpol(9,14,Служебный!$H$33:$H$46,Служебный!$I$32:$Q$32,Служебный!$I$33:$Q$46,'Несущая способность по грунту 1'!P22,IF($I$19&lt;=0.2,0.2,$I$19)),0)," "),0)</f>
        <v>50.5</v>
      </c>
      <c r="R22" s="68">
        <f t="shared" si="9"/>
        <v>17.675000000000072</v>
      </c>
      <c r="S22" s="188"/>
      <c r="T22" s="28"/>
      <c r="U22" s="72">
        <f t="shared" si="2"/>
        <v>0</v>
      </c>
      <c r="V22" s="188"/>
      <c r="X22" s="164">
        <v>2.9249999999999998</v>
      </c>
      <c r="Y22" s="78"/>
      <c r="Z22" s="77">
        <f>(Z23-Z21)/(X23-X21)*(X22-X21)+Z21</f>
        <v>47.55</v>
      </c>
      <c r="AA22" s="166"/>
      <c r="AC22" s="164">
        <v>7.1</v>
      </c>
      <c r="AD22" s="285">
        <f>(AD23-AD21)/(AC23-AC21)*(AC22-AC21)+AD21</f>
        <v>132.99999999999994</v>
      </c>
      <c r="AN22" s="353"/>
      <c r="AO22" s="353"/>
      <c r="AP22" s="397"/>
      <c r="AQ22" s="353"/>
      <c r="AR22" s="353"/>
      <c r="AS22" s="397"/>
      <c r="AT22" s="353"/>
      <c r="AU22" s="353"/>
      <c r="AV22" s="397"/>
      <c r="AW22" s="353"/>
      <c r="AX22" s="353"/>
      <c r="AY22" s="397"/>
    </row>
    <row r="23" spans="1:51" ht="15.75" thickBot="1">
      <c r="A23" s="382" t="str">
        <f>VLOOKUP('Несущая способность по грунту 1'!$B$22,Геология!$D$7:$BO$993,7,FALSE)</f>
        <v>Суглинки полутвердые   с прослоями твердых глин</v>
      </c>
      <c r="B23" s="353"/>
      <c r="C23" s="320" t="s">
        <v>334</v>
      </c>
      <c r="D23" s="56"/>
      <c r="F23" s="361"/>
      <c r="G23" s="361"/>
      <c r="H23" s="364"/>
      <c r="I23" s="367"/>
      <c r="J23" s="370"/>
      <c r="K23" s="373"/>
      <c r="L23" s="356"/>
      <c r="M23" s="354"/>
      <c r="N23" s="267" t="str">
        <f t="shared" si="10"/>
        <v xml:space="preserve"> </v>
      </c>
      <c r="O23" s="28" t="str">
        <f t="shared" si="8"/>
        <v xml:space="preserve"> </v>
      </c>
      <c r="P23" s="28" t="str">
        <f>IF(N23&lt;&gt;" ",MAX($P$9:P22)+O23/2," ")</f>
        <v xml:space="preserve"> </v>
      </c>
      <c r="Q23" s="28" t="str" cm="1">
        <f t="array" ref="Q23">IF(Скважина!$L$9=Служебный!$K$2,IF(O23&lt;&gt;" ",IF('Несущая способность по грунту 1'!P23&gt;1,Interpol(9,14,Служебный!$H$33:$H$46,Служебный!$I$32:$Q$32,Служебный!$I$33:$Q$46,'Несущая способность по грунту 1'!P23,IF($I$19&lt;=0.2,0.2,$I$19)),0)," "),0)</f>
        <v xml:space="preserve"> </v>
      </c>
      <c r="R23" s="68" t="str">
        <f t="shared" si="9"/>
        <v xml:space="preserve"> </v>
      </c>
      <c r="S23" s="188"/>
      <c r="T23" s="28"/>
      <c r="U23" s="72" t="str">
        <f t="shared" si="2"/>
        <v xml:space="preserve"> </v>
      </c>
      <c r="V23" s="188"/>
      <c r="X23" s="167">
        <v>3</v>
      </c>
      <c r="Y23" s="168">
        <f>IF(Y20=0.2,VLOOKUP(X23,Служебный!$H$33:$Q$46,2,FALSE),IF(Y20=0.3,VLOOKUP(X23,Служебный!$H$33:$Q$46,3,FALSE),IF(Y20=0.4,VLOOKUP(X23,Служебный!$H$33:$Q$46,4,FALSE),IF(Y20=0.5,VLOOKUP(X23,Служебный!$H$33:$Q$46,5,FALSE),IF(Y20=0.6,VLOOKUP(X23,Служебный!$H$33:$Q$46,6,FALSE),IF(Y20=0.7,VLOOKUP(X23,Служебный!$H$33:$Q$46,7,FALSE),IF(Y20=0.8,VLOOKUP(X23,Служебный!$H$33:$Q$46,8,FALSE),IF(Y20=0.9,VLOOKUP(X23,Служебный!$H$33:$Q$46,9,FALSE),IF(Y20=1,VLOOKUP(X23,Служебный!$H$33:$Q$46,10,FALSE),0)))))))))</f>
        <v>48</v>
      </c>
      <c r="Z23" s="169">
        <f>(AA23-Y23)/(AA20-Y20)*(Z20-Y20)+Y23</f>
        <v>48</v>
      </c>
      <c r="AA23" s="170">
        <f>IF(AA20=0.2,VLOOKUP(X23,Служебный!$H$33:$Q$46,2,FALSE),IF(AA20=0.3,VLOOKUP(X23,Служебный!$H$33:$Q$46,3,FALSE),IF(AA20=0.4,VLOOKUP(X23,Служебный!$H$33:$Q$46,4,FALSE),IF(AA20=0.5,VLOOKUP(X23,Служебный!$H$33:$Q$46,5,FALSE),IF(AA20=0.6,VLOOKUP(X23,Служебный!$H$33:$Q$46,6,FALSE),IF(AA20=0.7,VLOOKUP(X23,Служебный!$H$33:$Q$46,7,FALSE),IF(AA20=0.8,VLOOKUP(X23,Служебный!$H$33:$Q$46,8,FALSE),IF(AA20=0.9,VLOOKUP(X23,Служебный!$H$33:$Q$46,9,FALSE),IF(AA20=1,VLOOKUP(X23,Служебный!$H$33:$Q$46,10,FALSE),0)))))))))</f>
        <v>35</v>
      </c>
      <c r="AC23" s="167">
        <v>7.2</v>
      </c>
      <c r="AD23" s="155">
        <v>147</v>
      </c>
      <c r="AN23" s="353"/>
      <c r="AO23" s="353"/>
      <c r="AP23" s="397"/>
      <c r="AQ23" s="353"/>
      <c r="AR23" s="353"/>
      <c r="AS23" s="397"/>
      <c r="AT23" s="353"/>
      <c r="AU23" s="353"/>
      <c r="AV23" s="397"/>
      <c r="AW23" s="353"/>
      <c r="AX23" s="353"/>
      <c r="AY23" s="397"/>
    </row>
    <row r="24" spans="1:51">
      <c r="A24" s="382"/>
      <c r="B24" s="353"/>
      <c r="C24" s="285" t="str">
        <f>IF(VLOOKUP($B$26,Служебный!$R$2:$S$14,2,FALSE)=1,"песчаный","глинистый")</f>
        <v>глинистый</v>
      </c>
      <c r="D24" s="56"/>
      <c r="F24" s="361"/>
      <c r="G24" s="361"/>
      <c r="H24" s="364"/>
      <c r="I24" s="367"/>
      <c r="J24" s="370"/>
      <c r="K24" s="373"/>
      <c r="L24" s="356"/>
      <c r="M24" s="354"/>
      <c r="N24" s="267" t="str">
        <f t="shared" si="10"/>
        <v xml:space="preserve"> </v>
      </c>
      <c r="O24" s="28" t="str">
        <f t="shared" si="8"/>
        <v xml:space="preserve"> </v>
      </c>
      <c r="P24" s="28" t="str">
        <f>IF(N24&lt;&gt;" ",MAX($P$9:P23)+O24/2," ")</f>
        <v xml:space="preserve"> </v>
      </c>
      <c r="Q24" s="28" t="str" cm="1">
        <f t="array" ref="Q24">IF(Скважина!$L$9=Служебный!$K$2,IF(O24&lt;&gt;" ",IF('Несущая способность по грунту 1'!P24&gt;1,Interpol(9,14,Служебный!$H$33:$H$46,Служебный!$I$32:$Q$32,Служебный!$I$33:$Q$46,'Несущая способность по грунту 1'!P24,IF($I$19&lt;=0.2,0.2,$I$19)),0)," "),0)</f>
        <v xml:space="preserve"> </v>
      </c>
      <c r="R24" s="68" t="str">
        <f t="shared" si="9"/>
        <v xml:space="preserve"> </v>
      </c>
      <c r="S24" s="188"/>
      <c r="T24" s="28"/>
      <c r="U24" s="72" t="str">
        <f t="shared" si="2"/>
        <v xml:space="preserve"> </v>
      </c>
      <c r="V24" s="188"/>
      <c r="X24" t="str">
        <f>H19</f>
        <v xml:space="preserve">Пески мелкие водонасыщенные средней плотности </v>
      </c>
      <c r="AN24" s="353"/>
      <c r="AO24" s="353"/>
      <c r="AP24" s="397"/>
      <c r="AQ24" s="353"/>
      <c r="AR24" s="353"/>
      <c r="AS24" s="397"/>
      <c r="AT24" s="353"/>
      <c r="AU24" s="353"/>
      <c r="AV24" s="397"/>
      <c r="AW24" s="353"/>
      <c r="AX24" s="353"/>
      <c r="AY24" s="397"/>
    </row>
    <row r="25" spans="1:51" ht="15.75" thickBot="1">
      <c r="A25" s="383"/>
      <c r="B25" s="384"/>
      <c r="C25" s="158">
        <f>IF($C$24="песчаный",VLOOKUP('Несущая способность по грунту 1'!$B$26,Служебный!$R$2:$T$6,3,FALSE),IF($B$27&gt;0,$B$27,0))</f>
        <v>0.09</v>
      </c>
      <c r="D25" s="56"/>
      <c r="F25" s="361"/>
      <c r="G25" s="361"/>
      <c r="H25" s="364"/>
      <c r="I25" s="367"/>
      <c r="J25" s="370"/>
      <c r="K25" s="373"/>
      <c r="L25" s="356"/>
      <c r="M25" s="354"/>
      <c r="N25" s="267" t="str">
        <f t="shared" si="10"/>
        <v xml:space="preserve"> </v>
      </c>
      <c r="O25" s="28" t="str">
        <f t="shared" si="8"/>
        <v xml:space="preserve"> </v>
      </c>
      <c r="P25" s="28" t="str">
        <f>IF(N25&lt;&gt;" ",MAX($P$9:P24)+O25/2," ")</f>
        <v xml:space="preserve"> </v>
      </c>
      <c r="Q25" s="28" t="str" cm="1">
        <f t="array" ref="Q25">IF(Скважина!$L$9=Служебный!$K$2,IF(O25&lt;&gt;" ",IF('Несущая способность по грунту 1'!P25&gt;1,Interpol(9,14,Служебный!$H$33:$H$46,Служебный!$I$32:$Q$32,Служебный!$I$33:$Q$46,'Несущая способность по грунту 1'!P25,IF($I$19&lt;=0.2,0.2,$I$19)),0)," "),0)</f>
        <v xml:space="preserve"> </v>
      </c>
      <c r="R25" s="68" t="str">
        <f t="shared" si="9"/>
        <v xml:space="preserve"> </v>
      </c>
      <c r="S25" s="188"/>
      <c r="T25" s="28"/>
      <c r="U25" s="72" t="str">
        <f t="shared" si="2"/>
        <v xml:space="preserve"> </v>
      </c>
      <c r="V25" s="188"/>
      <c r="AN25" s="353"/>
      <c r="AO25" s="353"/>
      <c r="AP25" s="397"/>
      <c r="AQ25" s="353"/>
      <c r="AR25" s="353"/>
      <c r="AS25" s="397"/>
      <c r="AT25" s="353"/>
      <c r="AU25" s="353"/>
      <c r="AV25" s="397"/>
      <c r="AW25" s="353"/>
      <c r="AX25" s="353"/>
      <c r="AY25" s="397"/>
    </row>
    <row r="26" spans="1:51" ht="30.75" thickBot="1">
      <c r="A26" s="263" t="s">
        <v>109</v>
      </c>
      <c r="B26" s="337" t="str">
        <f>VLOOKUP('Несущая способность по грунту 1'!$B$22,Геология!$D$7:$BO$993,3,FALSE)</f>
        <v>полутвердые</v>
      </c>
      <c r="C26" s="338" t="s">
        <v>207</v>
      </c>
      <c r="D26" s="56"/>
      <c r="F26" s="361"/>
      <c r="G26" s="361"/>
      <c r="H26" s="364"/>
      <c r="I26" s="367"/>
      <c r="J26" s="370"/>
      <c r="K26" s="373"/>
      <c r="L26" s="356"/>
      <c r="M26" s="354"/>
      <c r="N26" s="267" t="str">
        <f t="shared" si="10"/>
        <v xml:space="preserve"> </v>
      </c>
      <c r="O26" s="28" t="str">
        <f t="shared" si="8"/>
        <v xml:space="preserve"> </v>
      </c>
      <c r="P26" s="28" t="str">
        <f>IF(N26&lt;&gt;" ",MAX($P$9:P25)+O26/2," ")</f>
        <v xml:space="preserve"> </v>
      </c>
      <c r="Q26" s="28" t="str" cm="1">
        <f t="array" ref="Q26">IF(Скважина!$L$9=Служебный!$K$2,IF(O26&lt;&gt;" ",IF('Несущая способность по грунту 1'!P26&gt;1,Interpol(9,14,Служебный!$H$33:$H$46,Служебный!$I$32:$Q$32,Служебный!$I$33:$Q$46,'Несущая способность по грунту 1'!P26,IF($I$19&lt;=0.2,0.2,$I$19)),0)," "),0)</f>
        <v xml:space="preserve"> </v>
      </c>
      <c r="R26" s="68" t="str">
        <f t="shared" si="9"/>
        <v xml:space="preserve"> </v>
      </c>
      <c r="S26" s="188"/>
      <c r="T26" s="28"/>
      <c r="U26" s="72" t="str">
        <f t="shared" si="2"/>
        <v xml:space="preserve"> </v>
      </c>
      <c r="V26" s="188"/>
      <c r="AN26" s="353"/>
      <c r="AO26" s="353"/>
      <c r="AP26" s="397"/>
      <c r="AQ26" s="353"/>
      <c r="AR26" s="353"/>
      <c r="AS26" s="397"/>
      <c r="AT26" s="353"/>
      <c r="AU26" s="353"/>
      <c r="AV26" s="397"/>
      <c r="AW26" s="353"/>
      <c r="AX26" s="353"/>
      <c r="AY26" s="397"/>
    </row>
    <row r="27" spans="1:51" ht="30.75" thickBot="1">
      <c r="A27" s="321" t="s">
        <v>144</v>
      </c>
      <c r="B27" s="322">
        <f>VLOOKUP('Несущая способность по грунту 1'!$B$22,Геология!$D$7:$BO$993,22,FALSE)</f>
        <v>0.09</v>
      </c>
      <c r="C27" s="339" t="s">
        <v>236</v>
      </c>
      <c r="D27" s="56"/>
      <c r="F27" s="361"/>
      <c r="G27" s="361"/>
      <c r="H27" s="364"/>
      <c r="I27" s="367"/>
      <c r="J27" s="370"/>
      <c r="K27" s="373"/>
      <c r="L27" s="356"/>
      <c r="M27" s="354"/>
      <c r="N27" s="267" t="str">
        <f t="shared" si="10"/>
        <v xml:space="preserve"> </v>
      </c>
      <c r="O27" s="28" t="str">
        <f t="shared" si="8"/>
        <v xml:space="preserve"> </v>
      </c>
      <c r="P27" s="28" t="str">
        <f>IF(N27&lt;&gt;" ",MAX($P$9:P26)+O27/2," ")</f>
        <v xml:space="preserve"> </v>
      </c>
      <c r="Q27" s="28" t="str" cm="1">
        <f t="array" ref="Q27">IF(Скважина!$L$9=Служебный!$K$2,IF(O27&lt;&gt;" ",IF('Несущая способность по грунту 1'!P27&gt;1,Interpol(9,14,Служебный!$H$33:$H$46,Служебный!$I$32:$Q$32,Служебный!$I$33:$Q$46,'Несущая способность по грунту 1'!P27,IF($I$19&lt;=0.2,0.2,$I$19)),0)," "),0)</f>
        <v xml:space="preserve"> </v>
      </c>
      <c r="R27" s="68" t="str">
        <f t="shared" si="9"/>
        <v xml:space="preserve"> </v>
      </c>
      <c r="S27" s="188"/>
      <c r="T27" s="28"/>
      <c r="U27" s="72" t="str">
        <f t="shared" si="2"/>
        <v xml:space="preserve"> </v>
      </c>
      <c r="V27" s="188"/>
      <c r="AN27" s="353"/>
      <c r="AO27" s="353"/>
      <c r="AP27" s="397"/>
      <c r="AQ27" s="353"/>
      <c r="AR27" s="353"/>
      <c r="AS27" s="397"/>
      <c r="AT27" s="353"/>
      <c r="AU27" s="353"/>
      <c r="AV27" s="397"/>
      <c r="AW27" s="353"/>
      <c r="AX27" s="353"/>
      <c r="AY27" s="397"/>
    </row>
    <row r="28" spans="1:51" ht="15.75" thickBot="1">
      <c r="A28" s="323" t="s">
        <v>146</v>
      </c>
      <c r="B28" s="324" cm="1">
        <f t="array" ref="B28">IF($C$24="песчаный",Interpol(12,5,Служебный!$H$122:$H$133,Служебный!$I$121:$M$121,Служебный!$I$122:$M$133,'Несущая способность по грунту 1'!$B$20,'Несущая способность по грунту 1'!$C$25),Interpol(12,7,Служебный!$H$104:$H$115,Служебный!$I$103:$O$103,Служебный!$I$104:$O$115,'Несущая способность по грунту 1'!$B$20,'Несущая способность по грунту 1'!$C$25))</f>
        <v>8019</v>
      </c>
      <c r="C28" s="325" t="str">
        <f>IF(C27=Служебный!G2,D50,"-")</f>
        <v>-</v>
      </c>
      <c r="F28" s="362"/>
      <c r="G28" s="362"/>
      <c r="H28" s="365"/>
      <c r="I28" s="368"/>
      <c r="J28" s="371"/>
      <c r="K28" s="374"/>
      <c r="L28" s="357"/>
      <c r="M28" s="359"/>
      <c r="N28" s="274" t="str">
        <f t="shared" si="10"/>
        <v xml:space="preserve"> </v>
      </c>
      <c r="O28" s="70" t="str">
        <f t="shared" si="8"/>
        <v xml:space="preserve"> </v>
      </c>
      <c r="P28" s="70" t="str">
        <f>IF(N28&lt;&gt;" ",MAX($P$9:P27)+O28/2," ")</f>
        <v xml:space="preserve"> </v>
      </c>
      <c r="Q28" s="70" t="str" cm="1">
        <f t="array" ref="Q28">IF(Скважина!$L$9=Служебный!$K$2,IF(O28&lt;&gt;" ",IF('Несущая способность по грунту 1'!P28&gt;1,Interpol(9,14,Служебный!$H$33:$H$46,Служебный!$I$32:$Q$32,Служебный!$I$33:$Q$46,'Несущая способность по грунту 1'!P28,IF($I$19&lt;=0.2,0.2,$I$19)),0)," "),0)</f>
        <v xml:space="preserve"> </v>
      </c>
      <c r="R28" s="71" t="str">
        <f t="shared" si="9"/>
        <v xml:space="preserve"> </v>
      </c>
      <c r="S28" s="188"/>
      <c r="T28" s="70"/>
      <c r="U28" s="72" t="str">
        <f t="shared" si="2"/>
        <v xml:space="preserve"> </v>
      </c>
      <c r="V28" s="188"/>
      <c r="AN28" s="353"/>
      <c r="AO28" s="353"/>
      <c r="AP28" s="397"/>
      <c r="AQ28" s="353"/>
      <c r="AR28" s="353"/>
      <c r="AS28" s="397"/>
      <c r="AT28" s="353"/>
      <c r="AU28" s="353"/>
      <c r="AV28" s="397"/>
      <c r="AW28" s="353"/>
      <c r="AX28" s="353"/>
      <c r="AY28" s="397"/>
    </row>
    <row r="29" spans="1:51" ht="15" customHeight="1">
      <c r="A29" s="263" t="s">
        <v>318</v>
      </c>
      <c r="B29" s="326">
        <v>1.4</v>
      </c>
      <c r="C29" s="327">
        <v>1.25</v>
      </c>
      <c r="F29" s="378">
        <f t="shared" ref="F29" si="11">F19+1</f>
        <v>3</v>
      </c>
      <c r="G29" s="378" t="str">
        <f>IF(F29&lt;21,IF(VLOOKUP(F29,Скважина!$E$8:$K$27,4,FALSE)&gt;Скважина!$C$8,VLOOKUP('Несущая способность по грунту 1'!F29,Скважина!$E$8:$K$27,2,FALSE),0),0)</f>
        <v>5а</v>
      </c>
      <c r="H29" s="388" t="str">
        <f>IF(G29&lt;&gt;0,VLOOKUP('Несущая способность по грунту 1'!G29,Геология!$D$7:$BO$993,7,FALSE)," ")</f>
        <v xml:space="preserve">Супеси пластичные   </v>
      </c>
      <c r="I29" s="367">
        <f>IF(G29&lt;&gt;0,VLOOKUP('Несущая способность по грунту 1'!G29, Геология!$D$8:$BM$993, 22,FALSE)," ")</f>
        <v>0.21</v>
      </c>
      <c r="J29" s="390">
        <f>VLOOKUP(F29,Скважина!$E$8:$K$27,4,FALSE)</f>
        <v>134.6</v>
      </c>
      <c r="K29" s="373">
        <f>IF(VLOOKUP($F29,Скважина!$E$8:$K$27,5,FALSE)&gt;Скважина!$C$8,VLOOKUP($F29,Скважина!$E$8:$K$27,5,FALSE),Скважина!$C$8)</f>
        <v>133.1</v>
      </c>
      <c r="L29" s="356">
        <f>IF(IF(G29&lt;&gt;0,J29-K29,0)&lt;0,0,IF(G29&lt;&gt;0,J29-K29,0))</f>
        <v>1.5</v>
      </c>
      <c r="M29" s="354">
        <v>2</v>
      </c>
      <c r="N29" s="264">
        <f>IF(M29&lt;&gt;0,MAX(N$9:N$28)+1," ")</f>
        <v>7</v>
      </c>
      <c r="O29" s="34">
        <f>IF(N29&lt;&gt;" ",L$29/COUNT(N$29:N$38), " ")</f>
        <v>0.75</v>
      </c>
      <c r="P29" s="34">
        <f>IF(N29&lt;&gt;" ",MAX($P$9:P28)+O29/2," ")</f>
        <v>3.875</v>
      </c>
      <c r="Q29" s="34" cm="1">
        <f t="array" ref="Q29">IF(Скважина!$L$10=Служебный!$K$2,IF(O29&lt;&gt;" ",IF('Несущая способность по грунту 1'!P29&gt;1,Interpol(9,14,Служебный!$H$33:$H$46,Служебный!$I$32:$Q$32,Служебный!$I$33:$Q$46,'Несущая способность по грунту 1'!P29,IF($I$29&lt;=0.2,0.2,$I$29)),0)," "),0)</f>
        <v>50.9</v>
      </c>
      <c r="R29" s="72">
        <f>IF(N29&lt;&gt;" ",O29*Q29," ")</f>
        <v>38.174999999999997</v>
      </c>
      <c r="S29" s="188"/>
      <c r="T29" s="66"/>
      <c r="U29" s="72">
        <f t="shared" si="2"/>
        <v>0</v>
      </c>
      <c r="V29" s="188"/>
      <c r="X29" s="159" t="s">
        <v>338</v>
      </c>
      <c r="Y29" s="160"/>
      <c r="Z29" s="161" t="s">
        <v>155</v>
      </c>
      <c r="AA29" s="162"/>
      <c r="AC29" s="283" t="s">
        <v>213</v>
      </c>
      <c r="AD29" s="284"/>
      <c r="AN29" s="353">
        <f>IF(OR(G29=0,F29&gt;20)," ",VLOOKUP('Несущая способность по грунту 1'!G29,Геология!$D$7:$BO$993,23,FALSE))</f>
        <v>19.611999999999998</v>
      </c>
      <c r="AO29" s="353">
        <f>IF(AN29&lt;&gt;" ",AN29*L29," ")</f>
        <v>29.417999999999999</v>
      </c>
      <c r="AP29" s="397"/>
      <c r="AQ29" s="353">
        <f>IF(G29&lt;&gt;0,VLOOKUP('Несущая способность по грунту 1'!G29,Геология!$D$7:$BO$993,24,FALSE)," ")</f>
        <v>0.3</v>
      </c>
      <c r="AR29" s="353">
        <f t="shared" ref="AR29" si="12">IF(AQ29&lt;&gt;" ",AQ29*L29," ")</f>
        <v>0.44999999999999996</v>
      </c>
      <c r="AS29" s="397"/>
      <c r="AT29" s="353">
        <f>IF(G29&lt;&gt;0,VLOOKUP('Несущая способность по грунту 1'!G29,Геология!$D$7:$BO$993,21,FALSE)," ")</f>
        <v>14</v>
      </c>
      <c r="AU29" s="353">
        <f t="shared" ref="AU29" si="13">IF(G29&lt;&gt;0,AT29*L29," ")</f>
        <v>21</v>
      </c>
      <c r="AV29" s="397"/>
      <c r="AW29" s="353">
        <f>IF(G29&lt;&gt;0,VLOOKUP('Несущая способность по грунту 1'!G29,Геология!$D$7:$BO$993,27,FALSE)," ")</f>
        <v>5.3846153846153841</v>
      </c>
      <c r="AX29" s="353">
        <f t="shared" ref="AX29" si="14">IF(G29&lt;&gt;0,AW29*L29," ")</f>
        <v>8.0769230769230766</v>
      </c>
      <c r="AY29" s="397"/>
    </row>
    <row r="30" spans="1:51">
      <c r="A30" s="262" t="s">
        <v>319</v>
      </c>
      <c r="B30" s="251">
        <f>VLOOKUP($B$11,Служебный!$B$97:$D$100,2,FALSE)</f>
        <v>1.75</v>
      </c>
      <c r="C30" s="252">
        <f>VLOOKUP($B$11,Служебный!$B$97:$D$100,3,FALSE)</f>
        <v>1.6</v>
      </c>
      <c r="F30" s="361"/>
      <c r="G30" s="361"/>
      <c r="H30" s="364"/>
      <c r="I30" s="367"/>
      <c r="J30" s="370"/>
      <c r="K30" s="373"/>
      <c r="L30" s="356"/>
      <c r="M30" s="354"/>
      <c r="N30" s="257">
        <f>IF(N29=" "," ", IF(N29&lt;SUM(M$9:M$38),N29+1, " "))</f>
        <v>8</v>
      </c>
      <c r="O30" s="28">
        <f t="shared" ref="O30:O38" si="15">IF(N30&lt;&gt;" ",L$29/COUNT(N$29:N$38), " ")</f>
        <v>0.75</v>
      </c>
      <c r="P30" s="28">
        <f>IF(N30&lt;&gt;" ",MAX($P$9:P29)+O30/2," ")</f>
        <v>4.25</v>
      </c>
      <c r="Q30" s="28" cm="1">
        <f t="array" ref="Q30">IF(Скважина!$L$10=Служебный!$K$2,IF(O30&lt;&gt;" ",IF('Несущая способность по грунту 1'!P30&gt;1,Interpol(9,14,Служебный!$H$33:$H$46,Служебный!$I$32:$Q$32,Служебный!$I$33:$Q$46,'Несущая способность по грунту 1'!P30,IF($I$29&lt;=0.2,0.2,$I$29)),0)," "),0)</f>
        <v>52.225000000000001</v>
      </c>
      <c r="R30" s="68">
        <f t="shared" ref="R30:R38" si="16">IF(N30&lt;&gt;" ",O30*Q30," ")</f>
        <v>39.168750000000003</v>
      </c>
      <c r="S30" s="188"/>
      <c r="T30" s="28"/>
      <c r="U30" s="72">
        <f t="shared" si="2"/>
        <v>0</v>
      </c>
      <c r="V30" s="188"/>
      <c r="X30" s="163" t="s">
        <v>39</v>
      </c>
      <c r="Y30" s="47">
        <v>0.2</v>
      </c>
      <c r="Z30" s="142">
        <f>IF(I29&lt;=0.2,0.2,I29)</f>
        <v>0.21</v>
      </c>
      <c r="AA30" s="151">
        <v>0.3</v>
      </c>
      <c r="AC30" s="262" t="s">
        <v>39</v>
      </c>
      <c r="AD30" s="165" t="s">
        <v>214</v>
      </c>
      <c r="AN30" s="353"/>
      <c r="AO30" s="353"/>
      <c r="AP30" s="397"/>
      <c r="AQ30" s="353"/>
      <c r="AR30" s="353"/>
      <c r="AS30" s="397"/>
      <c r="AT30" s="353"/>
      <c r="AU30" s="353"/>
      <c r="AV30" s="397"/>
      <c r="AW30" s="353"/>
      <c r="AX30" s="353"/>
      <c r="AY30" s="397"/>
    </row>
    <row r="31" spans="1:51" ht="15.75" thickBot="1">
      <c r="A31" s="261" t="s">
        <v>147</v>
      </c>
      <c r="B31" s="328">
        <v>1.1000000000000001</v>
      </c>
      <c r="C31" s="329"/>
      <c r="F31" s="361"/>
      <c r="G31" s="361"/>
      <c r="H31" s="364"/>
      <c r="I31" s="367"/>
      <c r="J31" s="370"/>
      <c r="K31" s="373"/>
      <c r="L31" s="356"/>
      <c r="M31" s="354"/>
      <c r="N31" s="257" t="str">
        <f t="shared" ref="N31:N38" si="17">IF(N30=" "," ", IF(N30&lt;SUM(M$9:M$38),N30+1, " "))</f>
        <v xml:space="preserve"> </v>
      </c>
      <c r="O31" s="28" t="str">
        <f t="shared" si="15"/>
        <v xml:space="preserve"> </v>
      </c>
      <c r="P31" s="28" t="str">
        <f>IF(N31&lt;&gt;" ",MAX($P$9:P30)+O31/2," ")</f>
        <v xml:space="preserve"> </v>
      </c>
      <c r="Q31" s="28" t="str" cm="1">
        <f t="array" ref="Q31">IF(Скважина!$L$10=Служебный!$K$2,IF(O31&lt;&gt;" ",IF('Несущая способность по грунту 1'!P31&gt;1,Interpol(9,14,Служебный!$H$33:$H$46,Служебный!$I$32:$Q$32,Служебный!$I$33:$Q$46,'Несущая способность по грунту 1'!P31,IF($I$29&lt;=0.2,0.2,$I$29)),0)," "),0)</f>
        <v xml:space="preserve"> </v>
      </c>
      <c r="R31" s="68" t="str">
        <f t="shared" si="16"/>
        <v xml:space="preserve"> </v>
      </c>
      <c r="S31" s="188"/>
      <c r="T31" s="28"/>
      <c r="U31" s="72" t="str">
        <f t="shared" si="2"/>
        <v xml:space="preserve"> </v>
      </c>
      <c r="V31" s="188"/>
      <c r="X31" s="164">
        <v>5</v>
      </c>
      <c r="Y31" s="109">
        <f>IF(Y30=0.2,VLOOKUP(X31,Служебный!$H$33:$Q$46,2,FALSE),IF(Y30=0.3,VLOOKUP(X31,Служебный!$H$33:$Q$46,3,FALSE),IF(Y30=0.4,VLOOKUP(X31,Служебный!$H$33:$Q$46,4,FALSE),IF(Y30=0.5,VLOOKUP(X31,Служебный!$H$33:$Q$46,5,FALSE),IF(Y30=0.6,VLOOKUP(X31,Служебный!$H$33:$Q$46,6,FALSE),IF(Y30=0.7,VLOOKUP(X31,Служебный!$H$33:$Q$46,7,FALSE),IF(Y30=0.8,VLOOKUP(X31,Служебный!$H$33:$Q$46,8,FALSE),IF(Y30=0.9,VLOOKUP(X31,Служебный!$H$33:$Q$46,9,FALSE),IF(Y30=1,VLOOKUP(X31,Служебный!$H$33:$Q$46,10,FALSE),0)))))))))</f>
        <v>56</v>
      </c>
      <c r="Z31" s="79">
        <f>(AA31-Y31)/(AA30-Y30)*(Z30-Y30)+Y31</f>
        <v>54.400000000000006</v>
      </c>
      <c r="AA31" s="165">
        <f>IF(AA30=0.2,VLOOKUP(X31,Служебный!$H$33:$Q$46,2,FALSE),IF(AA30=0.3,VLOOKUP(X31,Служебный!$H$33:$Q$46,3,FALSE),IF(AA30=0.4,VLOOKUP(X31,Служебный!$H$33:$Q$46,4,FALSE),IF(AA30=0.5,VLOOKUP(X31,Служебный!$H$33:$Q$46,5,FALSE),IF(AA30=0.6,VLOOKUP(X31,Служебный!$H$33:$Q$46,6,FALSE),IF(AA30=0.7,VLOOKUP(X31,Служебный!$H$33:$Q$46,7,FALSE),IF(AA30=0.8,VLOOKUP(X31,Служебный!$H$33:$Q$46,8,FALSE),IF(AA30=0.9,VLOOKUP(X31,Служебный!$H$33:$Q$46,9,FALSE),IF(AA30=1,VLOOKUP(X31,Служебный!$H$33:$Q$46,10,FALSE),0)))))))))</f>
        <v>40</v>
      </c>
      <c r="AC31" s="164">
        <v>9.1999999999999993</v>
      </c>
      <c r="AD31" s="151">
        <v>161</v>
      </c>
      <c r="AN31" s="353"/>
      <c r="AO31" s="353"/>
      <c r="AP31" s="397"/>
      <c r="AQ31" s="353"/>
      <c r="AR31" s="353"/>
      <c r="AS31" s="397"/>
      <c r="AT31" s="353"/>
      <c r="AU31" s="353"/>
      <c r="AV31" s="397"/>
      <c r="AW31" s="353"/>
      <c r="AX31" s="353"/>
      <c r="AY31" s="397"/>
    </row>
    <row r="32" spans="1:51" ht="15.75" thickBot="1">
      <c r="A32" s="330" t="s">
        <v>148</v>
      </c>
      <c r="B32" s="331">
        <v>0.3</v>
      </c>
      <c r="C32" s="145"/>
      <c r="F32" s="361"/>
      <c r="G32" s="361"/>
      <c r="H32" s="364"/>
      <c r="I32" s="367"/>
      <c r="J32" s="370"/>
      <c r="K32" s="373"/>
      <c r="L32" s="356"/>
      <c r="M32" s="354"/>
      <c r="N32" s="257" t="str">
        <f t="shared" si="17"/>
        <v xml:space="preserve"> </v>
      </c>
      <c r="O32" s="28" t="str">
        <f t="shared" si="15"/>
        <v xml:space="preserve"> </v>
      </c>
      <c r="P32" s="28" t="str">
        <f>IF(N32&lt;&gt;" ",MAX($P$9:P31)+O32/2," ")</f>
        <v xml:space="preserve"> </v>
      </c>
      <c r="Q32" s="28" t="str" cm="1">
        <f t="array" ref="Q32">IF(Скважина!$L$10=Служебный!$K$2,IF(O32&lt;&gt;" ",IF('Несущая способность по грунту 1'!P32&gt;1,Interpol(9,14,Служебный!$H$33:$H$46,Служебный!$I$32:$Q$32,Служебный!$I$33:$Q$46,'Несущая способность по грунту 1'!P32,IF($I$29&lt;=0.2,0.2,$I$29)),0)," "),0)</f>
        <v xml:space="preserve"> </v>
      </c>
      <c r="R32" s="68" t="str">
        <f t="shared" si="16"/>
        <v xml:space="preserve"> </v>
      </c>
      <c r="S32" s="188"/>
      <c r="T32" s="28"/>
      <c r="U32" s="72" t="str">
        <f t="shared" si="2"/>
        <v xml:space="preserve"> </v>
      </c>
      <c r="V32" s="188"/>
      <c r="X32" s="164">
        <v>5.1749999999999998</v>
      </c>
      <c r="Y32" s="78"/>
      <c r="Z32" s="77">
        <f>(Z33-Z31)/(X33-X31)*(X32-X31)+Z31</f>
        <v>54.750000000000007</v>
      </c>
      <c r="AA32" s="166"/>
      <c r="AC32" s="164">
        <v>9.25</v>
      </c>
      <c r="AD32" s="285">
        <f>(AD33-AD31)/(AC33-AC31)*(AC32-AC31)+AD31</f>
        <v>154.74999999999994</v>
      </c>
      <c r="AN32" s="353"/>
      <c r="AO32" s="353"/>
      <c r="AP32" s="397"/>
      <c r="AQ32" s="353"/>
      <c r="AR32" s="353"/>
      <c r="AS32" s="397"/>
      <c r="AT32" s="353"/>
      <c r="AU32" s="353"/>
      <c r="AV32" s="397"/>
      <c r="AW32" s="353"/>
      <c r="AX32" s="353"/>
      <c r="AY32" s="397"/>
    </row>
    <row r="33" spans="1:51" ht="30.75" thickBot="1">
      <c r="A33" s="259" t="s">
        <v>149</v>
      </c>
      <c r="B33" s="332">
        <f>1*($B$28*B18*$B$32^2+4*$B$32*$B$19*$S$9)</f>
        <v>1469.2682399999999</v>
      </c>
      <c r="C33" s="333" t="str">
        <f>IF(C27=Служебный!G2,1*($C$28*B18*$B$32^2+4*$B$32*$B$19*$V$9),"-")</f>
        <v>-</v>
      </c>
      <c r="F33" s="361"/>
      <c r="G33" s="361"/>
      <c r="H33" s="364"/>
      <c r="I33" s="367"/>
      <c r="J33" s="370"/>
      <c r="K33" s="373"/>
      <c r="L33" s="356"/>
      <c r="M33" s="354"/>
      <c r="N33" s="257" t="str">
        <f t="shared" si="17"/>
        <v xml:space="preserve"> </v>
      </c>
      <c r="O33" s="28" t="str">
        <f t="shared" si="15"/>
        <v xml:space="preserve"> </v>
      </c>
      <c r="P33" s="28" t="str">
        <f>IF(N33&lt;&gt;" ",MAX($P$9:P32)+O33/2," ")</f>
        <v xml:space="preserve"> </v>
      </c>
      <c r="Q33" s="28" t="str" cm="1">
        <f t="array" ref="Q33">IF(Скважина!$L$10=Служебный!$K$2,IF(O33&lt;&gt;" ",IF('Несущая способность по грунту 1'!P33&gt;1,Interpol(9,14,Служебный!$H$33:$H$46,Служебный!$I$32:$Q$32,Служебный!$I$33:$Q$46,'Несущая способность по грунту 1'!P33,IF($I$29&lt;=0.2,0.2,$I$29)),0)," "),0)</f>
        <v xml:space="preserve"> </v>
      </c>
      <c r="R33" s="68" t="str">
        <f t="shared" si="16"/>
        <v xml:space="preserve"> </v>
      </c>
      <c r="S33" s="188"/>
      <c r="T33" s="28"/>
      <c r="U33" s="72" t="str">
        <f t="shared" si="2"/>
        <v xml:space="preserve"> </v>
      </c>
      <c r="V33" s="188"/>
      <c r="X33" s="167">
        <v>6</v>
      </c>
      <c r="Y33" s="168">
        <f>IF(Y30=0.2,VLOOKUP(X33,Служебный!$H$33:$Q$46,2,FALSE),IF(Y30=0.3,VLOOKUP(X33,Служебный!$H$33:$Q$46,3,FALSE),IF(Y30=0.4,VLOOKUP(X33,Служебный!$H$33:$Q$46,4,FALSE),IF(Y30=0.5,VLOOKUP(X33,Служебный!$H$33:$Q$46,5,FALSE),IF(Y30=0.6,VLOOKUP(X33,Служебный!$H$33:$Q$46,6,FALSE),IF(Y30=0.7,VLOOKUP(X33,Служебный!$H$33:$Q$46,7,FALSE),IF(Y30=0.8,VLOOKUP(X33,Служебный!$H$33:$Q$46,8,FALSE),IF(Y30=0.9,VLOOKUP(X33,Служебный!$H$33:$Q$46,9,FALSE),IF(Y30=1,VLOOKUP(X33,Служебный!$H$33:$Q$46,10,FALSE),0)))))))))</f>
        <v>58</v>
      </c>
      <c r="Z33" s="169">
        <f>(AA33-Y33)/(AA30-Y30)*(Z30-Y30)+Y33</f>
        <v>56.400000000000006</v>
      </c>
      <c r="AA33" s="170">
        <f>IF(AA30=0.2,VLOOKUP(X33,Служебный!$H$33:$Q$46,2,FALSE),IF(AA30=0.3,VLOOKUP(X33,Служебный!$H$33:$Q$46,3,FALSE),IF(AA30=0.4,VLOOKUP(X33,Служебный!$H$33:$Q$46,4,FALSE),IF(AA30=0.5,VLOOKUP(X33,Служебный!$H$33:$Q$46,5,FALSE),IF(AA30=0.6,VLOOKUP(X33,Служебный!$H$33:$Q$46,6,FALSE),IF(AA30=0.7,VLOOKUP(X33,Служебный!$H$33:$Q$46,7,FALSE),IF(AA30=0.8,VLOOKUP(X33,Служебный!$H$33:$Q$46,8,FALSE),IF(AA30=0.9,VLOOKUP(X33,Служебный!$H$33:$Q$46,9,FALSE),IF(AA30=1,VLOOKUP(X33,Служебный!$H$33:$Q$46,10,FALSE),0)))))))))</f>
        <v>42</v>
      </c>
      <c r="AC33" s="167">
        <v>9.4</v>
      </c>
      <c r="AD33" s="155">
        <v>136</v>
      </c>
      <c r="AN33" s="353"/>
      <c r="AO33" s="353"/>
      <c r="AP33" s="397"/>
      <c r="AQ33" s="353"/>
      <c r="AR33" s="353"/>
      <c r="AS33" s="397"/>
      <c r="AT33" s="353"/>
      <c r="AU33" s="353"/>
      <c r="AV33" s="397"/>
      <c r="AW33" s="353"/>
      <c r="AX33" s="353"/>
      <c r="AY33" s="397"/>
    </row>
    <row r="34" spans="1:51" ht="30.75" thickBot="1">
      <c r="A34" s="260" t="s">
        <v>150</v>
      </c>
      <c r="B34" s="143">
        <f>0.8*(4*$B$32*$B$19*$S$9)</f>
        <v>598.04659200000003</v>
      </c>
      <c r="C34" s="146" t="str">
        <f>IF(C27=Служебный!G2,0.8*(4*$B$32*$B$19*$V$9),"-")</f>
        <v>-</v>
      </c>
      <c r="D34" s="394" t="s">
        <v>279</v>
      </c>
      <c r="E34" s="395"/>
      <c r="F34" s="361"/>
      <c r="G34" s="361"/>
      <c r="H34" s="364"/>
      <c r="I34" s="367"/>
      <c r="J34" s="370"/>
      <c r="K34" s="373"/>
      <c r="L34" s="356"/>
      <c r="M34" s="354"/>
      <c r="N34" s="257" t="str">
        <f t="shared" si="17"/>
        <v xml:space="preserve"> </v>
      </c>
      <c r="O34" s="28" t="str">
        <f t="shared" si="15"/>
        <v xml:space="preserve"> </v>
      </c>
      <c r="P34" s="28" t="str">
        <f>IF(N34&lt;&gt;" ",MAX($P$9:P33)+O34/2," ")</f>
        <v xml:space="preserve"> </v>
      </c>
      <c r="Q34" s="28" t="str" cm="1">
        <f t="array" ref="Q34">IF(Скважина!$L$10=Служебный!$K$2,IF(O34&lt;&gt;" ",IF('Несущая способность по грунту 1'!P34&gt;1,Interpol(9,14,Служебный!$H$33:$H$46,Служебный!$I$32:$Q$32,Служебный!$I$33:$Q$46,'Несущая способность по грунту 1'!P34,IF($I$29&lt;=0.2,0.2,$I$29)),0)," "),0)</f>
        <v xml:space="preserve"> </v>
      </c>
      <c r="R34" s="68" t="str">
        <f t="shared" si="16"/>
        <v xml:space="preserve"> </v>
      </c>
      <c r="S34" s="188"/>
      <c r="T34" s="28"/>
      <c r="U34" s="72" t="str">
        <f t="shared" si="2"/>
        <v xml:space="preserve"> </v>
      </c>
      <c r="V34" s="188"/>
      <c r="X34" t="str">
        <f>H29</f>
        <v xml:space="preserve">Супеси пластичные   </v>
      </c>
      <c r="AN34" s="353"/>
      <c r="AO34" s="353"/>
      <c r="AP34" s="397"/>
      <c r="AQ34" s="353"/>
      <c r="AR34" s="353"/>
      <c r="AS34" s="397"/>
      <c r="AT34" s="353"/>
      <c r="AU34" s="353"/>
      <c r="AV34" s="397"/>
      <c r="AW34" s="353"/>
      <c r="AX34" s="353"/>
      <c r="AY34" s="397"/>
    </row>
    <row r="35" spans="1:51">
      <c r="A35" s="334" t="s">
        <v>151</v>
      </c>
      <c r="B35" s="144">
        <f>B33/($B$29*$B$31)</f>
        <v>954.07028571428566</v>
      </c>
      <c r="C35" s="255" t="str">
        <f>IF($C$27=Служебный!$G$2,C33/($C$29*$B$31),"-")</f>
        <v>-</v>
      </c>
      <c r="D35" s="253">
        <f>B35/9.806</f>
        <v>97.294542699804794</v>
      </c>
      <c r="E35" s="147" t="str">
        <f>IF($C$27=Служебный!$G$2,C35/9.806,"-")</f>
        <v>-</v>
      </c>
      <c r="F35" s="361"/>
      <c r="G35" s="361"/>
      <c r="H35" s="364"/>
      <c r="I35" s="367"/>
      <c r="J35" s="370"/>
      <c r="K35" s="373"/>
      <c r="L35" s="356"/>
      <c r="M35" s="354"/>
      <c r="N35" s="257" t="str">
        <f t="shared" si="17"/>
        <v xml:space="preserve"> </v>
      </c>
      <c r="O35" s="28" t="str">
        <f t="shared" si="15"/>
        <v xml:space="preserve"> </v>
      </c>
      <c r="P35" s="28" t="str">
        <f>IF(N35&lt;&gt;" ",MAX($P$9:P34)+O35/2," ")</f>
        <v xml:space="preserve"> </v>
      </c>
      <c r="Q35" s="28" t="str" cm="1">
        <f t="array" ref="Q35">IF(Скважина!$L$10=Служебный!$K$2,IF(O35&lt;&gt;" ",IF('Несущая способность по грунту 1'!P35&gt;1,Interpol(9,14,Служебный!$H$33:$H$46,Служебный!$I$32:$Q$32,Служебный!$I$33:$Q$46,'Несущая способность по грунту 1'!P35,IF($I$29&lt;=0.2,0.2,$I$29)),0)," "),0)</f>
        <v xml:space="preserve"> </v>
      </c>
      <c r="R35" s="68" t="str">
        <f t="shared" si="16"/>
        <v xml:space="preserve"> </v>
      </c>
      <c r="S35" s="188"/>
      <c r="T35" s="28"/>
      <c r="U35" s="72" t="str">
        <f t="shared" si="2"/>
        <v xml:space="preserve"> </v>
      </c>
      <c r="V35" s="188"/>
      <c r="AN35" s="353"/>
      <c r="AO35" s="353"/>
      <c r="AP35" s="397"/>
      <c r="AQ35" s="353"/>
      <c r="AR35" s="353"/>
      <c r="AS35" s="397"/>
      <c r="AT35" s="353"/>
      <c r="AU35" s="353"/>
      <c r="AV35" s="397"/>
      <c r="AW35" s="353"/>
      <c r="AX35" s="353"/>
      <c r="AY35" s="397"/>
    </row>
    <row r="36" spans="1:51" ht="15.75" thickBot="1">
      <c r="A36" s="335" t="s">
        <v>152</v>
      </c>
      <c r="B36" s="336">
        <f>B34/($B$30*$B$31)</f>
        <v>310.67355428571426</v>
      </c>
      <c r="C36" s="256" t="str">
        <f>IF($C$27=Служебный!$G$2,C34/($C$30*$B$31),"-")</f>
        <v>-</v>
      </c>
      <c r="D36" s="254">
        <f>B36/9.806</f>
        <v>31.681985956120158</v>
      </c>
      <c r="E36" s="148" t="str">
        <f>IF($C$27=Служебный!$G$2,C36/9.806,"-")</f>
        <v>-</v>
      </c>
      <c r="F36" s="361"/>
      <c r="G36" s="361"/>
      <c r="H36" s="364"/>
      <c r="I36" s="367"/>
      <c r="J36" s="370"/>
      <c r="K36" s="373"/>
      <c r="L36" s="356"/>
      <c r="M36" s="354"/>
      <c r="N36" s="257" t="str">
        <f t="shared" si="17"/>
        <v xml:space="preserve"> </v>
      </c>
      <c r="O36" s="28" t="str">
        <f t="shared" si="15"/>
        <v xml:space="preserve"> </v>
      </c>
      <c r="P36" s="28" t="str">
        <f>IF(N36&lt;&gt;" ",MAX($P$9:P35)+O36/2," ")</f>
        <v xml:space="preserve"> </v>
      </c>
      <c r="Q36" s="28" t="str" cm="1">
        <f t="array" ref="Q36">IF(Скважина!$L$10=Служебный!$K$2,IF(O36&lt;&gt;" ",IF('Несущая способность по грунту 1'!P36&gt;1,Interpol(9,14,Служебный!$H$33:$H$46,Служебный!$I$32:$Q$32,Служебный!$I$33:$Q$46,'Несущая способность по грунту 1'!P36,IF($I$29&lt;=0.2,0.2,$I$29)),0)," "),0)</f>
        <v xml:space="preserve"> </v>
      </c>
      <c r="R36" s="68" t="str">
        <f t="shared" si="16"/>
        <v xml:space="preserve"> </v>
      </c>
      <c r="S36" s="188"/>
      <c r="T36" s="28"/>
      <c r="U36" s="72" t="str">
        <f t="shared" si="2"/>
        <v xml:space="preserve"> </v>
      </c>
      <c r="V36" s="188"/>
      <c r="AN36" s="353"/>
      <c r="AO36" s="353"/>
      <c r="AP36" s="397"/>
      <c r="AQ36" s="353"/>
      <c r="AR36" s="353"/>
      <c r="AS36" s="397"/>
      <c r="AT36" s="353"/>
      <c r="AU36" s="353"/>
      <c r="AV36" s="397"/>
      <c r="AW36" s="353"/>
      <c r="AX36" s="353"/>
      <c r="AY36" s="397"/>
    </row>
    <row r="37" spans="1:51">
      <c r="F37" s="361"/>
      <c r="G37" s="361"/>
      <c r="H37" s="364"/>
      <c r="I37" s="367"/>
      <c r="J37" s="370"/>
      <c r="K37" s="373"/>
      <c r="L37" s="356"/>
      <c r="M37" s="354"/>
      <c r="N37" s="257" t="str">
        <f t="shared" si="17"/>
        <v xml:space="preserve"> </v>
      </c>
      <c r="O37" s="28" t="str">
        <f t="shared" si="15"/>
        <v xml:space="preserve"> </v>
      </c>
      <c r="P37" s="28" t="str">
        <f>IF(N37&lt;&gt;" ",MAX($P$9:P36)+O37/2," ")</f>
        <v xml:space="preserve"> </v>
      </c>
      <c r="Q37" s="28" t="str" cm="1">
        <f t="array" ref="Q37">IF(Скважина!$L$10=Служебный!$K$2,IF(O37&lt;&gt;" ",IF('Несущая способность по грунту 1'!P37&gt;1,Interpol(9,14,Служебный!$H$33:$H$46,Служебный!$I$32:$Q$32,Служебный!$I$33:$Q$46,'Несущая способность по грунту 1'!P37,IF($I$29&lt;=0.2,0.2,$I$29)),0)," "),0)</f>
        <v xml:space="preserve"> </v>
      </c>
      <c r="R37" s="68" t="str">
        <f t="shared" si="16"/>
        <v xml:space="preserve"> </v>
      </c>
      <c r="S37" s="188"/>
      <c r="T37" s="28"/>
      <c r="U37" s="72" t="str">
        <f t="shared" si="2"/>
        <v xml:space="preserve"> </v>
      </c>
      <c r="V37" s="188"/>
      <c r="AN37" s="353"/>
      <c r="AO37" s="353"/>
      <c r="AP37" s="397"/>
      <c r="AQ37" s="353"/>
      <c r="AR37" s="353"/>
      <c r="AS37" s="397"/>
      <c r="AT37" s="353"/>
      <c r="AU37" s="353"/>
      <c r="AV37" s="397"/>
      <c r="AW37" s="353"/>
      <c r="AX37" s="353"/>
      <c r="AY37" s="397"/>
    </row>
    <row r="38" spans="1:51" ht="15.75" thickBot="1">
      <c r="F38" s="379"/>
      <c r="G38" s="379"/>
      <c r="H38" s="389"/>
      <c r="I38" s="367"/>
      <c r="J38" s="391"/>
      <c r="K38" s="373"/>
      <c r="L38" s="356"/>
      <c r="M38" s="354"/>
      <c r="N38" s="266" t="str">
        <f t="shared" si="17"/>
        <v xml:space="preserve"> </v>
      </c>
      <c r="O38" s="190" t="str">
        <f t="shared" si="15"/>
        <v xml:space="preserve"> </v>
      </c>
      <c r="P38" s="190" t="str">
        <f>IF(N38&lt;&gt;" ",MAX($P$9:P37)+O38/2," ")</f>
        <v xml:space="preserve"> </v>
      </c>
      <c r="Q38" s="190" t="str" cm="1">
        <f t="array" ref="Q38">IF(Скважина!$L$10=Служебный!$K$2,IF(O38&lt;&gt;" ",IF('Несущая способность по грунту 1'!P38&gt;1,Interpol(9,14,Служебный!$H$33:$H$46,Служебный!$I$32:$Q$32,Служебный!$I$33:$Q$46,'Несущая способность по грунту 1'!P38,IF($I$29&lt;=0.2,0.2,$I$29)),0)," "),0)</f>
        <v xml:space="preserve"> </v>
      </c>
      <c r="R38" s="280" t="str">
        <f t="shared" si="16"/>
        <v xml:space="preserve"> </v>
      </c>
      <c r="S38" s="188"/>
      <c r="T38" s="70"/>
      <c r="U38" s="72" t="str">
        <f t="shared" si="2"/>
        <v xml:space="preserve"> </v>
      </c>
      <c r="V38" s="188"/>
      <c r="AN38" s="353"/>
      <c r="AO38" s="353"/>
      <c r="AP38" s="397"/>
      <c r="AQ38" s="353"/>
      <c r="AR38" s="353"/>
      <c r="AS38" s="397"/>
      <c r="AT38" s="353"/>
      <c r="AU38" s="353"/>
      <c r="AV38" s="397"/>
      <c r="AW38" s="353"/>
      <c r="AX38" s="353"/>
      <c r="AY38" s="397"/>
    </row>
    <row r="39" spans="1:51" ht="15" customHeight="1">
      <c r="A39" s="401" t="s">
        <v>336</v>
      </c>
      <c r="B39" s="402"/>
      <c r="C39" s="402"/>
      <c r="D39" s="402"/>
      <c r="E39" s="403"/>
      <c r="F39" s="360">
        <f t="shared" ref="F39" si="18">F29+1</f>
        <v>4</v>
      </c>
      <c r="G39" s="360" t="str">
        <f>IF(F39&lt;21,IF(VLOOKUP(F39,Скважина!$E$8:$K$27,4,FALSE)&gt;Скважина!$C$8,VLOOKUP('Несущая способность по грунту 1'!F39,Скважина!$E$8:$K$27,2,FALSE),0),0)</f>
        <v>4а</v>
      </c>
      <c r="H39" s="363" t="str">
        <f>IF(G39&lt;&gt;0,VLOOKUP('Несущая способность по грунту 1'!G39,Геология!$D$7:$BO$993,7,FALSE)," ")</f>
        <v>Суглинки полутвердые   с примесью органики, слабозаторфованные, с прослоями суглинка и глины тугопластичной</v>
      </c>
      <c r="I39" s="366">
        <f>IF(G39&lt;&gt;0,VLOOKUP('Несущая способность по грунту 1'!G39, Геология!$D$8:$BM$993, 22,FALSE)," ")</f>
        <v>0.15</v>
      </c>
      <c r="J39" s="369">
        <f>VLOOKUP(F39,Скважина!$E$8:$K$27,4,FALSE)</f>
        <v>133.1</v>
      </c>
      <c r="K39" s="372">
        <f>IF(VLOOKUP($F39,Скважина!$E$8:$K$27,5,FALSE)&gt;Скважина!$C$8,VLOOKUP($F39,Скважина!$E$8:$K$27,5,FALSE),Скважина!$C$8)</f>
        <v>129.19999999999999</v>
      </c>
      <c r="L39" s="355">
        <f>IF(IF(G39&lt;&gt;0,J39-K39,0)&lt;0,0,IF(G39&lt;&gt;0,J39-K39,0))</f>
        <v>3.9000000000000057</v>
      </c>
      <c r="M39" s="358">
        <v>5</v>
      </c>
      <c r="N39" s="275">
        <f>IF(M39&lt;&gt;0,MAX(N$9:N$38)+1," ")</f>
        <v>9</v>
      </c>
      <c r="O39" s="66">
        <f>IF(N39&lt;&gt;" ",L$39/COUNT(N$39:N$48), " ")</f>
        <v>0.78000000000000114</v>
      </c>
      <c r="P39" s="66">
        <f>IF(N39&lt;&gt;" ",MAX($P$9:P38)+O39/2," ")</f>
        <v>4.6400000000000006</v>
      </c>
      <c r="Q39" s="66" cm="1">
        <f t="array" ref="Q39">IF(Скважина!$L$11=Служебный!$K$2,IF(O39&lt;&gt;" ",IF('Несущая способность по грунту 1'!P39&gt;1,Interpol(9,14,Служебный!$H$33:$H$46,Служебный!$I$32:$Q$32,Служебный!$I$33:$Q$46,'Несущая способность по грунту 1'!P39,IF($I$39&lt;=0.2,0.2,$I$39)),0)," "),0)</f>
        <v>54.92</v>
      </c>
      <c r="R39" s="67">
        <f>IF(N39&lt;&gt;" ",O39*Q39," ")</f>
        <v>42.837600000000066</v>
      </c>
      <c r="S39" s="188"/>
      <c r="T39" s="66"/>
      <c r="U39" s="72">
        <f t="shared" si="2"/>
        <v>0</v>
      </c>
      <c r="V39" s="188"/>
      <c r="X39" s="159" t="s">
        <v>338</v>
      </c>
      <c r="Y39" s="160"/>
      <c r="Z39" s="161" t="s">
        <v>155</v>
      </c>
      <c r="AA39" s="162"/>
      <c r="AC39" s="283" t="s">
        <v>213</v>
      </c>
      <c r="AD39" s="284"/>
      <c r="AN39" s="353">
        <f>IF(OR(G39=0,F39&gt;20)," ",VLOOKUP('Несущая способность по грунту 1'!G39,Геология!$D$7:$BO$993,23,FALSE))</f>
        <v>17.55274</v>
      </c>
      <c r="AO39" s="353">
        <f t="shared" ref="AO39" si="19">IF(AN39&lt;&gt;" ",AN39*L39," ")</f>
        <v>68.4556860000001</v>
      </c>
      <c r="AP39" s="397"/>
      <c r="AQ39" s="353">
        <f>IF(G39&lt;&gt;0,VLOOKUP('Несущая способность по грунту 1'!G39,Геология!$D$7:$BO$993,24,FALSE)," ")</f>
        <v>0.37</v>
      </c>
      <c r="AR39" s="353">
        <f t="shared" ref="AR39" si="20">IF(AQ39&lt;&gt;" ",AQ39*L39," ")</f>
        <v>1.4430000000000021</v>
      </c>
      <c r="AS39" s="397"/>
      <c r="AT39" s="353">
        <f>IF(G39&lt;&gt;0,VLOOKUP('Несущая способность по грунту 1'!G39,Геология!$D$7:$BO$993,21,FALSE)," ")</f>
        <v>3.97</v>
      </c>
      <c r="AU39" s="353">
        <f t="shared" ref="AU39" si="21">IF(G39&lt;&gt;0,AT39*L39," ")</f>
        <v>15.483000000000024</v>
      </c>
      <c r="AV39" s="397"/>
      <c r="AW39" s="353">
        <f>IF(G39&lt;&gt;0,VLOOKUP('Несущая способность по грунту 1'!G39,Геология!$D$7:$BO$993,27,FALSE)," ")</f>
        <v>1.448905109489051</v>
      </c>
      <c r="AX39" s="353">
        <f t="shared" ref="AX39" si="22">IF(G39&lt;&gt;0,AW39*L39," ")</f>
        <v>5.6507299270073075</v>
      </c>
      <c r="AY39" s="397"/>
    </row>
    <row r="40" spans="1:51">
      <c r="A40" s="149"/>
      <c r="B40" s="150"/>
      <c r="C40" s="60"/>
      <c r="D40" s="244" t="str">
        <f>$B$26</f>
        <v>полутвердые</v>
      </c>
      <c r="E40" s="68"/>
      <c r="F40" s="361"/>
      <c r="G40" s="361"/>
      <c r="H40" s="364"/>
      <c r="I40" s="367"/>
      <c r="J40" s="370"/>
      <c r="K40" s="373"/>
      <c r="L40" s="356"/>
      <c r="M40" s="354"/>
      <c r="N40" s="267">
        <f>IF(N39=" "," ", IF(N39&lt;SUM(M$9:M$48),N39+1, " "))</f>
        <v>10</v>
      </c>
      <c r="O40" s="28">
        <f t="shared" ref="O40:O48" si="23">IF(N40&lt;&gt;" ",L$39/COUNT(N$39:N$48), " ")</f>
        <v>0.78000000000000114</v>
      </c>
      <c r="P40" s="28">
        <f>IF(N40&lt;&gt;" ",MAX($P$9:P39)+O40/2," ")</f>
        <v>5.0300000000000011</v>
      </c>
      <c r="Q40" s="28" cm="1">
        <f t="array" ref="Q40">IF(Скважина!$L$11=Служебный!$K$2,IF(O40&lt;&gt;" ",IF('Несущая способность по грунту 1'!P40&gt;1,Interpol(9,14,Служебный!$H$33:$H$46,Служебный!$I$32:$Q$32,Служебный!$I$33:$Q$46,'Несущая способность по грунту 1'!P40,IF($I$39&lt;=0.2,0.2,$I$39)),0)," "),0)</f>
        <v>56.06</v>
      </c>
      <c r="R40" s="68">
        <f t="shared" ref="R40:R48" si="24">IF(N40&lt;&gt;" ",O40*Q40," ")</f>
        <v>43.726800000000068</v>
      </c>
      <c r="S40" s="188"/>
      <c r="T40" s="28"/>
      <c r="U40" s="72">
        <f t="shared" si="2"/>
        <v>0</v>
      </c>
      <c r="V40" s="188"/>
      <c r="X40" s="163" t="s">
        <v>39</v>
      </c>
      <c r="Y40" s="47">
        <v>0.2</v>
      </c>
      <c r="Z40" s="142">
        <f>IF(I39&lt;=0.2,0.2,I39)</f>
        <v>0.2</v>
      </c>
      <c r="AA40" s="151">
        <v>0.3</v>
      </c>
      <c r="AC40" s="262" t="s">
        <v>39</v>
      </c>
      <c r="AD40" s="165" t="s">
        <v>214</v>
      </c>
      <c r="AN40" s="353"/>
      <c r="AO40" s="353"/>
      <c r="AP40" s="397"/>
      <c r="AQ40" s="353"/>
      <c r="AR40" s="353"/>
      <c r="AS40" s="397"/>
      <c r="AT40" s="353"/>
      <c r="AU40" s="353"/>
      <c r="AV40" s="397"/>
      <c r="AW40" s="353"/>
      <c r="AX40" s="353"/>
      <c r="AY40" s="397"/>
    </row>
    <row r="41" spans="1:51" ht="15.75" thickBot="1">
      <c r="A41" s="149"/>
      <c r="B41" s="244" t="s">
        <v>145</v>
      </c>
      <c r="C41" s="247">
        <v>0</v>
      </c>
      <c r="D41" s="244">
        <f>IF($B$27&gt;0,$B$27,0)</f>
        <v>0.09</v>
      </c>
      <c r="E41" s="151">
        <v>0.2</v>
      </c>
      <c r="F41" s="361"/>
      <c r="G41" s="361"/>
      <c r="H41" s="364"/>
      <c r="I41" s="367"/>
      <c r="J41" s="370"/>
      <c r="K41" s="373"/>
      <c r="L41" s="356"/>
      <c r="M41" s="354"/>
      <c r="N41" s="267">
        <f t="shared" ref="N41:N48" si="25">IF(N40=" "," ", IF(N40&lt;SUM(M$9:M$48),N40+1, " "))</f>
        <v>11</v>
      </c>
      <c r="O41" s="28">
        <f t="shared" si="23"/>
        <v>0.78000000000000114</v>
      </c>
      <c r="P41" s="28">
        <f>IF(N41&lt;&gt;" ",MAX($P$9:P40)+O41/2," ")</f>
        <v>5.4200000000000017</v>
      </c>
      <c r="Q41" s="28" cm="1">
        <f t="array" ref="Q41">IF(Скважина!$L$11=Служебный!$K$2,IF(O41&lt;&gt;" ",IF('Несущая способность по грунту 1'!P41&gt;1,Interpol(9,14,Служебный!$H$33:$H$46,Служебный!$I$32:$Q$32,Служебный!$I$33:$Q$46,'Несущая способность по грунту 1'!P41,IF($I$39&lt;=0.2,0.2,$I$39)),0)," "),0)</f>
        <v>56.84</v>
      </c>
      <c r="R41" s="68">
        <f t="shared" si="24"/>
        <v>44.335200000000064</v>
      </c>
      <c r="S41" s="188"/>
      <c r="T41" s="28"/>
      <c r="U41" s="72">
        <f t="shared" si="2"/>
        <v>0</v>
      </c>
      <c r="V41" s="188"/>
      <c r="X41" s="164">
        <v>6</v>
      </c>
      <c r="Y41" s="109">
        <f>IF(Y40=0.2,VLOOKUP(X41,Служебный!$H$33:$Q$46,2,FALSE),IF(Y40=0.3,VLOOKUP(X41,Служебный!$H$33:$Q$46,3,FALSE),IF(Y40=0.4,VLOOKUP(X41,Служебный!$H$33:$Q$46,4,FALSE),IF(Y40=0.5,VLOOKUP(X41,Служебный!$H$33:$Q$46,5,FALSE),IF(Y40=0.6,VLOOKUP(X41,Служебный!$H$33:$Q$46,6,FALSE),IF(Y40=0.7,VLOOKUP(X41,Служебный!$H$33:$Q$46,7,FALSE),IF(Y40=0.8,VLOOKUP(X41,Служебный!$H$33:$Q$46,8,FALSE),IF(Y40=0.9,VLOOKUP(X41,Служебный!$H$33:$Q$46,9,FALSE),IF(Y40=1,VLOOKUP(X41,Служебный!$H$33:$Q$46,10,FALSE),0)))))))))</f>
        <v>58</v>
      </c>
      <c r="Z41" s="79">
        <f>(AA41-Y41)/(AA40-Y40)*(Z40-Y40)+Y41</f>
        <v>58</v>
      </c>
      <c r="AA41" s="165">
        <f>IF(AA40=0.2,VLOOKUP(X41,Служебный!$H$33:$Q$46,2,FALSE),IF(AA40=0.3,VLOOKUP(X41,Служебный!$H$33:$Q$46,3,FALSE),IF(AA40=0.4,VLOOKUP(X41,Служебный!$H$33:$Q$46,4,FALSE),IF(AA40=0.5,VLOOKUP(X41,Служебный!$H$33:$Q$46,5,FALSE),IF(AA40=0.6,VLOOKUP(X41,Служебный!$H$33:$Q$46,6,FALSE),IF(AA40=0.7,VLOOKUP(X41,Служебный!$H$33:$Q$46,7,FALSE),IF(AA40=0.8,VLOOKUP(X41,Служебный!$H$33:$Q$46,8,FALSE),IF(AA40=0.9,VLOOKUP(X41,Служебный!$H$33:$Q$46,9,FALSE),IF(AA40=1,VLOOKUP(X41,Служебный!$H$33:$Q$46,10,FALSE),0)))))))))</f>
        <v>42</v>
      </c>
      <c r="AC41" s="164">
        <v>10.4</v>
      </c>
      <c r="AD41" s="151">
        <v>98</v>
      </c>
      <c r="AN41" s="353"/>
      <c r="AO41" s="353"/>
      <c r="AP41" s="397"/>
      <c r="AQ41" s="353"/>
      <c r="AR41" s="353"/>
      <c r="AS41" s="397"/>
      <c r="AT41" s="353"/>
      <c r="AU41" s="353"/>
      <c r="AV41" s="397"/>
      <c r="AW41" s="353"/>
      <c r="AX41" s="353"/>
      <c r="AY41" s="397"/>
    </row>
    <row r="42" spans="1:51" ht="15.75" thickBot="1">
      <c r="A42" s="152" t="s">
        <v>280</v>
      </c>
      <c r="B42" s="247">
        <v>10</v>
      </c>
      <c r="C42" s="247">
        <v>4000</v>
      </c>
      <c r="D42" s="244">
        <f>$C$42+($E$42-$C$42)/($E$41-$C$41)*($D$41-$C$41)</f>
        <v>5485</v>
      </c>
      <c r="E42" s="151">
        <v>7300</v>
      </c>
      <c r="F42" s="361"/>
      <c r="G42" s="361"/>
      <c r="H42" s="364"/>
      <c r="I42" s="367"/>
      <c r="J42" s="370"/>
      <c r="K42" s="373"/>
      <c r="L42" s="356"/>
      <c r="M42" s="354"/>
      <c r="N42" s="267">
        <f t="shared" si="25"/>
        <v>12</v>
      </c>
      <c r="O42" s="28">
        <f t="shared" si="23"/>
        <v>0.78000000000000114</v>
      </c>
      <c r="P42" s="28">
        <f>IF(N42&lt;&gt;" ",MAX($P$9:P41)+O42/2," ")</f>
        <v>5.8100000000000023</v>
      </c>
      <c r="Q42" s="28" cm="1">
        <f t="array" ref="Q42">IF(Скважина!$L$11=Служебный!$K$2,IF(O42&lt;&gt;" ",IF('Несущая способность по грунту 1'!P42&gt;1,Interpol(9,14,Служебный!$H$33:$H$46,Служебный!$I$32:$Q$32,Служебный!$I$33:$Q$46,'Несущая способность по грунту 1'!P42,IF($I$39&lt;=0.2,0.2,$I$39)),0)," "),0)</f>
        <v>57.620000000000005</v>
      </c>
      <c r="R42" s="68">
        <f t="shared" si="24"/>
        <v>44.943600000000067</v>
      </c>
      <c r="S42" s="188"/>
      <c r="T42" s="28"/>
      <c r="U42" s="72">
        <f t="shared" si="2"/>
        <v>0</v>
      </c>
      <c r="V42" s="188"/>
      <c r="X42" s="164">
        <v>7.1875</v>
      </c>
      <c r="Y42" s="78"/>
      <c r="Z42" s="77">
        <f>(Z43-Z41)/(X43-X41)*(X42-X41)+Z41</f>
        <v>60.375</v>
      </c>
      <c r="AA42" s="166"/>
      <c r="AC42" s="164">
        <v>10.387499999999999</v>
      </c>
      <c r="AD42" s="285">
        <f>(AD43-AD41)/(AC43-AC41)*(AC42-AC41)+AD41</f>
        <v>95.624999999999787</v>
      </c>
      <c r="AN42" s="353"/>
      <c r="AO42" s="353"/>
      <c r="AP42" s="397"/>
      <c r="AQ42" s="353"/>
      <c r="AR42" s="353"/>
      <c r="AS42" s="397"/>
      <c r="AT42" s="353"/>
      <c r="AU42" s="353"/>
      <c r="AV42" s="397"/>
      <c r="AW42" s="353"/>
      <c r="AX42" s="353"/>
      <c r="AY42" s="397"/>
    </row>
    <row r="43" spans="1:51" ht="15.75" thickBot="1">
      <c r="A43" s="152"/>
      <c r="B43" s="244">
        <f>$B$21</f>
        <v>14.400000000000006</v>
      </c>
      <c r="C43" s="244"/>
      <c r="D43" s="53">
        <f>$D$42+($D$44-$D$42)/($B$44-$B$42)*($B$43-$B$42)</f>
        <v>5757.8</v>
      </c>
      <c r="E43" s="153"/>
      <c r="F43" s="361"/>
      <c r="G43" s="361"/>
      <c r="H43" s="364"/>
      <c r="I43" s="367"/>
      <c r="J43" s="370"/>
      <c r="K43" s="373"/>
      <c r="L43" s="356"/>
      <c r="M43" s="354"/>
      <c r="N43" s="267">
        <f t="shared" si="25"/>
        <v>13</v>
      </c>
      <c r="O43" s="28">
        <f t="shared" si="23"/>
        <v>0.78000000000000114</v>
      </c>
      <c r="P43" s="28">
        <f>IF(N43&lt;&gt;" ",MAX($P$9:P42)+O43/2," ")</f>
        <v>6.2000000000000028</v>
      </c>
      <c r="Q43" s="28" cm="1">
        <f t="array" ref="Q43">IF(Скважина!$L$11=Служебный!$K$2,IF(O43&lt;&gt;" ",IF('Несущая способность по грунту 1'!P43&gt;1,Interpol(9,14,Служебный!$H$33:$H$46,Служебный!$I$32:$Q$32,Служебный!$I$33:$Q$46,'Несущая способность по грунту 1'!P43,IF($I$39&lt;=0.2,0.2,$I$39)),0)," "),0)</f>
        <v>58.400000000000006</v>
      </c>
      <c r="R43" s="68">
        <f t="shared" si="24"/>
        <v>45.552000000000071</v>
      </c>
      <c r="S43" s="188"/>
      <c r="T43" s="28"/>
      <c r="U43" s="72">
        <f t="shared" si="2"/>
        <v>0</v>
      </c>
      <c r="V43" s="188"/>
      <c r="X43" s="167">
        <v>8</v>
      </c>
      <c r="Y43" s="168">
        <f>IF(Y40=0.2,VLOOKUP(X43,Служебный!$H$33:$Q$46,2,FALSE),IF(Y40=0.3,VLOOKUP(X43,Служебный!$H$33:$Q$46,3,FALSE),IF(Y40=0.4,VLOOKUP(X43,Служебный!$H$33:$Q$46,4,FALSE),IF(Y40=0.5,VLOOKUP(X43,Служебный!$H$33:$Q$46,5,FALSE),IF(Y40=0.6,VLOOKUP(X43,Служебный!$H$33:$Q$46,6,FALSE),IF(Y40=0.7,VLOOKUP(X43,Служебный!$H$33:$Q$46,7,FALSE),IF(Y40=0.8,VLOOKUP(X43,Служебный!$H$33:$Q$46,8,FALSE),IF(Y40=0.9,VLOOKUP(X43,Служебный!$H$33:$Q$46,9,FALSE),IF(Y40=1,VLOOKUP(X43,Служебный!$H$33:$Q$46,10,FALSE),0)))))))))</f>
        <v>62</v>
      </c>
      <c r="Z43" s="169">
        <f>(AA43-Y43)/(AA40-Y40)*(Z40-Y40)+Y43</f>
        <v>62</v>
      </c>
      <c r="AA43" s="170">
        <f>IF(AA40=0.2,VLOOKUP(X43,Служебный!$H$33:$Q$46,2,FALSE),IF(AA40=0.3,VLOOKUP(X43,Служебный!$H$33:$Q$46,3,FALSE),IF(AA40=0.4,VLOOKUP(X43,Служебный!$H$33:$Q$46,4,FALSE),IF(AA40=0.5,VLOOKUP(X43,Служебный!$H$33:$Q$46,5,FALSE),IF(AA40=0.6,VLOOKUP(X43,Служебный!$H$33:$Q$46,6,FALSE),IF(AA40=0.7,VLOOKUP(X43,Служебный!$H$33:$Q$46,7,FALSE),IF(AA40=0.8,VLOOKUP(X43,Служебный!$H$33:$Q$46,8,FALSE),IF(AA40=0.9,VLOOKUP(X43,Служебный!$H$33:$Q$46,9,FALSE),IF(AA40=1,VLOOKUP(X43,Служебный!$H$33:$Q$46,10,FALSE),0)))))))))</f>
        <v>44</v>
      </c>
      <c r="AC43" s="167">
        <v>10.6</v>
      </c>
      <c r="AD43" s="155">
        <v>136</v>
      </c>
      <c r="AN43" s="353"/>
      <c r="AO43" s="353"/>
      <c r="AP43" s="397"/>
      <c r="AQ43" s="353"/>
      <c r="AR43" s="353"/>
      <c r="AS43" s="397"/>
      <c r="AT43" s="353"/>
      <c r="AU43" s="353"/>
      <c r="AV43" s="397"/>
      <c r="AW43" s="353"/>
      <c r="AX43" s="353"/>
      <c r="AY43" s="397"/>
    </row>
    <row r="44" spans="1:51" ht="15.75" thickBot="1">
      <c r="A44" s="154" t="s">
        <v>281</v>
      </c>
      <c r="B44" s="248">
        <v>15</v>
      </c>
      <c r="C44" s="248">
        <v>4400</v>
      </c>
      <c r="D44" s="249">
        <f>$C$44+($E$44-$C$44)/($E$41-$C$41)*($D$41-$C$41)</f>
        <v>5795</v>
      </c>
      <c r="E44" s="155">
        <v>7500</v>
      </c>
      <c r="F44" s="361"/>
      <c r="G44" s="361"/>
      <c r="H44" s="364"/>
      <c r="I44" s="367"/>
      <c r="J44" s="370"/>
      <c r="K44" s="373"/>
      <c r="L44" s="356"/>
      <c r="M44" s="354"/>
      <c r="N44" s="267" t="str">
        <f t="shared" si="25"/>
        <v xml:space="preserve"> </v>
      </c>
      <c r="O44" s="28" t="str">
        <f t="shared" si="23"/>
        <v xml:space="preserve"> </v>
      </c>
      <c r="P44" s="28" t="str">
        <f>IF(N44&lt;&gt;" ",MAX($P$9:P43)+O44/2," ")</f>
        <v xml:space="preserve"> </v>
      </c>
      <c r="Q44" s="28" t="str" cm="1">
        <f t="array" ref="Q44">IF(Скважина!$L$11=Служебный!$K$2,IF(O44&lt;&gt;" ",IF('Несущая способность по грунту 1'!P44&gt;1,Interpol(9,14,Служебный!$H$33:$H$46,Служебный!$I$32:$Q$32,Служебный!$I$33:$Q$46,'Несущая способность по грунту 1'!P44,IF($I$39&lt;=0.2,0.2,$I$39)),0)," "),0)</f>
        <v xml:space="preserve"> </v>
      </c>
      <c r="R44" s="68" t="str">
        <f t="shared" si="24"/>
        <v xml:space="preserve"> </v>
      </c>
      <c r="S44" s="188"/>
      <c r="T44" s="28"/>
      <c r="U44" s="72" t="str">
        <f t="shared" si="2"/>
        <v xml:space="preserve"> </v>
      </c>
      <c r="V44" s="188"/>
      <c r="X44" t="str">
        <f>H39</f>
        <v>Суглинки полутвердые   с примесью органики, слабозаторфованные, с прослоями суглинка и глины тугопластичной</v>
      </c>
      <c r="AN44" s="353"/>
      <c r="AO44" s="353"/>
      <c r="AP44" s="397"/>
      <c r="AQ44" s="353"/>
      <c r="AR44" s="353"/>
      <c r="AS44" s="397"/>
      <c r="AT44" s="353"/>
      <c r="AU44" s="353"/>
      <c r="AV44" s="397"/>
      <c r="AW44" s="353"/>
      <c r="AX44" s="353"/>
      <c r="AY44" s="397"/>
    </row>
    <row r="45" spans="1:51" ht="15.75" thickBot="1">
      <c r="F45" s="361"/>
      <c r="G45" s="361"/>
      <c r="H45" s="364"/>
      <c r="I45" s="367"/>
      <c r="J45" s="370"/>
      <c r="K45" s="373"/>
      <c r="L45" s="356"/>
      <c r="M45" s="354"/>
      <c r="N45" s="267" t="str">
        <f t="shared" si="25"/>
        <v xml:space="preserve"> </v>
      </c>
      <c r="O45" s="28" t="str">
        <f t="shared" si="23"/>
        <v xml:space="preserve"> </v>
      </c>
      <c r="P45" s="28" t="str">
        <f>IF(N45&lt;&gt;" ",MAX($P$9:P44)+O45/2," ")</f>
        <v xml:space="preserve"> </v>
      </c>
      <c r="Q45" s="28" t="str" cm="1">
        <f t="array" ref="Q45">IF(Скважина!$L$11=Служебный!$K$2,IF(O45&lt;&gt;" ",IF('Несущая способность по грунту 1'!P45&gt;1,Interpol(9,14,Служебный!$H$33:$H$46,Служебный!$I$32:$Q$32,Служебный!$I$33:$Q$46,'Несущая способность по грунту 1'!P45,IF($I$39&lt;=0.2,0.2,$I$39)),0)," "),0)</f>
        <v xml:space="preserve"> </v>
      </c>
      <c r="R45" s="68" t="str">
        <f t="shared" si="24"/>
        <v xml:space="preserve"> </v>
      </c>
      <c r="S45" s="188"/>
      <c r="T45" s="28"/>
      <c r="U45" s="72" t="str">
        <f t="shared" si="2"/>
        <v xml:space="preserve"> </v>
      </c>
      <c r="V45" s="188"/>
      <c r="AN45" s="353"/>
      <c r="AO45" s="353"/>
      <c r="AP45" s="397"/>
      <c r="AQ45" s="353"/>
      <c r="AR45" s="353"/>
      <c r="AS45" s="397"/>
      <c r="AT45" s="353"/>
      <c r="AU45" s="353"/>
      <c r="AV45" s="397"/>
      <c r="AW45" s="353"/>
      <c r="AX45" s="353"/>
      <c r="AY45" s="397"/>
    </row>
    <row r="46" spans="1:51" ht="15.75">
      <c r="A46" s="401" t="s">
        <v>337</v>
      </c>
      <c r="B46" s="402"/>
      <c r="C46" s="402"/>
      <c r="D46" s="402"/>
      <c r="E46" s="403"/>
      <c r="F46" s="361"/>
      <c r="G46" s="361"/>
      <c r="H46" s="364"/>
      <c r="I46" s="367"/>
      <c r="J46" s="370"/>
      <c r="K46" s="373"/>
      <c r="L46" s="356"/>
      <c r="M46" s="354"/>
      <c r="N46" s="267" t="str">
        <f t="shared" si="25"/>
        <v xml:space="preserve"> </v>
      </c>
      <c r="O46" s="28" t="str">
        <f t="shared" si="23"/>
        <v xml:space="preserve"> </v>
      </c>
      <c r="P46" s="28" t="str">
        <f>IF(N46&lt;&gt;" ",MAX($P$9:P45)+O46/2," ")</f>
        <v xml:space="preserve"> </v>
      </c>
      <c r="Q46" s="28" t="str" cm="1">
        <f t="array" ref="Q46">IF(Скважина!$L$11=Служебный!$K$2,IF(O46&lt;&gt;" ",IF('Несущая способность по грунту 1'!P46&gt;1,Interpol(9,14,Служебный!$H$33:$H$46,Служебный!$I$32:$Q$32,Служебный!$I$33:$Q$46,'Несущая способность по грунту 1'!P46,IF($I$39&lt;=0.2,0.2,$I$39)),0)," "),0)</f>
        <v xml:space="preserve"> </v>
      </c>
      <c r="R46" s="68" t="str">
        <f t="shared" si="24"/>
        <v xml:space="preserve"> </v>
      </c>
      <c r="S46" s="188"/>
      <c r="T46" s="28"/>
      <c r="U46" s="72" t="str">
        <f t="shared" si="2"/>
        <v xml:space="preserve"> </v>
      </c>
      <c r="V46" s="188"/>
      <c r="AN46" s="353"/>
      <c r="AO46" s="353"/>
      <c r="AP46" s="397"/>
      <c r="AQ46" s="353"/>
      <c r="AR46" s="353"/>
      <c r="AS46" s="397"/>
      <c r="AT46" s="353"/>
      <c r="AU46" s="353"/>
      <c r="AV46" s="397"/>
      <c r="AW46" s="353"/>
      <c r="AX46" s="353"/>
      <c r="AY46" s="397"/>
    </row>
    <row r="47" spans="1:51">
      <c r="A47" s="149"/>
      <c r="B47" s="150"/>
      <c r="C47" s="60"/>
      <c r="D47" s="244" t="str">
        <f>$B$26</f>
        <v>полутвердые</v>
      </c>
      <c r="E47" s="156"/>
      <c r="F47" s="361"/>
      <c r="G47" s="361"/>
      <c r="H47" s="364"/>
      <c r="I47" s="367"/>
      <c r="J47" s="370"/>
      <c r="K47" s="373"/>
      <c r="L47" s="356"/>
      <c r="M47" s="354"/>
      <c r="N47" s="267" t="str">
        <f t="shared" si="25"/>
        <v xml:space="preserve"> </v>
      </c>
      <c r="O47" s="28" t="str">
        <f t="shared" si="23"/>
        <v xml:space="preserve"> </v>
      </c>
      <c r="P47" s="28" t="str">
        <f>IF(N47&lt;&gt;" ",MAX($P$9:P46)+O47/2," ")</f>
        <v xml:space="preserve"> </v>
      </c>
      <c r="Q47" s="28" t="str" cm="1">
        <f t="array" ref="Q47">IF(Скважина!$L$11=Служебный!$K$2,IF(O47&lt;&gt;" ",IF('Несущая способность по грунту 1'!P47&gt;1,Interpol(9,14,Служебный!$H$33:$H$46,Служебный!$I$32:$Q$32,Служебный!$I$33:$Q$46,'Несущая способность по грунту 1'!P47,IF($I$39&lt;=0.2,0.2,$I$39)),0)," "),0)</f>
        <v xml:space="preserve"> </v>
      </c>
      <c r="R47" s="68" t="str">
        <f t="shared" si="24"/>
        <v xml:space="preserve"> </v>
      </c>
      <c r="S47" s="188"/>
      <c r="T47" s="28"/>
      <c r="U47" s="72" t="str">
        <f t="shared" si="2"/>
        <v xml:space="preserve"> </v>
      </c>
      <c r="V47" s="188"/>
      <c r="AN47" s="353"/>
      <c r="AO47" s="353"/>
      <c r="AP47" s="397"/>
      <c r="AQ47" s="353"/>
      <c r="AR47" s="353"/>
      <c r="AS47" s="397"/>
      <c r="AT47" s="353"/>
      <c r="AU47" s="353"/>
      <c r="AV47" s="397"/>
      <c r="AW47" s="353"/>
      <c r="AX47" s="353"/>
      <c r="AY47" s="397"/>
    </row>
    <row r="48" spans="1:51" ht="15.75" thickBot="1">
      <c r="A48" s="149"/>
      <c r="B48" s="244" t="s">
        <v>145</v>
      </c>
      <c r="C48" s="245"/>
      <c r="D48" s="244"/>
      <c r="E48" s="157"/>
      <c r="F48" s="362"/>
      <c r="G48" s="362"/>
      <c r="H48" s="365"/>
      <c r="I48" s="368"/>
      <c r="J48" s="371"/>
      <c r="K48" s="374"/>
      <c r="L48" s="357"/>
      <c r="M48" s="359"/>
      <c r="N48" s="274" t="str">
        <f t="shared" si="25"/>
        <v xml:space="preserve"> </v>
      </c>
      <c r="O48" s="70" t="str">
        <f t="shared" si="23"/>
        <v xml:space="preserve"> </v>
      </c>
      <c r="P48" s="70" t="str">
        <f>IF(N48&lt;&gt;" ",MAX($P$9:P47)+O48/2," ")</f>
        <v xml:space="preserve"> </v>
      </c>
      <c r="Q48" s="70" t="str" cm="1">
        <f t="array" ref="Q48">IF(Скважина!$L$11=Служебный!$K$2,IF(O48&lt;&gt;" ",IF('Несущая способность по грунту 1'!P48&gt;1,Interpol(9,14,Служебный!$H$33:$H$46,Служебный!$I$32:$Q$32,Служебный!$I$33:$Q$46,'Несущая способность по грунту 1'!P48,IF($I$39&lt;=0.2,0.2,$I$39)),0)," "),0)</f>
        <v xml:space="preserve"> </v>
      </c>
      <c r="R48" s="71" t="str">
        <f t="shared" si="24"/>
        <v xml:space="preserve"> </v>
      </c>
      <c r="S48" s="188"/>
      <c r="T48" s="70"/>
      <c r="U48" s="72" t="str">
        <f t="shared" si="2"/>
        <v xml:space="preserve"> </v>
      </c>
      <c r="V48" s="188"/>
      <c r="AN48" s="353"/>
      <c r="AO48" s="353"/>
      <c r="AP48" s="397"/>
      <c r="AQ48" s="353"/>
      <c r="AR48" s="353"/>
      <c r="AS48" s="397"/>
      <c r="AT48" s="353"/>
      <c r="AU48" s="353"/>
      <c r="AV48" s="397"/>
      <c r="AW48" s="353"/>
      <c r="AX48" s="353"/>
      <c r="AY48" s="397"/>
    </row>
    <row r="49" spans="1:51" ht="15" customHeight="1">
      <c r="A49" s="152" t="s">
        <v>282</v>
      </c>
      <c r="B49" s="247">
        <v>10.6</v>
      </c>
      <c r="C49" s="245"/>
      <c r="D49" s="247">
        <v>10001</v>
      </c>
      <c r="E49" s="157"/>
      <c r="F49" s="378">
        <f t="shared" ref="F49" si="26">F39+1</f>
        <v>5</v>
      </c>
      <c r="G49" s="378">
        <f>IF(F49&lt;21,IF(VLOOKUP(F49,Скважина!$E$8:$K$27,4,FALSE)&gt;Скважина!$C$8,VLOOKUP('Несущая способность по грунту 1'!F49,Скважина!$E$8:$K$27,2,FALSE),0),0)</f>
        <v>7</v>
      </c>
      <c r="H49" s="388" t="str">
        <f>IF(G49&lt;&gt;0,VLOOKUP('Несущая способность по грунту 1'!G49,Геология!$D$7:$BO$993,7,FALSE)," ")</f>
        <v>Глины твердые   с прослоями полутвердых, суглинков и супесей</v>
      </c>
      <c r="I49" s="367">
        <f>IF(G49&lt;&gt;0,VLOOKUP('Несущая способность по грунту 1'!G49, Геология!$D$8:$BM$993, 22,FALSE)," ")</f>
        <v>-0.08</v>
      </c>
      <c r="J49" s="390">
        <f>VLOOKUP(F49,Скважина!$E$8:$K$27,4,FALSE)</f>
        <v>129.19999999999999</v>
      </c>
      <c r="K49" s="373">
        <f>IF(VLOOKUP($F49,Скважина!$E$8:$K$27,5,FALSE)&gt;Скважина!$C$8,VLOOKUP($F49,Скважина!$E$8:$K$27,5,FALSE),Скважина!$C$8)</f>
        <v>128</v>
      </c>
      <c r="L49" s="356">
        <f>IF(IF(G49&lt;&gt;0,J49-K49,0)&lt;0,0,IF(G49&lt;&gt;0,J49-K49,0))</f>
        <v>1.1999999999999886</v>
      </c>
      <c r="M49" s="354">
        <v>2</v>
      </c>
      <c r="N49" s="264">
        <f>IF(M49&lt;&gt;0,MAX(N$9:N$48)+1," ")</f>
        <v>14</v>
      </c>
      <c r="O49" s="34">
        <f>IF(N49&lt;&gt;" ",L$49/COUNT(N$49:N$58), " ")</f>
        <v>0.59999999999999432</v>
      </c>
      <c r="P49" s="34">
        <f>IF(N49&lt;&gt;" ",MAX($P$9:P48)+O49/2," ")</f>
        <v>6.5</v>
      </c>
      <c r="Q49" s="34" cm="1">
        <f t="array" ref="Q49">IF(Скважина!$L$12=Служебный!$K$2,IF(O49&lt;&gt;" ",IF('Несущая способность по грунту 1'!P49&gt;1,Interpol(9,14,Служебный!$H$33:$H$46,Служебный!$I$32:$Q$32,Служебный!$I$33:$Q$46,'Несущая способность по грунту 1'!P49,IF($I$49&lt;=0.2,0.2,$I$49)),0)," "),0)</f>
        <v>59</v>
      </c>
      <c r="R49" s="72">
        <f>IF(N49&lt;&gt;" ",O49*Q49," ")</f>
        <v>35.399999999999665</v>
      </c>
      <c r="S49" s="188"/>
      <c r="T49" s="66"/>
      <c r="U49" s="72">
        <f t="shared" si="2"/>
        <v>0</v>
      </c>
      <c r="V49" s="188"/>
      <c r="X49" s="159" t="s">
        <v>338</v>
      </c>
      <c r="Y49" s="160"/>
      <c r="Z49" s="161" t="s">
        <v>155</v>
      </c>
      <c r="AA49" s="162"/>
      <c r="AC49" s="283" t="s">
        <v>213</v>
      </c>
      <c r="AD49" s="284"/>
      <c r="AN49" s="353">
        <f>IF(OR(G49=0,F49&gt;20)," ",VLOOKUP('Несущая способность по грунту 1'!G49,Геология!$D$7:$BO$993,23,FALSE))</f>
        <v>19.121699999999997</v>
      </c>
      <c r="AO49" s="353">
        <f t="shared" ref="AO49" si="27">IF(AN49&lt;&gt;" ",AN49*L49," ")</f>
        <v>22.94603999999978</v>
      </c>
      <c r="AP49" s="397"/>
      <c r="AQ49" s="353">
        <f>IF(G49&lt;&gt;0,VLOOKUP('Несущая способность по грунту 1'!G49,Геология!$D$7:$BO$993,24,FALSE)," ")</f>
        <v>0.25</v>
      </c>
      <c r="AR49" s="353">
        <f t="shared" ref="AR49" si="28">IF(AQ49&lt;&gt;" ",AQ49*L49," ")</f>
        <v>0.29999999999999716</v>
      </c>
      <c r="AS49" s="397"/>
      <c r="AT49" s="353">
        <f>IF(G49&lt;&gt;0,VLOOKUP('Несущая способность по грунту 1'!G49,Геология!$D$7:$BO$993,21,FALSE)," ")</f>
        <v>23</v>
      </c>
      <c r="AU49" s="353">
        <f>IF(G49&lt;&gt;0,AT49*L49," ")</f>
        <v>27.599999999999739</v>
      </c>
      <c r="AV49" s="397"/>
      <c r="AW49" s="353">
        <f>IF(G49&lt;&gt;0,VLOOKUP('Несущая способность по грунту 1'!G49,Геология!$D$7:$BO$993,27,FALSE)," ")</f>
        <v>9.1999999999999993</v>
      </c>
      <c r="AX49" s="353">
        <f t="shared" ref="AX49" si="29">IF(G49&lt;&gt;0,AW49*L49," ")</f>
        <v>11.039999999999894</v>
      </c>
      <c r="AY49" s="397"/>
    </row>
    <row r="50" spans="1:51">
      <c r="A50" s="152"/>
      <c r="B50" s="244">
        <f>$B$21</f>
        <v>14.400000000000006</v>
      </c>
      <c r="C50" s="245"/>
      <c r="D50" s="53">
        <f>$D$49+($D$51-$D$49)/($B$51-$B$49)*($B$50-$B$49)</f>
        <v>-67898.999999999709</v>
      </c>
      <c r="E50" s="157"/>
      <c r="F50" s="361"/>
      <c r="G50" s="361"/>
      <c r="H50" s="364"/>
      <c r="I50" s="367"/>
      <c r="J50" s="370"/>
      <c r="K50" s="373"/>
      <c r="L50" s="356"/>
      <c r="M50" s="354"/>
      <c r="N50" s="257">
        <f>IF(N49=" "," ", IF(N49&lt;SUM(M$9:M$58),N49+1, " "))</f>
        <v>15</v>
      </c>
      <c r="O50" s="28">
        <f t="shared" ref="O50:O58" si="30">IF(N50&lt;&gt;" ",L$49/COUNT(N$49:N$58), " ")</f>
        <v>0.59999999999999432</v>
      </c>
      <c r="P50" s="28">
        <f>IF(N50&lt;&gt;" ",MAX($P$9:P49)+O50/2," ")</f>
        <v>6.7999999999999972</v>
      </c>
      <c r="Q50" s="28" cm="1">
        <f t="array" ref="Q50">IF(Скважина!$L$12=Служебный!$K$2,IF(O50&lt;&gt;" ",IF('Несущая способность по грунту 1'!P50&gt;1,Interpol(9,14,Служебный!$H$33:$H$46,Служебный!$I$32:$Q$32,Служебный!$I$33:$Q$46,'Несущая способность по грунту 1'!P50,IF($I$49&lt;=0.2,0.2,$I$49)),0)," "),0)</f>
        <v>59.599999999999994</v>
      </c>
      <c r="R50" s="68">
        <f t="shared" ref="R50:R58" si="31">IF(N50&lt;&gt;" ",O50*Q50," ")</f>
        <v>35.759999999999657</v>
      </c>
      <c r="S50" s="188"/>
      <c r="T50" s="28"/>
      <c r="U50" s="72">
        <f t="shared" si="2"/>
        <v>0</v>
      </c>
      <c r="V50" s="188"/>
      <c r="X50" s="163" t="s">
        <v>39</v>
      </c>
      <c r="Y50" s="47">
        <v>0.2</v>
      </c>
      <c r="Z50" s="142">
        <f>IF(I49&lt;=0.2,0.2,I49)</f>
        <v>0.2</v>
      </c>
      <c r="AA50" s="151">
        <v>0.3</v>
      </c>
      <c r="AC50" s="262" t="s">
        <v>39</v>
      </c>
      <c r="AD50" s="165" t="s">
        <v>214</v>
      </c>
      <c r="AN50" s="353"/>
      <c r="AO50" s="353"/>
      <c r="AP50" s="397"/>
      <c r="AQ50" s="353"/>
      <c r="AR50" s="353"/>
      <c r="AS50" s="397"/>
      <c r="AT50" s="353"/>
      <c r="AU50" s="353"/>
      <c r="AV50" s="397"/>
      <c r="AW50" s="353"/>
      <c r="AX50" s="353"/>
      <c r="AY50" s="397"/>
    </row>
    <row r="51" spans="1:51" ht="15.75" thickBot="1">
      <c r="A51" s="154" t="s">
        <v>283</v>
      </c>
      <c r="B51" s="248">
        <v>10.8</v>
      </c>
      <c r="C51" s="246"/>
      <c r="D51" s="248">
        <v>5901</v>
      </c>
      <c r="E51" s="158"/>
      <c r="F51" s="361"/>
      <c r="G51" s="361"/>
      <c r="H51" s="364"/>
      <c r="I51" s="367"/>
      <c r="J51" s="370"/>
      <c r="K51" s="373"/>
      <c r="L51" s="356"/>
      <c r="M51" s="354"/>
      <c r="N51" s="257" t="str">
        <f t="shared" ref="N51:N58" si="32">IF(N50=" "," ", IF(N50&lt;SUM(M$9:M$58),N50+1, " "))</f>
        <v xml:space="preserve"> </v>
      </c>
      <c r="O51" s="28" t="str">
        <f t="shared" si="30"/>
        <v xml:space="preserve"> </v>
      </c>
      <c r="P51" s="28" t="str">
        <f>IF(N51&lt;&gt;" ",MAX($P$9:P50)+O51/2," ")</f>
        <v xml:space="preserve"> </v>
      </c>
      <c r="Q51" s="28" t="str" cm="1">
        <f t="array" ref="Q51">IF(Скважина!$L$12=Служебный!$K$2,IF(O51&lt;&gt;" ",IF('Несущая способность по грунту 1'!P51&gt;1,Interpol(9,14,Служебный!$H$33:$H$46,Служебный!$I$32:$Q$32,Служебный!$I$33:$Q$46,'Несущая способность по грунту 1'!P51,IF($I$49&lt;=0.2,0.2,$I$49)),0)," "),0)</f>
        <v xml:space="preserve"> </v>
      </c>
      <c r="R51" s="68" t="str">
        <f t="shared" si="31"/>
        <v xml:space="preserve"> </v>
      </c>
      <c r="S51" s="188"/>
      <c r="T51" s="28"/>
      <c r="U51" s="72" t="str">
        <f t="shared" si="2"/>
        <v xml:space="preserve"> </v>
      </c>
      <c r="V51" s="188"/>
      <c r="X51" s="164">
        <v>10</v>
      </c>
      <c r="Y51" s="109">
        <f>IF(Y50=0.2,VLOOKUP(X51,Служебный!$H$33:$Q$46,2,FALSE),IF(Y50=0.3,VLOOKUP(X51,Служебный!$H$33:$Q$46,3,FALSE),IF(Y50=0.4,VLOOKUP(X51,Служебный!$H$33:$Q$46,4,FALSE),IF(Y50=0.5,VLOOKUP(X51,Служебный!$H$33:$Q$46,5,FALSE),IF(Y50=0.6,VLOOKUP(X51,Служебный!$H$33:$Q$46,6,FALSE),IF(Y50=0.7,VLOOKUP(X51,Служебный!$H$33:$Q$46,7,FALSE),IF(Y50=0.8,VLOOKUP(X51,Служебный!$H$33:$Q$46,8,FALSE),IF(Y50=0.9,VLOOKUP(X51,Служебный!$H$33:$Q$46,9,FALSE),IF(Y50=1,VLOOKUP(X51,Служебный!$H$33:$Q$46,10,FALSE),0)))))))))</f>
        <v>65</v>
      </c>
      <c r="Z51" s="79">
        <f>(AA51-Y51)/(AA50-Y50)*(Z50-Y50)+Y51</f>
        <v>65</v>
      </c>
      <c r="AA51" s="165">
        <f>IF(AA50=0.2,VLOOKUP(X51,Служебный!$H$33:$Q$46,2,FALSE),IF(AA50=0.3,VLOOKUP(X51,Служебный!$H$33:$Q$46,3,FALSE),IF(AA50=0.4,VLOOKUP(X51,Служебный!$H$33:$Q$46,4,FALSE),IF(AA50=0.5,VLOOKUP(X51,Служебный!$H$33:$Q$46,5,FALSE),IF(AA50=0.6,VLOOKUP(X51,Служебный!$H$33:$Q$46,6,FALSE),IF(AA50=0.7,VLOOKUP(X51,Служебный!$H$33:$Q$46,7,FALSE),IF(AA50=0.8,VLOOKUP(X51,Служебный!$H$33:$Q$46,8,FALSE),IF(AA50=0.9,VLOOKUP(X51,Служебный!$H$33:$Q$46,9,FALSE),IF(AA50=1,VLOOKUP(X51,Служебный!$H$33:$Q$46,10,FALSE),0)))))))))</f>
        <v>46</v>
      </c>
      <c r="AC51" s="164">
        <v>6</v>
      </c>
      <c r="AD51" s="151">
        <v>55</v>
      </c>
      <c r="AN51" s="353"/>
      <c r="AO51" s="353"/>
      <c r="AP51" s="397"/>
      <c r="AQ51" s="353"/>
      <c r="AR51" s="353"/>
      <c r="AS51" s="397"/>
      <c r="AT51" s="353"/>
      <c r="AU51" s="353"/>
      <c r="AV51" s="397"/>
      <c r="AW51" s="353"/>
      <c r="AX51" s="353"/>
      <c r="AY51" s="397"/>
    </row>
    <row r="52" spans="1:51" ht="15.75" thickBot="1">
      <c r="F52" s="361"/>
      <c r="G52" s="361"/>
      <c r="H52" s="364"/>
      <c r="I52" s="367"/>
      <c r="J52" s="370"/>
      <c r="K52" s="373"/>
      <c r="L52" s="356"/>
      <c r="M52" s="354"/>
      <c r="N52" s="257" t="str">
        <f t="shared" si="32"/>
        <v xml:space="preserve"> </v>
      </c>
      <c r="O52" s="28" t="str">
        <f t="shared" si="30"/>
        <v xml:space="preserve"> </v>
      </c>
      <c r="P52" s="28" t="str">
        <f>IF(N52&lt;&gt;" ",MAX($P$9:P51)+O52/2," ")</f>
        <v xml:space="preserve"> </v>
      </c>
      <c r="Q52" s="28" t="str" cm="1">
        <f t="array" ref="Q52">IF(Скважина!$L$12=Служебный!$K$2,IF(O52&lt;&gt;" ",IF('Несущая способность по грунту 1'!P52&gt;1,Interpol(9,14,Служебный!$H$33:$H$46,Служебный!$I$32:$Q$32,Служебный!$I$33:$Q$46,'Несущая способность по грунту 1'!P52,IF($I$49&lt;=0.2,0.2,$I$49)),0)," "),0)</f>
        <v xml:space="preserve"> </v>
      </c>
      <c r="R52" s="68" t="str">
        <f t="shared" si="31"/>
        <v xml:space="preserve"> </v>
      </c>
      <c r="S52" s="188"/>
      <c r="T52" s="28"/>
      <c r="U52" s="72" t="str">
        <f t="shared" si="2"/>
        <v xml:space="preserve"> </v>
      </c>
      <c r="V52" s="188"/>
      <c r="X52" s="164">
        <v>10.362500000000001</v>
      </c>
      <c r="Y52" s="78"/>
      <c r="Z52" s="77">
        <f>(Z53-Z51)/(X53-X51)*(X52-X51)+Z51</f>
        <v>65.507500000000007</v>
      </c>
      <c r="AA52" s="166"/>
      <c r="AC52" s="164">
        <v>7</v>
      </c>
      <c r="AD52" s="285">
        <f>(AD53-AD51)/(AC53-AC51)*(AC52-AC51)+AD51</f>
        <v>56.5</v>
      </c>
      <c r="AN52" s="353"/>
      <c r="AO52" s="353"/>
      <c r="AP52" s="397"/>
      <c r="AQ52" s="353"/>
      <c r="AR52" s="353"/>
      <c r="AS52" s="397"/>
      <c r="AT52" s="353"/>
      <c r="AU52" s="353"/>
      <c r="AV52" s="397"/>
      <c r="AW52" s="353"/>
      <c r="AX52" s="353"/>
      <c r="AY52" s="397"/>
    </row>
    <row r="53" spans="1:51" ht="15.75" thickBot="1">
      <c r="F53" s="361"/>
      <c r="G53" s="361"/>
      <c r="H53" s="364"/>
      <c r="I53" s="367"/>
      <c r="J53" s="370"/>
      <c r="K53" s="373"/>
      <c r="L53" s="356"/>
      <c r="M53" s="354"/>
      <c r="N53" s="257" t="str">
        <f t="shared" si="32"/>
        <v xml:space="preserve"> </v>
      </c>
      <c r="O53" s="28" t="str">
        <f t="shared" si="30"/>
        <v xml:space="preserve"> </v>
      </c>
      <c r="P53" s="28" t="str">
        <f>IF(N53&lt;&gt;" ",MAX($P$9:P52)+O53/2," ")</f>
        <v xml:space="preserve"> </v>
      </c>
      <c r="Q53" s="28" t="str" cm="1">
        <f t="array" ref="Q53">IF(Скважина!$L$12=Служебный!$K$2,IF(O53&lt;&gt;" ",IF('Несущая способность по грунту 1'!P53&gt;1,Interpol(9,14,Служебный!$H$33:$H$46,Служебный!$I$32:$Q$32,Служебный!$I$33:$Q$46,'Несущая способность по грунту 1'!P53,IF($I$49&lt;=0.2,0.2,$I$49)),0)," "),0)</f>
        <v xml:space="preserve"> </v>
      </c>
      <c r="R53" s="68" t="str">
        <f t="shared" si="31"/>
        <v xml:space="preserve"> </v>
      </c>
      <c r="S53" s="188"/>
      <c r="T53" s="28"/>
      <c r="U53" s="72" t="str">
        <f t="shared" si="2"/>
        <v xml:space="preserve"> </v>
      </c>
      <c r="V53" s="188"/>
      <c r="X53" s="167">
        <v>15</v>
      </c>
      <c r="Y53" s="168">
        <f>IF(Y50=0.2,VLOOKUP(X53,Служебный!$H$33:$Q$46,2,FALSE),IF(Y50=0.3,VLOOKUP(X53,Служебный!$H$33:$Q$46,3,FALSE),IF(Y50=0.4,VLOOKUP(X53,Служебный!$H$33:$Q$46,4,FALSE),IF(Y50=0.5,VLOOKUP(X53,Служебный!$H$33:$Q$46,5,FALSE),IF(Y50=0.6,VLOOKUP(X53,Служебный!$H$33:$Q$46,6,FALSE),IF(Y50=0.7,VLOOKUP(X53,Служебный!$H$33:$Q$46,7,FALSE),IF(Y50=0.8,VLOOKUP(X53,Служебный!$H$33:$Q$46,8,FALSE),IF(Y50=0.9,VLOOKUP(X53,Служебный!$H$33:$Q$46,9,FALSE),IF(Y50=1,VLOOKUP(X53,Служебный!$H$33:$Q$46,10,FALSE),0)))))))))</f>
        <v>72</v>
      </c>
      <c r="Z53" s="169">
        <f>(AA53-Y53)/(AA50-Y50)*(Z50-Y50)+Y53</f>
        <v>72</v>
      </c>
      <c r="AA53" s="170">
        <f>IF(AA50=0.2,VLOOKUP(X53,Служебный!$H$33:$Q$46,2,FALSE),IF(AA50=0.3,VLOOKUP(X53,Служебный!$H$33:$Q$46,3,FALSE),IF(AA50=0.4,VLOOKUP(X53,Служебный!$H$33:$Q$46,4,FALSE),IF(AA50=0.5,VLOOKUP(X53,Служебный!$H$33:$Q$46,5,FALSE),IF(AA50=0.6,VLOOKUP(X53,Служебный!$H$33:$Q$46,6,FALSE),IF(AA50=0.7,VLOOKUP(X53,Служебный!$H$33:$Q$46,7,FALSE),IF(AA50=0.8,VLOOKUP(X53,Служебный!$H$33:$Q$46,8,FALSE),IF(AA50=0.9,VLOOKUP(X53,Служебный!$H$33:$Q$46,9,FALSE),IF(AA50=1,VLOOKUP(X53,Служебный!$H$33:$Q$46,10,FALSE),0)))))))))</f>
        <v>51</v>
      </c>
      <c r="AC53" s="167">
        <v>8</v>
      </c>
      <c r="AD53" s="155">
        <v>58</v>
      </c>
      <c r="AN53" s="353"/>
      <c r="AO53" s="353"/>
      <c r="AP53" s="397"/>
      <c r="AQ53" s="353"/>
      <c r="AR53" s="353"/>
      <c r="AS53" s="397"/>
      <c r="AT53" s="353"/>
      <c r="AU53" s="353"/>
      <c r="AV53" s="397"/>
      <c r="AW53" s="353"/>
      <c r="AX53" s="353"/>
      <c r="AY53" s="397"/>
    </row>
    <row r="54" spans="1:51">
      <c r="F54" s="361"/>
      <c r="G54" s="361"/>
      <c r="H54" s="364"/>
      <c r="I54" s="367"/>
      <c r="J54" s="370"/>
      <c r="K54" s="373"/>
      <c r="L54" s="356"/>
      <c r="M54" s="354"/>
      <c r="N54" s="257" t="str">
        <f t="shared" si="32"/>
        <v xml:space="preserve"> </v>
      </c>
      <c r="O54" s="28" t="str">
        <f t="shared" si="30"/>
        <v xml:space="preserve"> </v>
      </c>
      <c r="P54" s="28" t="str">
        <f>IF(N54&lt;&gt;" ",MAX($P$9:P53)+O54/2," ")</f>
        <v xml:space="preserve"> </v>
      </c>
      <c r="Q54" s="28" t="str" cm="1">
        <f t="array" ref="Q54">IF(Скважина!$L$12=Служебный!$K$2,IF(O54&lt;&gt;" ",IF('Несущая способность по грунту 1'!P54&gt;1,Interpol(9,14,Служебный!$H$33:$H$46,Служебный!$I$32:$Q$32,Служебный!$I$33:$Q$46,'Несущая способность по грунту 1'!P54,IF($I$49&lt;=0.2,0.2,$I$49)),0)," "),0)</f>
        <v xml:space="preserve"> </v>
      </c>
      <c r="R54" s="68" t="str">
        <f t="shared" si="31"/>
        <v xml:space="preserve"> </v>
      </c>
      <c r="S54" s="188"/>
      <c r="T54" s="28"/>
      <c r="U54" s="72" t="str">
        <f t="shared" si="2"/>
        <v xml:space="preserve"> </v>
      </c>
      <c r="V54" s="188"/>
      <c r="X54" t="str">
        <f>H49</f>
        <v>Глины твердые   с прослоями полутвердых, суглинков и супесей</v>
      </c>
      <c r="AN54" s="353"/>
      <c r="AO54" s="353"/>
      <c r="AP54" s="397"/>
      <c r="AQ54" s="353"/>
      <c r="AR54" s="353"/>
      <c r="AS54" s="397"/>
      <c r="AT54" s="353"/>
      <c r="AU54" s="353"/>
      <c r="AV54" s="397"/>
      <c r="AW54" s="353"/>
      <c r="AX54" s="353"/>
      <c r="AY54" s="397"/>
    </row>
    <row r="55" spans="1:51">
      <c r="F55" s="361"/>
      <c r="G55" s="361"/>
      <c r="H55" s="364"/>
      <c r="I55" s="367"/>
      <c r="J55" s="370"/>
      <c r="K55" s="373"/>
      <c r="L55" s="356"/>
      <c r="M55" s="354"/>
      <c r="N55" s="257" t="str">
        <f t="shared" si="32"/>
        <v xml:space="preserve"> </v>
      </c>
      <c r="O55" s="28" t="str">
        <f t="shared" si="30"/>
        <v xml:space="preserve"> </v>
      </c>
      <c r="P55" s="28" t="str">
        <f>IF(N55&lt;&gt;" ",MAX($P$9:P54)+O55/2," ")</f>
        <v xml:space="preserve"> </v>
      </c>
      <c r="Q55" s="28" t="str" cm="1">
        <f t="array" ref="Q55">IF(Скважина!$L$12=Служебный!$K$2,IF(O55&lt;&gt;" ",IF('Несущая способность по грунту 1'!P55&gt;1,Interpol(9,14,Служебный!$H$33:$H$46,Служебный!$I$32:$Q$32,Служебный!$I$33:$Q$46,'Несущая способность по грунту 1'!P55,IF($I$49&lt;=0.2,0.2,$I$49)),0)," "),0)</f>
        <v xml:space="preserve"> </v>
      </c>
      <c r="R55" s="68" t="str">
        <f t="shared" si="31"/>
        <v xml:space="preserve"> </v>
      </c>
      <c r="S55" s="188"/>
      <c r="T55" s="28"/>
      <c r="U55" s="72" t="str">
        <f t="shared" si="2"/>
        <v xml:space="preserve"> </v>
      </c>
      <c r="V55" s="188"/>
      <c r="AN55" s="353"/>
      <c r="AO55" s="353"/>
      <c r="AP55" s="397"/>
      <c r="AQ55" s="353"/>
      <c r="AR55" s="353"/>
      <c r="AS55" s="397"/>
      <c r="AT55" s="353"/>
      <c r="AU55" s="353"/>
      <c r="AV55" s="397"/>
      <c r="AW55" s="353"/>
      <c r="AX55" s="353"/>
      <c r="AY55" s="397"/>
    </row>
    <row r="56" spans="1:51">
      <c r="F56" s="361"/>
      <c r="G56" s="361"/>
      <c r="H56" s="364"/>
      <c r="I56" s="367"/>
      <c r="J56" s="370"/>
      <c r="K56" s="373"/>
      <c r="L56" s="356"/>
      <c r="M56" s="354"/>
      <c r="N56" s="257" t="str">
        <f t="shared" si="32"/>
        <v xml:space="preserve"> </v>
      </c>
      <c r="O56" s="28" t="str">
        <f t="shared" si="30"/>
        <v xml:space="preserve"> </v>
      </c>
      <c r="P56" s="28" t="str">
        <f>IF(N56&lt;&gt;" ",MAX($P$9:P55)+O56/2," ")</f>
        <v xml:space="preserve"> </v>
      </c>
      <c r="Q56" s="28" t="str" cm="1">
        <f t="array" ref="Q56">IF(Скважина!$L$12=Служебный!$K$2,IF(O56&lt;&gt;" ",IF('Несущая способность по грунту 1'!P56&gt;1,Interpol(9,14,Служебный!$H$33:$H$46,Служебный!$I$32:$Q$32,Служебный!$I$33:$Q$46,'Несущая способность по грунту 1'!P56,IF($I$49&lt;=0.2,0.2,$I$49)),0)," "),0)</f>
        <v xml:space="preserve"> </v>
      </c>
      <c r="R56" s="68" t="str">
        <f t="shared" si="31"/>
        <v xml:space="preserve"> </v>
      </c>
      <c r="S56" s="188"/>
      <c r="T56" s="28"/>
      <c r="U56" s="72" t="str">
        <f t="shared" si="2"/>
        <v xml:space="preserve"> </v>
      </c>
      <c r="V56" s="188"/>
      <c r="AN56" s="353"/>
      <c r="AO56" s="353"/>
      <c r="AP56" s="397"/>
      <c r="AQ56" s="353"/>
      <c r="AR56" s="353"/>
      <c r="AS56" s="397"/>
      <c r="AT56" s="353"/>
      <c r="AU56" s="353"/>
      <c r="AV56" s="397"/>
      <c r="AW56" s="353"/>
      <c r="AX56" s="353"/>
      <c r="AY56" s="397"/>
    </row>
    <row r="57" spans="1:51">
      <c r="F57" s="361"/>
      <c r="G57" s="361"/>
      <c r="H57" s="364"/>
      <c r="I57" s="367"/>
      <c r="J57" s="370"/>
      <c r="K57" s="373"/>
      <c r="L57" s="356"/>
      <c r="M57" s="354"/>
      <c r="N57" s="257" t="str">
        <f t="shared" si="32"/>
        <v xml:space="preserve"> </v>
      </c>
      <c r="O57" s="28" t="str">
        <f t="shared" si="30"/>
        <v xml:space="preserve"> </v>
      </c>
      <c r="P57" s="28" t="str">
        <f>IF(N57&lt;&gt;" ",MAX($P$9:P56)+O57/2," ")</f>
        <v xml:space="preserve"> </v>
      </c>
      <c r="Q57" s="28" t="str" cm="1">
        <f t="array" ref="Q57">IF(Скважина!$L$12=Служебный!$K$2,IF(O57&lt;&gt;" ",IF('Несущая способность по грунту 1'!P57&gt;1,Interpol(9,14,Служебный!$H$33:$H$46,Служебный!$I$32:$Q$32,Служебный!$I$33:$Q$46,'Несущая способность по грунту 1'!P57,IF($I$49&lt;=0.2,0.2,$I$49)),0)," "),0)</f>
        <v xml:space="preserve"> </v>
      </c>
      <c r="R57" s="68" t="str">
        <f t="shared" si="31"/>
        <v xml:space="preserve"> </v>
      </c>
      <c r="S57" s="188"/>
      <c r="T57" s="28"/>
      <c r="U57" s="72" t="str">
        <f t="shared" si="2"/>
        <v xml:space="preserve"> </v>
      </c>
      <c r="V57" s="188"/>
      <c r="AN57" s="353"/>
      <c r="AO57" s="353"/>
      <c r="AP57" s="397"/>
      <c r="AQ57" s="353"/>
      <c r="AR57" s="353"/>
      <c r="AS57" s="397"/>
      <c r="AT57" s="353"/>
      <c r="AU57" s="353"/>
      <c r="AV57" s="397"/>
      <c r="AW57" s="353"/>
      <c r="AX57" s="353"/>
      <c r="AY57" s="397"/>
    </row>
    <row r="58" spans="1:51" ht="15.75" thickBot="1">
      <c r="F58" s="379"/>
      <c r="G58" s="379"/>
      <c r="H58" s="389"/>
      <c r="I58" s="367"/>
      <c r="J58" s="391"/>
      <c r="K58" s="373"/>
      <c r="L58" s="356"/>
      <c r="M58" s="354"/>
      <c r="N58" s="266" t="str">
        <f t="shared" si="32"/>
        <v xml:space="preserve"> </v>
      </c>
      <c r="O58" s="190" t="str">
        <f t="shared" si="30"/>
        <v xml:space="preserve"> </v>
      </c>
      <c r="P58" s="190" t="str">
        <f>IF(N58&lt;&gt;" ",MAX($P$9:P57)+O58/2," ")</f>
        <v xml:space="preserve"> </v>
      </c>
      <c r="Q58" s="190" t="str" cm="1">
        <f t="array" ref="Q58">IF(Скважина!$L$12=Служебный!$K$2,IF(O58&lt;&gt;" ",IF('Несущая способность по грунту 1'!P58&gt;1,Interpol(9,14,Служебный!$H$33:$H$46,Служебный!$I$32:$Q$32,Служебный!$I$33:$Q$46,'Несущая способность по грунту 1'!P58,IF($I$49&lt;=0.2,0.2,$I$49)),0)," "),0)</f>
        <v xml:space="preserve"> </v>
      </c>
      <c r="R58" s="280" t="str">
        <f t="shared" si="31"/>
        <v xml:space="preserve"> </v>
      </c>
      <c r="S58" s="188"/>
      <c r="T58" s="70"/>
      <c r="U58" s="72" t="str">
        <f t="shared" si="2"/>
        <v xml:space="preserve"> </v>
      </c>
      <c r="V58" s="188"/>
      <c r="AN58" s="353"/>
      <c r="AO58" s="353"/>
      <c r="AP58" s="397"/>
      <c r="AQ58" s="353"/>
      <c r="AR58" s="353"/>
      <c r="AS58" s="397"/>
      <c r="AT58" s="353"/>
      <c r="AU58" s="353"/>
      <c r="AV58" s="397"/>
      <c r="AW58" s="353"/>
      <c r="AX58" s="353"/>
      <c r="AY58" s="397"/>
    </row>
    <row r="59" spans="1:51" ht="15" customHeight="1">
      <c r="F59" s="360">
        <f t="shared" ref="F59" si="33">F49+1</f>
        <v>6</v>
      </c>
      <c r="G59" s="360">
        <f>IF(F59&lt;21,IF(VLOOKUP(F59,Скважина!$E$8:$K$27,4,FALSE)&gt;Скважина!$C$8,VLOOKUP('Несущая способность по грунту 1'!F59,Скважина!$E$8:$K$27,2,FALSE),0),0)</f>
        <v>6</v>
      </c>
      <c r="H59" s="363" t="str">
        <f>IF(G59&lt;&gt;0,VLOOKUP('Несущая способность по грунту 1'!G59,Геология!$D$7:$BO$993,7,FALSE)," ")</f>
        <v>Суглинки полутвердые   с прослоями твердых глин</v>
      </c>
      <c r="I59" s="366">
        <f>IF(G59&lt;&gt;0,VLOOKUP('Несущая способность по грунту 1'!G59, Геология!$D$8:$BM$993, 22,FALSE)," ")</f>
        <v>0.09</v>
      </c>
      <c r="J59" s="369">
        <f>VLOOKUP(F59,Скважина!$E$8:$K$27,4,FALSE)</f>
        <v>128</v>
      </c>
      <c r="K59" s="372">
        <f>IF(VLOOKUP($F59,Скважина!$E$8:$K$27,5,FALSE)&gt;Скважина!$C$8,VLOOKUP($F59,Скважина!$E$8:$K$27,5,FALSE),Скважина!$C$8)</f>
        <v>127</v>
      </c>
      <c r="L59" s="355">
        <f t="shared" ref="L59" si="34">IF(IF(G59&lt;&gt;0,J59-K59,0)&lt;0,0,IF(G59&lt;&gt;0,J59-K59,0))</f>
        <v>1</v>
      </c>
      <c r="M59" s="375">
        <v>2</v>
      </c>
      <c r="N59" s="275">
        <f>IF(M59&lt;&gt;0,MAX(N$9:N$58)+1," ")</f>
        <v>16</v>
      </c>
      <c r="O59" s="66">
        <f>IF(N59&lt;&gt;" ",L$59/COUNT(N$59:N$68), " ")</f>
        <v>0.5</v>
      </c>
      <c r="P59" s="66">
        <f>IF(N59&lt;&gt;" ",MAX($P$9:P58)+O59/2," ")</f>
        <v>7.0499999999999972</v>
      </c>
      <c r="Q59" s="66" cm="1">
        <f t="array" ref="Q59">IF(Скважина!$L$13=Служебный!$K$2,IF(O59&lt;&gt;" ",IF('Несущая способность по грунту 1'!P59&gt;1,Interpol(9,14,Служебный!$H$33:$H$46,Служебный!$I$32:$Q$32,Служебный!$I$33:$Q$46,'Несущая способность по грунту 1'!P59,IF($I$59&lt;=0.2,0.2,$I$59)),0)," "),0)</f>
        <v>60.099999999999994</v>
      </c>
      <c r="R59" s="67">
        <f>IF(N59&lt;&gt;" ",O59*Q59," ")</f>
        <v>30.049999999999997</v>
      </c>
      <c r="S59" s="188"/>
      <c r="T59" s="66"/>
      <c r="U59" s="72">
        <f t="shared" si="2"/>
        <v>0</v>
      </c>
      <c r="V59" s="188"/>
      <c r="X59" s="159" t="s">
        <v>156</v>
      </c>
      <c r="Y59" s="160"/>
      <c r="Z59" s="161" t="s">
        <v>155</v>
      </c>
      <c r="AA59" s="162"/>
      <c r="AC59" s="283" t="s">
        <v>213</v>
      </c>
      <c r="AD59" s="284"/>
      <c r="AN59" s="353">
        <f>IF(OR(G59=0,F59&gt;20)," ",VLOOKUP('Несущая способность по грунту 1'!G59,Геология!$D$7:$BO$993,23,FALSE))</f>
        <v>20.004239999999999</v>
      </c>
      <c r="AO59" s="353">
        <f t="shared" ref="AO59" si="35">IF(AN59&lt;&gt;" ",AN59*L59," ")</f>
        <v>20.004239999999999</v>
      </c>
      <c r="AP59" s="397"/>
      <c r="AQ59" s="353">
        <f>IF(G59&lt;&gt;0,VLOOKUP('Несущая способность по грунту 1'!G59,Геология!$D$7:$BO$993,24,FALSE)," ")</f>
        <v>0.37</v>
      </c>
      <c r="AR59" s="353">
        <f t="shared" ref="AR59" si="36">IF(AQ59&lt;&gt;" ",AQ59*L59," ")</f>
        <v>0.37</v>
      </c>
      <c r="AS59" s="397"/>
      <c r="AT59" s="353">
        <f>IF(G59&lt;&gt;0,VLOOKUP('Несущая способность по грунту 1'!G59,Геология!$D$7:$BO$993,21,FALSE)," ")</f>
        <v>22</v>
      </c>
      <c r="AU59" s="353">
        <f t="shared" ref="AU59" si="37">IF(G59&lt;&gt;0,AT59*L59," ")</f>
        <v>22</v>
      </c>
      <c r="AV59" s="397"/>
      <c r="AW59" s="353">
        <f>IF(G59&lt;&gt;0,VLOOKUP('Несущая способность по грунту 1'!G59,Геология!$D$7:$BO$993,27,FALSE)," ")</f>
        <v>8.0291970802919703</v>
      </c>
      <c r="AX59" s="353">
        <f t="shared" ref="AX59" si="38">IF(G59&lt;&gt;0,AW59*L59," ")</f>
        <v>8.0291970802919703</v>
      </c>
      <c r="AY59" s="397"/>
    </row>
    <row r="60" spans="1:51">
      <c r="F60" s="361"/>
      <c r="G60" s="361"/>
      <c r="H60" s="364"/>
      <c r="I60" s="367"/>
      <c r="J60" s="370"/>
      <c r="K60" s="373"/>
      <c r="L60" s="356"/>
      <c r="M60" s="376"/>
      <c r="N60" s="267">
        <f>IF(N59=" "," ", IF(N59&lt;SUM(M$9:M$68),N59+1, " "))</f>
        <v>17</v>
      </c>
      <c r="O60" s="28">
        <f t="shared" ref="O60:O68" si="39">IF(N60&lt;&gt;" ",L$59/COUNT(N$59:N$68), " ")</f>
        <v>0.5</v>
      </c>
      <c r="P60" s="28">
        <f>IF(N60&lt;&gt;" ",MAX($P$9:P59)+O60/2," ")</f>
        <v>7.2999999999999972</v>
      </c>
      <c r="Q60" s="28" cm="1">
        <f t="array" ref="Q60">IF(Скважина!$L$13=Служебный!$K$2,IF(O60&lt;&gt;" ",IF('Несущая способность по грунту 1'!P60&gt;1,Interpol(9,14,Служебный!$H$33:$H$46,Служебный!$I$32:$Q$32,Служебный!$I$33:$Q$46,'Несущая способность по грунту 1'!P60,IF($I$59&lt;=0.2,0.2,$I$59)),0)," "),0)</f>
        <v>60.599999999999994</v>
      </c>
      <c r="R60" s="68">
        <f t="shared" ref="R60:R68" si="40">IF(N60&lt;&gt;" ",O60*Q60," ")</f>
        <v>30.299999999999997</v>
      </c>
      <c r="S60" s="188"/>
      <c r="T60" s="28"/>
      <c r="U60" s="72">
        <f t="shared" si="2"/>
        <v>0</v>
      </c>
      <c r="V60" s="188"/>
      <c r="X60" s="163" t="s">
        <v>39</v>
      </c>
      <c r="Y60" s="47">
        <v>0.2</v>
      </c>
      <c r="Z60" s="142">
        <f>IF(I59&lt;=0.2,0.2,I59)</f>
        <v>0.2</v>
      </c>
      <c r="AA60" s="151">
        <v>0.3</v>
      </c>
      <c r="AC60" s="262" t="s">
        <v>39</v>
      </c>
      <c r="AD60" s="165" t="s">
        <v>214</v>
      </c>
      <c r="AN60" s="353"/>
      <c r="AO60" s="353"/>
      <c r="AP60" s="397"/>
      <c r="AQ60" s="353"/>
      <c r="AR60" s="353"/>
      <c r="AS60" s="397"/>
      <c r="AT60" s="353"/>
      <c r="AU60" s="353"/>
      <c r="AV60" s="397"/>
      <c r="AW60" s="353"/>
      <c r="AX60" s="353"/>
      <c r="AY60" s="397"/>
    </row>
    <row r="61" spans="1:51" ht="15.75" thickBot="1">
      <c r="F61" s="361"/>
      <c r="G61" s="361"/>
      <c r="H61" s="364"/>
      <c r="I61" s="367"/>
      <c r="J61" s="370"/>
      <c r="K61" s="373"/>
      <c r="L61" s="356"/>
      <c r="M61" s="376"/>
      <c r="N61" s="267" t="str">
        <f t="shared" ref="N61:N68" si="41">IF(N60=" "," ", IF(N60&lt;SUM(M$9:M$68),N60+1, " "))</f>
        <v xml:space="preserve"> </v>
      </c>
      <c r="O61" s="28" t="str">
        <f t="shared" si="39"/>
        <v xml:space="preserve"> </v>
      </c>
      <c r="P61" s="28" t="str">
        <f>IF(N61&lt;&gt;" ",MAX($P$9:P60)+O61/2," ")</f>
        <v xml:space="preserve"> </v>
      </c>
      <c r="Q61" s="28" t="str" cm="1">
        <f t="array" ref="Q61">IF(Скважина!$L$13=Служебный!$K$2,IF(O61&lt;&gt;" ",IF('Несущая способность по грунту 1'!P61&gt;1,Interpol(9,14,Служебный!$H$33:$H$46,Служебный!$I$32:$Q$32,Служебный!$I$33:$Q$46,'Несущая способность по грунту 1'!P61,IF($I$59&lt;=0.2,0.2,$I$59)),0)," "),0)</f>
        <v xml:space="preserve"> </v>
      </c>
      <c r="R61" s="68" t="str">
        <f t="shared" si="40"/>
        <v xml:space="preserve"> </v>
      </c>
      <c r="S61" s="188"/>
      <c r="T61" s="28"/>
      <c r="U61" s="72" t="str">
        <f t="shared" si="2"/>
        <v xml:space="preserve"> </v>
      </c>
      <c r="V61" s="188"/>
      <c r="X61" s="164">
        <v>4</v>
      </c>
      <c r="Y61" s="109">
        <f>IF(Y60=0.2,VLOOKUP(X61,Служебный!$H$33:$Q$46,2,FALSE),IF(Y60=0.3,VLOOKUP(X61,Служебный!$H$33:$Q$46,3,FALSE),IF(Y60=0.4,VLOOKUP(X61,Служебный!$H$33:$Q$46,4,FALSE),IF(Y60=0.5,VLOOKUP(X61,Служебный!$H$33:$Q$46,5,FALSE),IF(Y60=0.6,VLOOKUP(X61,Служебный!$H$33:$Q$46,6,FALSE),IF(Y60=0.7,VLOOKUP(X61,Служебный!$H$33:$Q$46,7,FALSE),IF(Y60=0.8,VLOOKUP(X61,Служебный!$H$33:$Q$46,8,FALSE),IF(Y60=0.9,VLOOKUP(X61,Служебный!$H$33:$Q$46,9,FALSE),IF(Y60=1,VLOOKUP(X61,Служебный!$H$33:$Q$46,10,FALSE),0)))))))))</f>
        <v>53</v>
      </c>
      <c r="Z61" s="79">
        <f>(AA61-Y61)/(AA60-Y60)*(Z60-Y60)+Y61</f>
        <v>53</v>
      </c>
      <c r="AA61" s="165">
        <f>IF(AA60=0.2,VLOOKUP(X61,Служебный!$H$33:$Q$46,2,FALSE),IF(AA60=0.3,VLOOKUP(X61,Служебный!$H$33:$Q$46,3,FALSE),IF(AA60=0.4,VLOOKUP(X61,Служебный!$H$33:$Q$46,4,FALSE),IF(AA60=0.5,VLOOKUP(X61,Служебный!$H$33:$Q$46,5,FALSE),IF(AA60=0.6,VLOOKUP(X61,Служебный!$H$33:$Q$46,6,FALSE),IF(AA60=0.7,VLOOKUP(X61,Служебный!$H$33:$Q$46,7,FALSE),IF(AA60=0.8,VLOOKUP(X61,Служебный!$H$33:$Q$46,8,FALSE),IF(AA60=0.9,VLOOKUP(X61,Служебный!$H$33:$Q$46,9,FALSE),IF(AA60=1,VLOOKUP(X61,Служебный!$H$33:$Q$46,10,FALSE),0)))))))))</f>
        <v>38</v>
      </c>
      <c r="AC61" s="164">
        <v>6</v>
      </c>
      <c r="AD61" s="151">
        <v>55</v>
      </c>
      <c r="AN61" s="353"/>
      <c r="AO61" s="353"/>
      <c r="AP61" s="397"/>
      <c r="AQ61" s="353"/>
      <c r="AR61" s="353"/>
      <c r="AS61" s="397"/>
      <c r="AT61" s="353"/>
      <c r="AU61" s="353"/>
      <c r="AV61" s="397"/>
      <c r="AW61" s="353"/>
      <c r="AX61" s="353"/>
      <c r="AY61" s="397"/>
    </row>
    <row r="62" spans="1:51" ht="15.75" thickBot="1">
      <c r="F62" s="361"/>
      <c r="G62" s="361"/>
      <c r="H62" s="364"/>
      <c r="I62" s="367"/>
      <c r="J62" s="370"/>
      <c r="K62" s="373"/>
      <c r="L62" s="356"/>
      <c r="M62" s="376"/>
      <c r="N62" s="267" t="str">
        <f t="shared" si="41"/>
        <v xml:space="preserve"> </v>
      </c>
      <c r="O62" s="28" t="str">
        <f t="shared" si="39"/>
        <v xml:space="preserve"> </v>
      </c>
      <c r="P62" s="28" t="str">
        <f>IF(N62&lt;&gt;" ",MAX($P$9:P61)+O62/2," ")</f>
        <v xml:space="preserve"> </v>
      </c>
      <c r="Q62" s="28" t="str" cm="1">
        <f t="array" ref="Q62">IF(Скважина!$L$13=Служебный!$K$2,IF(O62&lt;&gt;" ",IF('Несущая способность по грунту 1'!P62&gt;1,Interpol(9,14,Служебный!$H$33:$H$46,Служебный!$I$32:$Q$32,Служебный!$I$33:$Q$46,'Несущая способность по грунту 1'!P62,IF($I$59&lt;=0.2,0.2,$I$59)),0)," "),0)</f>
        <v xml:space="preserve"> </v>
      </c>
      <c r="R62" s="68" t="str">
        <f t="shared" si="40"/>
        <v xml:space="preserve"> </v>
      </c>
      <c r="S62" s="188"/>
      <c r="T62" s="28"/>
      <c r="U62" s="72" t="str">
        <f t="shared" si="2"/>
        <v xml:space="preserve"> </v>
      </c>
      <c r="V62" s="188"/>
      <c r="X62" s="164">
        <v>4.75</v>
      </c>
      <c r="Y62" s="78"/>
      <c r="Z62" s="77">
        <f>(Z63-Z61)/(X63-X61)*(X62-X61)+Z61</f>
        <v>55.25</v>
      </c>
      <c r="AA62" s="166"/>
      <c r="AC62" s="164">
        <v>7</v>
      </c>
      <c r="AD62" s="285">
        <f>(AD63-AD61)/(AC63-AC61)*(AC62-AC61)+AD61</f>
        <v>56.5</v>
      </c>
      <c r="AN62" s="353"/>
      <c r="AO62" s="353"/>
      <c r="AP62" s="397"/>
      <c r="AQ62" s="353"/>
      <c r="AR62" s="353"/>
      <c r="AS62" s="397"/>
      <c r="AT62" s="353"/>
      <c r="AU62" s="353"/>
      <c r="AV62" s="397"/>
      <c r="AW62" s="353"/>
      <c r="AX62" s="353"/>
      <c r="AY62" s="397"/>
    </row>
    <row r="63" spans="1:51" ht="15.75" thickBot="1">
      <c r="F63" s="361"/>
      <c r="G63" s="361"/>
      <c r="H63" s="364"/>
      <c r="I63" s="367"/>
      <c r="J63" s="370"/>
      <c r="K63" s="373"/>
      <c r="L63" s="356"/>
      <c r="M63" s="376"/>
      <c r="N63" s="267" t="str">
        <f t="shared" si="41"/>
        <v xml:space="preserve"> </v>
      </c>
      <c r="O63" s="28" t="str">
        <f t="shared" si="39"/>
        <v xml:space="preserve"> </v>
      </c>
      <c r="P63" s="28" t="str">
        <f>IF(N63&lt;&gt;" ",MAX($P$9:P62)+O63/2," ")</f>
        <v xml:space="preserve"> </v>
      </c>
      <c r="Q63" s="28" t="str" cm="1">
        <f t="array" ref="Q63">IF(Скважина!$L$13=Служебный!$K$2,IF(O63&lt;&gt;" ",IF('Несущая способность по грунту 1'!P63&gt;1,Interpol(9,14,Служебный!$H$33:$H$46,Служебный!$I$32:$Q$32,Служебный!$I$33:$Q$46,'Несущая способность по грунту 1'!P63,IF($I$59&lt;=0.2,0.2,$I$59)),0)," "),0)</f>
        <v xml:space="preserve"> </v>
      </c>
      <c r="R63" s="68" t="str">
        <f t="shared" si="40"/>
        <v xml:space="preserve"> </v>
      </c>
      <c r="S63" s="188"/>
      <c r="T63" s="28"/>
      <c r="U63" s="72" t="str">
        <f t="shared" si="2"/>
        <v xml:space="preserve"> </v>
      </c>
      <c r="V63" s="188"/>
      <c r="X63" s="167">
        <v>5</v>
      </c>
      <c r="Y63" s="168">
        <f>IF(Y60=0.2,VLOOKUP(X63,Служебный!$H$33:$Q$46,2,FALSE),IF(Y60=0.3,VLOOKUP(X63,Служебный!$H$33:$Q$46,3,FALSE),IF(Y60=0.4,VLOOKUP(X63,Служебный!$H$33:$Q$46,4,FALSE),IF(Y60=0.5,VLOOKUP(X63,Служебный!$H$33:$Q$46,5,FALSE),IF(Y60=0.6,VLOOKUP(X63,Служебный!$H$33:$Q$46,6,FALSE),IF(Y60=0.7,VLOOKUP(X63,Служебный!$H$33:$Q$46,7,FALSE),IF(Y60=0.8,VLOOKUP(X63,Служебный!$H$33:$Q$46,8,FALSE),IF(Y60=0.9,VLOOKUP(X63,Служебный!$H$33:$Q$46,9,FALSE),IF(Y60=1,VLOOKUP(X63,Служебный!$H$33:$Q$46,10,FALSE),0)))))))))</f>
        <v>56</v>
      </c>
      <c r="Z63" s="169">
        <f>(AA63-Y63)/(AA60-Y60)*(Z60-Y60)+Y63</f>
        <v>56</v>
      </c>
      <c r="AA63" s="170">
        <f>IF(AA60=0.2,VLOOKUP(X63,Служебный!$H$33:$Q$46,2,FALSE),IF(AA60=0.3,VLOOKUP(X63,Служебный!$H$33:$Q$46,3,FALSE),IF(AA60=0.4,VLOOKUP(X63,Служебный!$H$33:$Q$46,4,FALSE),IF(AA60=0.5,VLOOKUP(X63,Служебный!$H$33:$Q$46,5,FALSE),IF(AA60=0.6,VLOOKUP(X63,Служебный!$H$33:$Q$46,6,FALSE),IF(AA60=0.7,VLOOKUP(X63,Служебный!$H$33:$Q$46,7,FALSE),IF(AA60=0.8,VLOOKUP(X63,Служебный!$H$33:$Q$46,8,FALSE),IF(AA60=0.9,VLOOKUP(X63,Служебный!$H$33:$Q$46,9,FALSE),IF(AA60=1,VLOOKUP(X63,Служебный!$H$33:$Q$46,10,FALSE),0)))))))))</f>
        <v>40</v>
      </c>
      <c r="AC63" s="167">
        <v>8</v>
      </c>
      <c r="AD63" s="155">
        <v>58</v>
      </c>
      <c r="AN63" s="353"/>
      <c r="AO63" s="353"/>
      <c r="AP63" s="397"/>
      <c r="AQ63" s="353"/>
      <c r="AR63" s="353"/>
      <c r="AS63" s="397"/>
      <c r="AT63" s="353"/>
      <c r="AU63" s="353"/>
      <c r="AV63" s="397"/>
      <c r="AW63" s="353"/>
      <c r="AX63" s="353"/>
      <c r="AY63" s="397"/>
    </row>
    <row r="64" spans="1:51">
      <c r="F64" s="361"/>
      <c r="G64" s="361"/>
      <c r="H64" s="364"/>
      <c r="I64" s="367"/>
      <c r="J64" s="370"/>
      <c r="K64" s="373"/>
      <c r="L64" s="356"/>
      <c r="M64" s="376"/>
      <c r="N64" s="267" t="str">
        <f t="shared" si="41"/>
        <v xml:space="preserve"> </v>
      </c>
      <c r="O64" s="28" t="str">
        <f t="shared" si="39"/>
        <v xml:space="preserve"> </v>
      </c>
      <c r="P64" s="28" t="str">
        <f>IF(N64&lt;&gt;" ",MAX($P$9:P63)+O64/2," ")</f>
        <v xml:space="preserve"> </v>
      </c>
      <c r="Q64" s="28" t="str" cm="1">
        <f t="array" ref="Q64">IF(Скважина!$L$13=Служебный!$K$2,IF(O64&lt;&gt;" ",IF('Несущая способность по грунту 1'!P64&gt;1,Interpol(9,14,Служебный!$H$33:$H$46,Служебный!$I$32:$Q$32,Служебный!$I$33:$Q$46,'Несущая способность по грунту 1'!P64,IF($I$59&lt;=0.2,0.2,$I$59)),0)," "),0)</f>
        <v xml:space="preserve"> </v>
      </c>
      <c r="R64" s="68" t="str">
        <f t="shared" si="40"/>
        <v xml:space="preserve"> </v>
      </c>
      <c r="S64" s="188"/>
      <c r="T64" s="28"/>
      <c r="U64" s="72" t="str">
        <f t="shared" si="2"/>
        <v xml:space="preserve"> </v>
      </c>
      <c r="V64" s="188"/>
      <c r="X64" t="str">
        <f>H59</f>
        <v>Суглинки полутвердые   с прослоями твердых глин</v>
      </c>
      <c r="AN64" s="353"/>
      <c r="AO64" s="353"/>
      <c r="AP64" s="397"/>
      <c r="AQ64" s="353"/>
      <c r="AR64" s="353"/>
      <c r="AS64" s="397"/>
      <c r="AT64" s="353"/>
      <c r="AU64" s="353"/>
      <c r="AV64" s="397"/>
      <c r="AW64" s="353"/>
      <c r="AX64" s="353"/>
      <c r="AY64" s="397"/>
    </row>
    <row r="65" spans="6:51">
      <c r="F65" s="361"/>
      <c r="G65" s="361"/>
      <c r="H65" s="364"/>
      <c r="I65" s="367"/>
      <c r="J65" s="370"/>
      <c r="K65" s="373"/>
      <c r="L65" s="356"/>
      <c r="M65" s="376"/>
      <c r="N65" s="267" t="str">
        <f t="shared" si="41"/>
        <v xml:space="preserve"> </v>
      </c>
      <c r="O65" s="28" t="str">
        <f t="shared" si="39"/>
        <v xml:space="preserve"> </v>
      </c>
      <c r="P65" s="28" t="str">
        <f>IF(N65&lt;&gt;" ",MAX($P$9:P64)+O65/2," ")</f>
        <v xml:space="preserve"> </v>
      </c>
      <c r="Q65" s="28" t="str" cm="1">
        <f t="array" ref="Q65">IF(Скважина!$L$13=Служебный!$K$2,IF(O65&lt;&gt;" ",IF('Несущая способность по грунту 1'!P65&gt;1,Interpol(9,14,Служебный!$H$33:$H$46,Служебный!$I$32:$Q$32,Служебный!$I$33:$Q$46,'Несущая способность по грунту 1'!P65,IF($I$59&lt;=0.2,0.2,$I$59)),0)," "),0)</f>
        <v xml:space="preserve"> </v>
      </c>
      <c r="R65" s="68" t="str">
        <f t="shared" si="40"/>
        <v xml:space="preserve"> </v>
      </c>
      <c r="S65" s="188"/>
      <c r="T65" s="28"/>
      <c r="U65" s="72" t="str">
        <f t="shared" si="2"/>
        <v xml:space="preserve"> </v>
      </c>
      <c r="V65" s="188"/>
      <c r="AN65" s="353"/>
      <c r="AO65" s="353"/>
      <c r="AP65" s="397"/>
      <c r="AQ65" s="353"/>
      <c r="AR65" s="353"/>
      <c r="AS65" s="397"/>
      <c r="AT65" s="353"/>
      <c r="AU65" s="353"/>
      <c r="AV65" s="397"/>
      <c r="AW65" s="353"/>
      <c r="AX65" s="353"/>
      <c r="AY65" s="397"/>
    </row>
    <row r="66" spans="6:51">
      <c r="F66" s="361"/>
      <c r="G66" s="361"/>
      <c r="H66" s="364"/>
      <c r="I66" s="367"/>
      <c r="J66" s="370"/>
      <c r="K66" s="373"/>
      <c r="L66" s="356"/>
      <c r="M66" s="376"/>
      <c r="N66" s="267" t="str">
        <f t="shared" si="41"/>
        <v xml:space="preserve"> </v>
      </c>
      <c r="O66" s="28" t="str">
        <f t="shared" si="39"/>
        <v xml:space="preserve"> </v>
      </c>
      <c r="P66" s="28" t="str">
        <f>IF(N66&lt;&gt;" ",MAX($P$9:P65)+O66/2," ")</f>
        <v xml:space="preserve"> </v>
      </c>
      <c r="Q66" s="28" t="str" cm="1">
        <f t="array" ref="Q66">IF(Скважина!$L$13=Служебный!$K$2,IF(O66&lt;&gt;" ",IF('Несущая способность по грунту 1'!P66&gt;1,Interpol(9,14,Служебный!$H$33:$H$46,Служебный!$I$32:$Q$32,Служебный!$I$33:$Q$46,'Несущая способность по грунту 1'!P66,IF($I$59&lt;=0.2,0.2,$I$59)),0)," "),0)</f>
        <v xml:space="preserve"> </v>
      </c>
      <c r="R66" s="68" t="str">
        <f t="shared" si="40"/>
        <v xml:space="preserve"> </v>
      </c>
      <c r="S66" s="188"/>
      <c r="T66" s="28"/>
      <c r="U66" s="72" t="str">
        <f t="shared" si="2"/>
        <v xml:space="preserve"> </v>
      </c>
      <c r="V66" s="188"/>
      <c r="AN66" s="353"/>
      <c r="AO66" s="353"/>
      <c r="AP66" s="397"/>
      <c r="AQ66" s="353"/>
      <c r="AR66" s="353"/>
      <c r="AS66" s="397"/>
      <c r="AT66" s="353"/>
      <c r="AU66" s="353"/>
      <c r="AV66" s="397"/>
      <c r="AW66" s="353"/>
      <c r="AX66" s="353"/>
      <c r="AY66" s="397"/>
    </row>
    <row r="67" spans="6:51">
      <c r="F67" s="361"/>
      <c r="G67" s="361"/>
      <c r="H67" s="364"/>
      <c r="I67" s="367"/>
      <c r="J67" s="370"/>
      <c r="K67" s="373"/>
      <c r="L67" s="356"/>
      <c r="M67" s="376"/>
      <c r="N67" s="267" t="str">
        <f t="shared" si="41"/>
        <v xml:space="preserve"> </v>
      </c>
      <c r="O67" s="28" t="str">
        <f t="shared" si="39"/>
        <v xml:space="preserve"> </v>
      </c>
      <c r="P67" s="28" t="str">
        <f>IF(N67&lt;&gt;" ",MAX($P$9:P66)+O67/2," ")</f>
        <v xml:space="preserve"> </v>
      </c>
      <c r="Q67" s="28" t="str" cm="1">
        <f t="array" ref="Q67">IF(Скважина!$L$13=Служебный!$K$2,IF(O67&lt;&gt;" ",IF('Несущая способность по грунту 1'!P67&gt;1,Interpol(9,14,Служебный!$H$33:$H$46,Служебный!$I$32:$Q$32,Служебный!$I$33:$Q$46,'Несущая способность по грунту 1'!P67,IF($I$59&lt;=0.2,0.2,$I$59)),0)," "),0)</f>
        <v xml:space="preserve"> </v>
      </c>
      <c r="R67" s="68" t="str">
        <f t="shared" si="40"/>
        <v xml:space="preserve"> </v>
      </c>
      <c r="S67" s="188"/>
      <c r="T67" s="28"/>
      <c r="U67" s="72" t="str">
        <f t="shared" si="2"/>
        <v xml:space="preserve"> </v>
      </c>
      <c r="V67" s="188"/>
      <c r="AN67" s="353"/>
      <c r="AO67" s="353"/>
      <c r="AP67" s="397"/>
      <c r="AQ67" s="353"/>
      <c r="AR67" s="353"/>
      <c r="AS67" s="397"/>
      <c r="AT67" s="353"/>
      <c r="AU67" s="353"/>
      <c r="AV67" s="397"/>
      <c r="AW67" s="353"/>
      <c r="AX67" s="353"/>
      <c r="AY67" s="397"/>
    </row>
    <row r="68" spans="6:51" ht="15.75" thickBot="1">
      <c r="F68" s="362"/>
      <c r="G68" s="362"/>
      <c r="H68" s="365"/>
      <c r="I68" s="368"/>
      <c r="J68" s="371"/>
      <c r="K68" s="374"/>
      <c r="L68" s="357"/>
      <c r="M68" s="377"/>
      <c r="N68" s="274" t="str">
        <f t="shared" si="41"/>
        <v xml:space="preserve"> </v>
      </c>
      <c r="O68" s="70" t="str">
        <f t="shared" si="39"/>
        <v xml:space="preserve"> </v>
      </c>
      <c r="P68" s="70" t="str">
        <f>IF(N68&lt;&gt;" ",MAX($P$9:P67)+O68/2," ")</f>
        <v xml:space="preserve"> </v>
      </c>
      <c r="Q68" s="70" t="str" cm="1">
        <f t="array" ref="Q68">IF(Скважина!$L$13=Служебный!$K$2,IF(O68&lt;&gt;" ",IF('Несущая способность по грунту 1'!P68&gt;1,Interpol(9,14,Служебный!$H$33:$H$46,Служебный!$I$32:$Q$32,Служебный!$I$33:$Q$46,'Несущая способность по грунту 1'!P68,IF($I$59&lt;=0.2,0.2,$I$59)),0)," "),0)</f>
        <v xml:space="preserve"> </v>
      </c>
      <c r="R68" s="71" t="str">
        <f t="shared" si="40"/>
        <v xml:space="preserve"> </v>
      </c>
      <c r="S68" s="188"/>
      <c r="T68" s="70"/>
      <c r="U68" s="72" t="str">
        <f t="shared" si="2"/>
        <v xml:space="preserve"> </v>
      </c>
      <c r="V68" s="188"/>
      <c r="AN68" s="353"/>
      <c r="AO68" s="353"/>
      <c r="AP68" s="397"/>
      <c r="AQ68" s="353"/>
      <c r="AR68" s="353"/>
      <c r="AS68" s="397"/>
      <c r="AT68" s="353"/>
      <c r="AU68" s="353"/>
      <c r="AV68" s="397"/>
      <c r="AW68" s="353"/>
      <c r="AX68" s="353"/>
      <c r="AY68" s="397"/>
    </row>
    <row r="69" spans="6:51" ht="15" customHeight="1">
      <c r="F69" s="378">
        <f t="shared" ref="F69" si="42">F59+1</f>
        <v>7</v>
      </c>
      <c r="G69" s="378">
        <f>IF(F69&lt;21,IF(VLOOKUP(F69,Скважина!$E$8:$K$27,4,FALSE)&gt;Скважина!$C$8,VLOOKUP('Несущая способность по грунту 1'!F69,Скважина!$E$8:$K$27,2,FALSE),0),0)</f>
        <v>5</v>
      </c>
      <c r="H69" s="388" t="str">
        <f>IF(G69&lt;&gt;0,VLOOKUP('Несущая способность по грунту 1'!G69,Геология!$D$7:$BO$993,7,FALSE)," ")</f>
        <v xml:space="preserve">Супеси твердые   </v>
      </c>
      <c r="I69" s="367">
        <f>IF(G69&lt;&gt;0,VLOOKUP('Несущая способность по грунту 1'!G69, Геология!$D$8:$BM$993, 22,FALSE)," ")</f>
        <v>-0.09</v>
      </c>
      <c r="J69" s="390">
        <f>VLOOKUP(F69,Скважина!$E$8:$K$27,4,FALSE)</f>
        <v>127</v>
      </c>
      <c r="K69" s="373">
        <f>IF(VLOOKUP($F69,Скважина!$E$8:$K$27,5,FALSE)&gt;Скважина!$C$8,VLOOKUP($F69,Скважина!$E$8:$K$27,5,FALSE),Скважина!$C$8)</f>
        <v>126</v>
      </c>
      <c r="L69" s="356">
        <f t="shared" ref="L69" si="43">IF(IF(G69&lt;&gt;0,J69-K69,0)&lt;0,0,IF(G69&lt;&gt;0,J69-K69,0))</f>
        <v>1</v>
      </c>
      <c r="M69" s="392">
        <v>1</v>
      </c>
      <c r="N69" s="264">
        <f>IF(M69&lt;&gt;0,MAX(N$9:N$68)+1," ")</f>
        <v>18</v>
      </c>
      <c r="O69" s="34">
        <f>IF(N69&lt;&gt;" ",L$69/COUNT(N$69:N$78), " ")</f>
        <v>1</v>
      </c>
      <c r="P69" s="34">
        <f>IF(N69&lt;&gt;" ",MAX($P$9:P68)+O69/2," ")</f>
        <v>7.7999999999999972</v>
      </c>
      <c r="Q69" s="34" cm="1">
        <f t="array" ref="Q69">IF(Скважина!$L$14=Служебный!$K$2,IF(O69&lt;&gt;" ",IF('Несущая способность по грунту 1'!P69&gt;1,Interpol(9,14,Служебный!$H$33:$H$46,Служебный!$I$32:$Q$32,Служебный!$I$33:$Q$46,'Несущая способность по грунту 1'!P69,IF($I$69&lt;=0.2,0.2,$I$69)),0)," "),0)</f>
        <v>61.599999999999994</v>
      </c>
      <c r="R69" s="72">
        <f>IF(N69&lt;&gt;" ",O69*Q69," ")</f>
        <v>61.599999999999994</v>
      </c>
      <c r="S69" s="188"/>
      <c r="T69" s="66"/>
      <c r="U69" s="72">
        <f t="shared" si="2"/>
        <v>0</v>
      </c>
      <c r="V69" s="188"/>
      <c r="X69" s="159" t="s">
        <v>156</v>
      </c>
      <c r="Y69" s="160"/>
      <c r="Z69" s="161" t="s">
        <v>155</v>
      </c>
      <c r="AA69" s="162"/>
      <c r="AC69" s="283" t="s">
        <v>213</v>
      </c>
      <c r="AD69" s="284"/>
      <c r="AN69" s="353">
        <f>IF(OR(G69=0,F69&gt;20)," ",VLOOKUP('Несущая способность по грунту 1'!G69,Геология!$D$7:$BO$993,23,FALSE))</f>
        <v>19.611999999999998</v>
      </c>
      <c r="AO69" s="353">
        <f t="shared" ref="AO69" si="44">IF(AN69&lt;&gt;" ",AN69*L69," ")</f>
        <v>19.611999999999998</v>
      </c>
      <c r="AP69" s="397"/>
      <c r="AQ69" s="353">
        <f>IF(G69&lt;&gt;0,VLOOKUP('Несущая способность по грунту 1'!G69,Геология!$D$7:$BO$993,24,FALSE)," ")</f>
        <v>0.3</v>
      </c>
      <c r="AR69" s="353">
        <f t="shared" ref="AR69" si="45">IF(AQ69&lt;&gt;" ",AQ69*L69," ")</f>
        <v>0.3</v>
      </c>
      <c r="AS69" s="397"/>
      <c r="AT69" s="353">
        <f>IF(G69&lt;&gt;0,VLOOKUP('Несущая способность по грунту 1'!G69,Геология!$D$7:$BO$993,21,FALSE)," ")</f>
        <v>21</v>
      </c>
      <c r="AU69" s="353">
        <f t="shared" ref="AU69" si="46">IF(G69&lt;&gt;0,AT69*L69," ")</f>
        <v>21</v>
      </c>
      <c r="AV69" s="397"/>
      <c r="AW69" s="353">
        <f>IF(G69&lt;&gt;0,VLOOKUP('Несущая способность по грунту 1'!G69,Геология!$D$7:$BO$993,27,FALSE)," ")</f>
        <v>8.0769230769230766</v>
      </c>
      <c r="AX69" s="353">
        <f t="shared" ref="AX69" si="47">IF(G69&lt;&gt;0,AW69*L69," ")</f>
        <v>8.0769230769230766</v>
      </c>
      <c r="AY69" s="397"/>
    </row>
    <row r="70" spans="6:51">
      <c r="F70" s="361"/>
      <c r="G70" s="361"/>
      <c r="H70" s="364"/>
      <c r="I70" s="367"/>
      <c r="J70" s="370"/>
      <c r="K70" s="373"/>
      <c r="L70" s="356"/>
      <c r="M70" s="376"/>
      <c r="N70" s="257" t="str">
        <f>IF(N69=" "," ", IF(N69&lt;SUM(M$9:M$78),N69+1, " "))</f>
        <v xml:space="preserve"> </v>
      </c>
      <c r="O70" s="28" t="str">
        <f t="shared" ref="O70:O78" si="48">IF(N70&lt;&gt;" ",L$69/COUNT(N$69:N$78), " ")</f>
        <v xml:space="preserve"> </v>
      </c>
      <c r="P70" s="28" t="str">
        <f>IF(N70&lt;&gt;" ",MAX($P$9:P69)+O70/2," ")</f>
        <v xml:space="preserve"> </v>
      </c>
      <c r="Q70" s="28" t="str" cm="1">
        <f t="array" ref="Q70">IF(Скважина!$L$14=Служебный!$K$2,IF(O70&lt;&gt;" ",IF('Несущая способность по грунту 1'!P70&gt;1,Interpol(9,14,Служебный!$H$33:$H$46,Служебный!$I$32:$Q$32,Служебный!$I$33:$Q$46,'Несущая способность по грунту 1'!P70,IF($I$69&lt;=0.2,0.2,$I$69)),0)," "),0)</f>
        <v xml:space="preserve"> </v>
      </c>
      <c r="R70" s="68" t="str">
        <f t="shared" ref="R70:R78" si="49">IF(N70&lt;&gt;" ",O70*Q70," ")</f>
        <v xml:space="preserve"> </v>
      </c>
      <c r="S70" s="188"/>
      <c r="T70" s="28"/>
      <c r="U70" s="72" t="str">
        <f t="shared" si="2"/>
        <v xml:space="preserve"> </v>
      </c>
      <c r="V70" s="188"/>
      <c r="X70" s="163" t="s">
        <v>39</v>
      </c>
      <c r="Y70" s="47">
        <v>0.2</v>
      </c>
      <c r="Z70" s="142">
        <f>IF(I69&lt;=0.2,0.2,I69)</f>
        <v>0.2</v>
      </c>
      <c r="AA70" s="151">
        <v>0.3</v>
      </c>
      <c r="AC70" s="262" t="s">
        <v>39</v>
      </c>
      <c r="AD70" s="165" t="s">
        <v>214</v>
      </c>
      <c r="AN70" s="353"/>
      <c r="AO70" s="353"/>
      <c r="AP70" s="397"/>
      <c r="AQ70" s="353"/>
      <c r="AR70" s="353"/>
      <c r="AS70" s="397"/>
      <c r="AT70" s="353"/>
      <c r="AU70" s="353"/>
      <c r="AV70" s="397"/>
      <c r="AW70" s="353"/>
      <c r="AX70" s="353"/>
      <c r="AY70" s="397"/>
    </row>
    <row r="71" spans="6:51" ht="15.75" thickBot="1">
      <c r="F71" s="361"/>
      <c r="G71" s="361"/>
      <c r="H71" s="364"/>
      <c r="I71" s="367"/>
      <c r="J71" s="370"/>
      <c r="K71" s="373"/>
      <c r="L71" s="356"/>
      <c r="M71" s="376"/>
      <c r="N71" s="257" t="str">
        <f t="shared" ref="N71:N78" si="50">IF(N70=" "," ", IF(N70&lt;SUM(M$9:M$78),N70+1, " "))</f>
        <v xml:space="preserve"> </v>
      </c>
      <c r="O71" s="28" t="str">
        <f t="shared" si="48"/>
        <v xml:space="preserve"> </v>
      </c>
      <c r="P71" s="28" t="str">
        <f>IF(N71&lt;&gt;" ",MAX($P$9:P70)+O71/2," ")</f>
        <v xml:space="preserve"> </v>
      </c>
      <c r="Q71" s="28" t="str" cm="1">
        <f t="array" ref="Q71">IF(Скважина!$L$14=Служебный!$K$2,IF(O71&lt;&gt;" ",IF('Несущая способность по грунту 1'!P71&gt;1,Interpol(9,14,Служебный!$H$33:$H$46,Служебный!$I$32:$Q$32,Служебный!$I$33:$Q$46,'Несущая способность по грунту 1'!P71,IF($I$69&lt;=0.2,0.2,$I$69)),0)," "),0)</f>
        <v xml:space="preserve"> </v>
      </c>
      <c r="R71" s="68" t="str">
        <f t="shared" si="49"/>
        <v xml:space="preserve"> </v>
      </c>
      <c r="S71" s="188"/>
      <c r="T71" s="28"/>
      <c r="U71" s="72" t="str">
        <f t="shared" si="2"/>
        <v xml:space="preserve"> </v>
      </c>
      <c r="V71" s="188"/>
      <c r="X71" s="164">
        <v>4</v>
      </c>
      <c r="Y71" s="109">
        <f>IF(Y70=0.2,VLOOKUP(X71,Служебный!$H$33:$Q$46,2,FALSE),IF(Y70=0.3,VLOOKUP(X71,Служебный!$H$33:$Q$46,3,FALSE),IF(Y70=0.4,VLOOKUP(X71,Служебный!$H$33:$Q$46,4,FALSE),IF(Y70=0.5,VLOOKUP(X71,Служебный!$H$33:$Q$46,5,FALSE),IF(Y70=0.6,VLOOKUP(X71,Служебный!$H$33:$Q$46,6,FALSE),IF(Y70=0.7,VLOOKUP(X71,Служебный!$H$33:$Q$46,7,FALSE),IF(Y70=0.8,VLOOKUP(X71,Служебный!$H$33:$Q$46,8,FALSE),IF(Y70=0.9,VLOOKUP(X71,Служебный!$H$33:$Q$46,9,FALSE),IF(Y70=1,VLOOKUP(X71,Служебный!$H$33:$Q$46,10,FALSE),0)))))))))</f>
        <v>53</v>
      </c>
      <c r="Z71" s="79">
        <f>(AA71-Y71)/(AA70-Y70)*(Z70-Y70)+Y71</f>
        <v>53</v>
      </c>
      <c r="AA71" s="165">
        <f>IF(AA70=0.2,VLOOKUP(X71,Служебный!$H$33:$Q$46,2,FALSE),IF(AA70=0.3,VLOOKUP(X71,Служебный!$H$33:$Q$46,3,FALSE),IF(AA70=0.4,VLOOKUP(X71,Служебный!$H$33:$Q$46,4,FALSE),IF(AA70=0.5,VLOOKUP(X71,Служебный!$H$33:$Q$46,5,FALSE),IF(AA70=0.6,VLOOKUP(X71,Служебный!$H$33:$Q$46,6,FALSE),IF(AA70=0.7,VLOOKUP(X71,Служебный!$H$33:$Q$46,7,FALSE),IF(AA70=0.8,VLOOKUP(X71,Служебный!$H$33:$Q$46,8,FALSE),IF(AA70=0.9,VLOOKUP(X71,Служебный!$H$33:$Q$46,9,FALSE),IF(AA70=1,VLOOKUP(X71,Служебный!$H$33:$Q$46,10,FALSE),0)))))))))</f>
        <v>38</v>
      </c>
      <c r="AC71" s="164">
        <v>6</v>
      </c>
      <c r="AD71" s="151">
        <v>55</v>
      </c>
      <c r="AN71" s="353"/>
      <c r="AO71" s="353"/>
      <c r="AP71" s="397"/>
      <c r="AQ71" s="353"/>
      <c r="AR71" s="353"/>
      <c r="AS71" s="397"/>
      <c r="AT71" s="353"/>
      <c r="AU71" s="353"/>
      <c r="AV71" s="397"/>
      <c r="AW71" s="353"/>
      <c r="AX71" s="353"/>
      <c r="AY71" s="397"/>
    </row>
    <row r="72" spans="6:51" ht="15.75" thickBot="1">
      <c r="F72" s="361"/>
      <c r="G72" s="361"/>
      <c r="H72" s="364"/>
      <c r="I72" s="367"/>
      <c r="J72" s="370"/>
      <c r="K72" s="373"/>
      <c r="L72" s="356"/>
      <c r="M72" s="376"/>
      <c r="N72" s="257" t="str">
        <f t="shared" si="50"/>
        <v xml:space="preserve"> </v>
      </c>
      <c r="O72" s="28" t="str">
        <f t="shared" si="48"/>
        <v xml:space="preserve"> </v>
      </c>
      <c r="P72" s="28" t="str">
        <f>IF(N72&lt;&gt;" ",MAX($P$9:P71)+O72/2," ")</f>
        <v xml:space="preserve"> </v>
      </c>
      <c r="Q72" s="28" t="str" cm="1">
        <f t="array" ref="Q72">IF(Скважина!$L$14=Служебный!$K$2,IF(O72&lt;&gt;" ",IF('Несущая способность по грунту 1'!P72&gt;1,Interpol(9,14,Служебный!$H$33:$H$46,Служебный!$I$32:$Q$32,Служебный!$I$33:$Q$46,'Несущая способность по грунту 1'!P72,IF($I$69&lt;=0.2,0.2,$I$69)),0)," "),0)</f>
        <v xml:space="preserve"> </v>
      </c>
      <c r="R72" s="68" t="str">
        <f t="shared" si="49"/>
        <v xml:space="preserve"> </v>
      </c>
      <c r="S72" s="188"/>
      <c r="T72" s="28"/>
      <c r="U72" s="72" t="str">
        <f t="shared" si="2"/>
        <v xml:space="preserve"> </v>
      </c>
      <c r="V72" s="188"/>
      <c r="X72" s="164">
        <v>4.75</v>
      </c>
      <c r="Y72" s="78"/>
      <c r="Z72" s="77">
        <f>(Z73-Z71)/(X73-X71)*(X72-X71)+Z71</f>
        <v>55.25</v>
      </c>
      <c r="AA72" s="166"/>
      <c r="AC72" s="164">
        <v>7</v>
      </c>
      <c r="AD72" s="285">
        <f>(AD73-AD71)/(AC73-AC71)*(AC72-AC71)+AD71</f>
        <v>56.5</v>
      </c>
      <c r="AN72" s="353"/>
      <c r="AO72" s="353"/>
      <c r="AP72" s="397"/>
      <c r="AQ72" s="353"/>
      <c r="AR72" s="353"/>
      <c r="AS72" s="397"/>
      <c r="AT72" s="353"/>
      <c r="AU72" s="353"/>
      <c r="AV72" s="397"/>
      <c r="AW72" s="353"/>
      <c r="AX72" s="353"/>
      <c r="AY72" s="397"/>
    </row>
    <row r="73" spans="6:51" ht="15.75" thickBot="1">
      <c r="F73" s="361"/>
      <c r="G73" s="361"/>
      <c r="H73" s="364"/>
      <c r="I73" s="367"/>
      <c r="J73" s="370"/>
      <c r="K73" s="373"/>
      <c r="L73" s="356"/>
      <c r="M73" s="376"/>
      <c r="N73" s="257" t="str">
        <f t="shared" si="50"/>
        <v xml:space="preserve"> </v>
      </c>
      <c r="O73" s="28" t="str">
        <f t="shared" si="48"/>
        <v xml:space="preserve"> </v>
      </c>
      <c r="P73" s="28" t="str">
        <f>IF(N73&lt;&gt;" ",MAX($P$9:P72)+O73/2," ")</f>
        <v xml:space="preserve"> </v>
      </c>
      <c r="Q73" s="28" t="str" cm="1">
        <f t="array" ref="Q73">IF(Скважина!$L$14=Служебный!$K$2,IF(O73&lt;&gt;" ",IF('Несущая способность по грунту 1'!P73&gt;1,Interpol(9,14,Служебный!$H$33:$H$46,Служебный!$I$32:$Q$32,Служебный!$I$33:$Q$46,'Несущая способность по грунту 1'!P73,IF($I$69&lt;=0.2,0.2,$I$69)),0)," "),0)</f>
        <v xml:space="preserve"> </v>
      </c>
      <c r="R73" s="68" t="str">
        <f t="shared" si="49"/>
        <v xml:space="preserve"> </v>
      </c>
      <c r="S73" s="188"/>
      <c r="T73" s="28"/>
      <c r="U73" s="72" t="str">
        <f t="shared" si="2"/>
        <v xml:space="preserve"> </v>
      </c>
      <c r="V73" s="188"/>
      <c r="X73" s="167">
        <v>5</v>
      </c>
      <c r="Y73" s="168">
        <f>IF(Y70=0.2,VLOOKUP(X73,Служебный!$H$33:$Q$46,2,FALSE),IF(Y70=0.3,VLOOKUP(X73,Служебный!$H$33:$Q$46,3,FALSE),IF(Y70=0.4,VLOOKUP(X73,Служебный!$H$33:$Q$46,4,FALSE),IF(Y70=0.5,VLOOKUP(X73,Служебный!$H$33:$Q$46,5,FALSE),IF(Y70=0.6,VLOOKUP(X73,Служебный!$H$33:$Q$46,6,FALSE),IF(Y70=0.7,VLOOKUP(X73,Служебный!$H$33:$Q$46,7,FALSE),IF(Y70=0.8,VLOOKUP(X73,Служебный!$H$33:$Q$46,8,FALSE),IF(Y70=0.9,VLOOKUP(X73,Служебный!$H$33:$Q$46,9,FALSE),IF(Y70=1,VLOOKUP(X73,Служебный!$H$33:$Q$46,10,FALSE),0)))))))))</f>
        <v>56</v>
      </c>
      <c r="Z73" s="169">
        <f>(AA73-Y73)/(AA70-Y70)*(Z70-Y70)+Y73</f>
        <v>56</v>
      </c>
      <c r="AA73" s="170">
        <f>IF(AA70=0.2,VLOOKUP(X73,Служебный!$H$33:$Q$46,2,FALSE),IF(AA70=0.3,VLOOKUP(X73,Служебный!$H$33:$Q$46,3,FALSE),IF(AA70=0.4,VLOOKUP(X73,Служебный!$H$33:$Q$46,4,FALSE),IF(AA70=0.5,VLOOKUP(X73,Служебный!$H$33:$Q$46,5,FALSE),IF(AA70=0.6,VLOOKUP(X73,Служебный!$H$33:$Q$46,6,FALSE),IF(AA70=0.7,VLOOKUP(X73,Служебный!$H$33:$Q$46,7,FALSE),IF(AA70=0.8,VLOOKUP(X73,Служебный!$H$33:$Q$46,8,FALSE),IF(AA70=0.9,VLOOKUP(X73,Служебный!$H$33:$Q$46,9,FALSE),IF(AA70=1,VLOOKUP(X73,Служебный!$H$33:$Q$46,10,FALSE),0)))))))))</f>
        <v>40</v>
      </c>
      <c r="AC73" s="167">
        <v>8</v>
      </c>
      <c r="AD73" s="155">
        <v>58</v>
      </c>
      <c r="AN73" s="353"/>
      <c r="AO73" s="353"/>
      <c r="AP73" s="397"/>
      <c r="AQ73" s="353"/>
      <c r="AR73" s="353"/>
      <c r="AS73" s="397"/>
      <c r="AT73" s="353"/>
      <c r="AU73" s="353"/>
      <c r="AV73" s="397"/>
      <c r="AW73" s="353"/>
      <c r="AX73" s="353"/>
      <c r="AY73" s="397"/>
    </row>
    <row r="74" spans="6:51">
      <c r="F74" s="361"/>
      <c r="G74" s="361"/>
      <c r="H74" s="364"/>
      <c r="I74" s="367"/>
      <c r="J74" s="370"/>
      <c r="K74" s="373"/>
      <c r="L74" s="356"/>
      <c r="M74" s="376"/>
      <c r="N74" s="257" t="str">
        <f t="shared" si="50"/>
        <v xml:space="preserve"> </v>
      </c>
      <c r="O74" s="28" t="str">
        <f t="shared" si="48"/>
        <v xml:space="preserve"> </v>
      </c>
      <c r="P74" s="28" t="str">
        <f>IF(N74&lt;&gt;" ",MAX($P$9:P73)+O74/2," ")</f>
        <v xml:space="preserve"> </v>
      </c>
      <c r="Q74" s="28" t="str" cm="1">
        <f t="array" ref="Q74">IF(Скважина!$L$14=Служебный!$K$2,IF(O74&lt;&gt;" ",IF('Несущая способность по грунту 1'!P74&gt;1,Interpol(9,14,Служебный!$H$33:$H$46,Служебный!$I$32:$Q$32,Служебный!$I$33:$Q$46,'Несущая способность по грунту 1'!P74,IF($I$69&lt;=0.2,0.2,$I$69)),0)," "),0)</f>
        <v xml:space="preserve"> </v>
      </c>
      <c r="R74" s="68" t="str">
        <f t="shared" si="49"/>
        <v xml:space="preserve"> </v>
      </c>
      <c r="S74" s="188"/>
      <c r="T74" s="28"/>
      <c r="U74" s="72" t="str">
        <f t="shared" ref="U74:U88" si="51">IF(N74&lt;&gt;" ",O74*T74," ")</f>
        <v xml:space="preserve"> </v>
      </c>
      <c r="V74" s="188"/>
      <c r="X74" t="str">
        <f>H69</f>
        <v xml:space="preserve">Супеси твердые   </v>
      </c>
      <c r="AN74" s="353"/>
      <c r="AO74" s="353"/>
      <c r="AP74" s="397"/>
      <c r="AQ74" s="353"/>
      <c r="AR74" s="353"/>
      <c r="AS74" s="397"/>
      <c r="AT74" s="353"/>
      <c r="AU74" s="353"/>
      <c r="AV74" s="397"/>
      <c r="AW74" s="353"/>
      <c r="AX74" s="353"/>
      <c r="AY74" s="397"/>
    </row>
    <row r="75" spans="6:51">
      <c r="F75" s="361"/>
      <c r="G75" s="361"/>
      <c r="H75" s="364"/>
      <c r="I75" s="367"/>
      <c r="J75" s="370"/>
      <c r="K75" s="373"/>
      <c r="L75" s="356"/>
      <c r="M75" s="376"/>
      <c r="N75" s="257" t="str">
        <f t="shared" si="50"/>
        <v xml:space="preserve"> </v>
      </c>
      <c r="O75" s="28" t="str">
        <f t="shared" si="48"/>
        <v xml:space="preserve"> </v>
      </c>
      <c r="P75" s="28" t="str">
        <f>IF(N75&lt;&gt;" ",MAX($P$9:P74)+O75/2," ")</f>
        <v xml:space="preserve"> </v>
      </c>
      <c r="Q75" s="28" t="str" cm="1">
        <f t="array" ref="Q75">IF(Скважина!$L$14=Служебный!$K$2,IF(O75&lt;&gt;" ",IF('Несущая способность по грунту 1'!P75&gt;1,Interpol(9,14,Служебный!$H$33:$H$46,Служебный!$I$32:$Q$32,Служебный!$I$33:$Q$46,'Несущая способность по грунту 1'!P75,IF($I$69&lt;=0.2,0.2,$I$69)),0)," "),0)</f>
        <v xml:space="preserve"> </v>
      </c>
      <c r="R75" s="68" t="str">
        <f t="shared" si="49"/>
        <v xml:space="preserve"> </v>
      </c>
      <c r="S75" s="188"/>
      <c r="T75" s="28"/>
      <c r="U75" s="72" t="str">
        <f t="shared" si="51"/>
        <v xml:space="preserve"> </v>
      </c>
      <c r="V75" s="188"/>
      <c r="AN75" s="353"/>
      <c r="AO75" s="353"/>
      <c r="AP75" s="397"/>
      <c r="AQ75" s="353"/>
      <c r="AR75" s="353"/>
      <c r="AS75" s="397"/>
      <c r="AT75" s="353"/>
      <c r="AU75" s="353"/>
      <c r="AV75" s="397"/>
      <c r="AW75" s="353"/>
      <c r="AX75" s="353"/>
      <c r="AY75" s="397"/>
    </row>
    <row r="76" spans="6:51">
      <c r="F76" s="361"/>
      <c r="G76" s="361"/>
      <c r="H76" s="364"/>
      <c r="I76" s="367"/>
      <c r="J76" s="370"/>
      <c r="K76" s="373"/>
      <c r="L76" s="356"/>
      <c r="M76" s="376"/>
      <c r="N76" s="257" t="str">
        <f t="shared" si="50"/>
        <v xml:space="preserve"> </v>
      </c>
      <c r="O76" s="28" t="str">
        <f t="shared" si="48"/>
        <v xml:space="preserve"> </v>
      </c>
      <c r="P76" s="28" t="str">
        <f>IF(N76&lt;&gt;" ",MAX($P$9:P75)+O76/2," ")</f>
        <v xml:space="preserve"> </v>
      </c>
      <c r="Q76" s="28" t="str" cm="1">
        <f t="array" ref="Q76">IF(Скважина!$L$14=Служебный!$K$2,IF(O76&lt;&gt;" ",IF('Несущая способность по грунту 1'!P76&gt;1,Interpol(9,14,Служебный!$H$33:$H$46,Служебный!$I$32:$Q$32,Служебный!$I$33:$Q$46,'Несущая способность по грунту 1'!P76,IF($I$69&lt;=0.2,0.2,$I$69)),0)," "),0)</f>
        <v xml:space="preserve"> </v>
      </c>
      <c r="R76" s="68" t="str">
        <f t="shared" si="49"/>
        <v xml:space="preserve"> </v>
      </c>
      <c r="S76" s="188"/>
      <c r="T76" s="28"/>
      <c r="U76" s="72" t="str">
        <f t="shared" si="51"/>
        <v xml:space="preserve"> </v>
      </c>
      <c r="V76" s="188"/>
      <c r="AN76" s="353"/>
      <c r="AO76" s="353"/>
      <c r="AP76" s="397"/>
      <c r="AQ76" s="353"/>
      <c r="AR76" s="353"/>
      <c r="AS76" s="397"/>
      <c r="AT76" s="353"/>
      <c r="AU76" s="353"/>
      <c r="AV76" s="397"/>
      <c r="AW76" s="353"/>
      <c r="AX76" s="353"/>
      <c r="AY76" s="397"/>
    </row>
    <row r="77" spans="6:51">
      <c r="F77" s="361"/>
      <c r="G77" s="361"/>
      <c r="H77" s="364"/>
      <c r="I77" s="367"/>
      <c r="J77" s="370"/>
      <c r="K77" s="373"/>
      <c r="L77" s="356"/>
      <c r="M77" s="376"/>
      <c r="N77" s="257" t="str">
        <f t="shared" si="50"/>
        <v xml:space="preserve"> </v>
      </c>
      <c r="O77" s="28" t="str">
        <f t="shared" si="48"/>
        <v xml:space="preserve"> </v>
      </c>
      <c r="P77" s="28" t="str">
        <f>IF(N77&lt;&gt;" ",MAX($P$9:P76)+O77/2," ")</f>
        <v xml:space="preserve"> </v>
      </c>
      <c r="Q77" s="28" t="str" cm="1">
        <f t="array" ref="Q77">IF(Скважина!$L$14=Служебный!$K$2,IF(O77&lt;&gt;" ",IF('Несущая способность по грунту 1'!P77&gt;1,Interpol(9,14,Служебный!$H$33:$H$46,Служебный!$I$32:$Q$32,Служебный!$I$33:$Q$46,'Несущая способность по грунту 1'!P77,IF($I$69&lt;=0.2,0.2,$I$69)),0)," "),0)</f>
        <v xml:space="preserve"> </v>
      </c>
      <c r="R77" s="68" t="str">
        <f t="shared" si="49"/>
        <v xml:space="preserve"> </v>
      </c>
      <c r="S77" s="188"/>
      <c r="T77" s="28"/>
      <c r="U77" s="72" t="str">
        <f t="shared" si="51"/>
        <v xml:space="preserve"> </v>
      </c>
      <c r="V77" s="188"/>
      <c r="AN77" s="353"/>
      <c r="AO77" s="353"/>
      <c r="AP77" s="397"/>
      <c r="AQ77" s="353"/>
      <c r="AR77" s="353"/>
      <c r="AS77" s="397"/>
      <c r="AT77" s="353"/>
      <c r="AU77" s="353"/>
      <c r="AV77" s="397"/>
      <c r="AW77" s="353"/>
      <c r="AX77" s="353"/>
      <c r="AY77" s="397"/>
    </row>
    <row r="78" spans="6:51" ht="15.75" thickBot="1">
      <c r="F78" s="379"/>
      <c r="G78" s="379"/>
      <c r="H78" s="389"/>
      <c r="I78" s="367"/>
      <c r="J78" s="391"/>
      <c r="K78" s="373"/>
      <c r="L78" s="356"/>
      <c r="M78" s="393"/>
      <c r="N78" s="266" t="str">
        <f t="shared" si="50"/>
        <v xml:space="preserve"> </v>
      </c>
      <c r="O78" s="190" t="str">
        <f t="shared" si="48"/>
        <v xml:space="preserve"> </v>
      </c>
      <c r="P78" s="190" t="str">
        <f>IF(N78&lt;&gt;" ",MAX($P$9:P77)+O78/2," ")</f>
        <v xml:space="preserve"> </v>
      </c>
      <c r="Q78" s="190" t="str" cm="1">
        <f t="array" ref="Q78">IF(Скважина!$L$14=Служебный!$K$2,IF(O78&lt;&gt;" ",IF('Несущая способность по грунту 1'!P78&gt;1,Interpol(9,14,Служебный!$H$33:$H$46,Служебный!$I$32:$Q$32,Служебный!$I$33:$Q$46,'Несущая способность по грунту 1'!P78,IF($I$69&lt;=0.2,0.2,$I$69)),0)," "),0)</f>
        <v xml:space="preserve"> </v>
      </c>
      <c r="R78" s="280" t="str">
        <f t="shared" si="49"/>
        <v xml:space="preserve"> </v>
      </c>
      <c r="S78" s="188"/>
      <c r="T78" s="70"/>
      <c r="U78" s="72" t="str">
        <f t="shared" si="51"/>
        <v xml:space="preserve"> </v>
      </c>
      <c r="V78" s="188"/>
      <c r="AN78" s="353"/>
      <c r="AO78" s="353"/>
      <c r="AP78" s="397"/>
      <c r="AQ78" s="353"/>
      <c r="AR78" s="353"/>
      <c r="AS78" s="397"/>
      <c r="AT78" s="353"/>
      <c r="AU78" s="353"/>
      <c r="AV78" s="397"/>
      <c r="AW78" s="353"/>
      <c r="AX78" s="353"/>
      <c r="AY78" s="397"/>
    </row>
    <row r="79" spans="6:51" ht="15" customHeight="1">
      <c r="F79" s="360">
        <f t="shared" ref="F79" si="52">F69+1</f>
        <v>8</v>
      </c>
      <c r="G79" s="360" t="str">
        <f>IF(F79&lt;21,IF(VLOOKUP(F79,Скважина!$E$8:$K$27,4,FALSE)&gt;Скважина!$C$8,VLOOKUP('Несущая способность по грунту 1'!F79,Скважина!$E$8:$K$27,2,FALSE),0),0)</f>
        <v>3а</v>
      </c>
      <c r="H79" s="363" t="str">
        <f>IF(G79&lt;&gt;0,VLOOKUP('Несущая способность по грунту 1'!G79,Геология!$D$7:$BO$993,7,FALSE)," ")</f>
        <v xml:space="preserve">Пески крупные водонасыщенные рыхлые </v>
      </c>
      <c r="I79" s="366">
        <f>IF(G79&lt;&gt;0,VLOOKUP('Несущая способность по грунту 1'!G79, Геология!$D$8:$BM$993, 22,FALSE)," ")</f>
        <v>0</v>
      </c>
      <c r="J79" s="369">
        <f>VLOOKUP(F79,Скважина!$E$8:$K$27,4,FALSE)</f>
        <v>126</v>
      </c>
      <c r="K79" s="372">
        <f>IF(VLOOKUP($F79,Скважина!$E$8:$K$27,5,FALSE)&gt;Скважина!$C$8,VLOOKUP($F79,Скважина!$E$8:$K$27,5,FALSE),Скважина!$C$8)</f>
        <v>125</v>
      </c>
      <c r="L79" s="355">
        <f t="shared" ref="L79" si="53">IF(IF(G79&lt;&gt;0,J79-K79,0)&lt;0,0,IF(G79&lt;&gt;0,J79-K79,0))</f>
        <v>1</v>
      </c>
      <c r="M79" s="375">
        <v>2</v>
      </c>
      <c r="N79" s="275">
        <f>IF(M79&lt;&gt;0,MAX(N$9:N$78)+1," ")</f>
        <v>19</v>
      </c>
      <c r="O79" s="66">
        <f>IF(N79&lt;&gt;" ",L$79/COUNT(N$79:N$88), " ")</f>
        <v>0.5</v>
      </c>
      <c r="P79" s="66">
        <f>IF(N79&lt;&gt;" ",MAX($P$9:P78)+O79/2," ")</f>
        <v>8.0499999999999972</v>
      </c>
      <c r="Q79" s="66" cm="1">
        <f t="array" ref="Q79">IF(Скважина!$L$15=Служебный!$K$2,IF(O79&lt;&gt;" ",IF('Несущая способность по грунту 1'!P79&gt;1,Interpol(9,14,Служебный!$H$33:$H$46,Служебный!$I$32:$Q$32,Служебный!$I$33:$Q$46,'Несущая способность по грунту 1'!P79,IF($I$79&lt;=0.2,0.2,$I$79)),0)," "),0)</f>
        <v>62.074999999999996</v>
      </c>
      <c r="R79" s="67">
        <f>IF(N79&lt;&gt;" ",O79*Q79," ")</f>
        <v>31.037499999999998</v>
      </c>
      <c r="S79" s="188"/>
      <c r="T79" s="66"/>
      <c r="U79" s="72">
        <f t="shared" si="51"/>
        <v>0</v>
      </c>
      <c r="V79" s="188"/>
      <c r="X79" s="159" t="s">
        <v>156</v>
      </c>
      <c r="Y79" s="160"/>
      <c r="Z79" s="161" t="s">
        <v>155</v>
      </c>
      <c r="AA79" s="162"/>
      <c r="AC79" s="283" t="s">
        <v>213</v>
      </c>
      <c r="AD79" s="284"/>
      <c r="AN79" s="353">
        <f>IF(OR(G79=0,F79&gt;20)," ",VLOOKUP('Несущая способность по грунту 1'!G79,Геология!$D$7:$BO$993,23,FALSE))</f>
        <v>8.5312199999999994</v>
      </c>
      <c r="AO79" s="353">
        <f t="shared" ref="AO79" si="54">IF(AN79&lt;&gt;" ",AN79*L79," ")</f>
        <v>8.5312199999999994</v>
      </c>
      <c r="AP79" s="397"/>
      <c r="AQ79" s="353">
        <f>IF(G79&lt;&gt;0,VLOOKUP('Несущая способность по грунту 1'!G79,Геология!$D$7:$BO$993,24,FALSE)," ")</f>
        <v>0.35</v>
      </c>
      <c r="AR79" s="353">
        <f t="shared" ref="AR79" si="55">IF(AQ79&lt;&gt;" ",AQ79*L79," ")</f>
        <v>0.35</v>
      </c>
      <c r="AS79" s="397"/>
      <c r="AT79" s="353">
        <f>IF(G79&lt;&gt;0,VLOOKUP('Несущая способность по грунту 1'!G79,Геология!$D$7:$BO$993,21,FALSE)," ")</f>
        <v>17.8</v>
      </c>
      <c r="AU79" s="353">
        <f t="shared" ref="AU79" si="56">IF(G79&lt;&gt;0,AT79*L79," ")</f>
        <v>17.8</v>
      </c>
      <c r="AV79" s="397"/>
      <c r="AW79" s="353">
        <f>IF(G79&lt;&gt;0,VLOOKUP('Несущая способность по грунту 1'!G79,Геология!$D$7:$BO$993,27,FALSE)," ")</f>
        <v>6.5925925925925926</v>
      </c>
      <c r="AX79" s="353">
        <f t="shared" ref="AX79" si="57">IF(G79&lt;&gt;0,AW79*L79," ")</f>
        <v>6.5925925925925926</v>
      </c>
      <c r="AY79" s="397"/>
    </row>
    <row r="80" spans="6:51">
      <c r="F80" s="361"/>
      <c r="G80" s="361"/>
      <c r="H80" s="364"/>
      <c r="I80" s="367"/>
      <c r="J80" s="370"/>
      <c r="K80" s="373"/>
      <c r="L80" s="356"/>
      <c r="M80" s="376"/>
      <c r="N80" s="267">
        <f>IF(N79=" "," ", IF(N79&lt;SUM(M$9:M$88),N79+1, " "))</f>
        <v>20</v>
      </c>
      <c r="O80" s="28">
        <f t="shared" ref="O80:O89" si="58">IF(N80&lt;&gt;" ",L$79/COUNT(N$79:N$88), " ")</f>
        <v>0.5</v>
      </c>
      <c r="P80" s="28">
        <f>IF(N80&lt;&gt;" ",MAX($P$9:P79)+O80/2," ")</f>
        <v>8.2999999999999972</v>
      </c>
      <c r="Q80" s="28" cm="1">
        <f t="array" ref="Q80">IF(Скважина!$L$15=Служебный!$K$2,IF(O80&lt;&gt;" ",IF('Несущая способность по грунту 1'!P80&gt;1,Interpol(9,14,Служебный!$H$33:$H$46,Служебный!$I$32:$Q$32,Служебный!$I$33:$Q$46,'Несущая способность по грунту 1'!P80,IF($I$79&lt;=0.2,0.2,$I$79)),0)," "),0)</f>
        <v>62.449999999999996</v>
      </c>
      <c r="R80" s="68">
        <f t="shared" ref="R80:R89" si="59">IF(N80&lt;&gt;" ",O80*Q80," ")</f>
        <v>31.224999999999998</v>
      </c>
      <c r="S80" s="188"/>
      <c r="T80" s="28"/>
      <c r="U80" s="72">
        <f t="shared" si="51"/>
        <v>0</v>
      </c>
      <c r="V80" s="188"/>
      <c r="X80" s="163" t="s">
        <v>39</v>
      </c>
      <c r="Y80" s="47">
        <v>0.2</v>
      </c>
      <c r="Z80" s="142">
        <f>IF(I79&lt;=0.2,0.2,I79)</f>
        <v>0.2</v>
      </c>
      <c r="AA80" s="151">
        <v>0.3</v>
      </c>
      <c r="AC80" s="262" t="s">
        <v>39</v>
      </c>
      <c r="AD80" s="165" t="s">
        <v>214</v>
      </c>
      <c r="AN80" s="353"/>
      <c r="AO80" s="353"/>
      <c r="AP80" s="397"/>
      <c r="AQ80" s="353"/>
      <c r="AR80" s="353"/>
      <c r="AS80" s="397"/>
      <c r="AT80" s="353"/>
      <c r="AU80" s="353"/>
      <c r="AV80" s="397"/>
      <c r="AW80" s="353"/>
      <c r="AX80" s="353"/>
      <c r="AY80" s="397"/>
    </row>
    <row r="81" spans="6:51" ht="15.75" thickBot="1">
      <c r="F81" s="361"/>
      <c r="G81" s="361"/>
      <c r="H81" s="364"/>
      <c r="I81" s="367"/>
      <c r="J81" s="370"/>
      <c r="K81" s="373"/>
      <c r="L81" s="356"/>
      <c r="M81" s="376"/>
      <c r="N81" s="267" t="str">
        <f t="shared" ref="N81:N88" si="60">IF(N80=" "," ", IF(N80&lt;SUM(M$9:M$88),N80+1, " "))</f>
        <v xml:space="preserve"> </v>
      </c>
      <c r="O81" s="28" t="str">
        <f t="shared" si="58"/>
        <v xml:space="preserve"> </v>
      </c>
      <c r="P81" s="28" t="str">
        <f>IF(N81&lt;&gt;" ",MAX($P$9:P80)+O81/2," ")</f>
        <v xml:space="preserve"> </v>
      </c>
      <c r="Q81" s="28" t="str" cm="1">
        <f t="array" ref="Q81">IF(Скважина!$L$15=Служебный!$K$2,IF(O81&lt;&gt;" ",IF('Несущая способность по грунту 1'!P81&gt;1,Interpol(9,14,Служебный!$H$33:$H$46,Служебный!$I$32:$Q$32,Служебный!$I$33:$Q$46,'Несущая способность по грунту 1'!P81,IF($I$79&lt;=0.2,0.2,$I$79)),0)," "),0)</f>
        <v xml:space="preserve"> </v>
      </c>
      <c r="R81" s="68" t="str">
        <f t="shared" si="59"/>
        <v xml:space="preserve"> </v>
      </c>
      <c r="S81" s="188"/>
      <c r="T81" s="28"/>
      <c r="U81" s="72" t="str">
        <f t="shared" si="51"/>
        <v xml:space="preserve"> </v>
      </c>
      <c r="V81" s="188"/>
      <c r="X81" s="164">
        <v>4</v>
      </c>
      <c r="Y81" s="109">
        <f>IF(Y80=0.2,VLOOKUP(X81,Служебный!$H$33:$Q$46,2,FALSE),IF(Y80=0.3,VLOOKUP(X81,Служебный!$H$33:$Q$46,3,FALSE),IF(Y80=0.4,VLOOKUP(X81,Служебный!$H$33:$Q$46,4,FALSE),IF(Y80=0.5,VLOOKUP(X81,Служебный!$H$33:$Q$46,5,FALSE),IF(Y80=0.6,VLOOKUP(X81,Служебный!$H$33:$Q$46,6,FALSE),IF(Y80=0.7,VLOOKUP(X81,Служебный!$H$33:$Q$46,7,FALSE),IF(Y80=0.8,VLOOKUP(X81,Служебный!$H$33:$Q$46,8,FALSE),IF(Y80=0.9,VLOOKUP(X81,Служебный!$H$33:$Q$46,9,FALSE),IF(Y80=1,VLOOKUP(X81,Служебный!$H$33:$Q$46,10,FALSE),0)))))))))</f>
        <v>53</v>
      </c>
      <c r="Z81" s="79">
        <f>(AA81-Y81)/(AA80-Y80)*(Z80-Y80)+Y81</f>
        <v>53</v>
      </c>
      <c r="AA81" s="165">
        <f>IF(AA80=0.2,VLOOKUP(X81,Служебный!$H$33:$Q$46,2,FALSE),IF(AA80=0.3,VLOOKUP(X81,Служебный!$H$33:$Q$46,3,FALSE),IF(AA80=0.4,VLOOKUP(X81,Служебный!$H$33:$Q$46,4,FALSE),IF(AA80=0.5,VLOOKUP(X81,Служебный!$H$33:$Q$46,5,FALSE),IF(AA80=0.6,VLOOKUP(X81,Служебный!$H$33:$Q$46,6,FALSE),IF(AA80=0.7,VLOOKUP(X81,Служебный!$H$33:$Q$46,7,FALSE),IF(AA80=0.8,VLOOKUP(X81,Служебный!$H$33:$Q$46,8,FALSE),IF(AA80=0.9,VLOOKUP(X81,Служебный!$H$33:$Q$46,9,FALSE),IF(AA80=1,VLOOKUP(X81,Служебный!$H$33:$Q$46,10,FALSE),0)))))))))</f>
        <v>38</v>
      </c>
      <c r="AC81" s="164">
        <v>6</v>
      </c>
      <c r="AD81" s="151">
        <v>55</v>
      </c>
      <c r="AN81" s="353"/>
      <c r="AO81" s="353"/>
      <c r="AP81" s="397"/>
      <c r="AQ81" s="353"/>
      <c r="AR81" s="353"/>
      <c r="AS81" s="397"/>
      <c r="AT81" s="353"/>
      <c r="AU81" s="353"/>
      <c r="AV81" s="397"/>
      <c r="AW81" s="353"/>
      <c r="AX81" s="353"/>
      <c r="AY81" s="397"/>
    </row>
    <row r="82" spans="6:51" ht="15.75" thickBot="1">
      <c r="F82" s="361"/>
      <c r="G82" s="361"/>
      <c r="H82" s="364"/>
      <c r="I82" s="367"/>
      <c r="J82" s="370"/>
      <c r="K82" s="373"/>
      <c r="L82" s="356"/>
      <c r="M82" s="376"/>
      <c r="N82" s="267" t="str">
        <f t="shared" si="60"/>
        <v xml:space="preserve"> </v>
      </c>
      <c r="O82" s="28" t="str">
        <f t="shared" si="58"/>
        <v xml:space="preserve"> </v>
      </c>
      <c r="P82" s="28" t="str">
        <f>IF(N82&lt;&gt;" ",MAX($P$9:P81)+O82/2," ")</f>
        <v xml:space="preserve"> </v>
      </c>
      <c r="Q82" s="28" t="str" cm="1">
        <f t="array" ref="Q82">IF(Скважина!$L$15=Служебный!$K$2,IF(O82&lt;&gt;" ",IF('Несущая способность по грунту 1'!P82&gt;1,Interpol(9,14,Служебный!$H$33:$H$46,Служебный!$I$32:$Q$32,Служебный!$I$33:$Q$46,'Несущая способность по грунту 1'!P82,IF($I$79&lt;=0.2,0.2,$I$79)),0)," "),0)</f>
        <v xml:space="preserve"> </v>
      </c>
      <c r="R82" s="68" t="str">
        <f t="shared" si="59"/>
        <v xml:space="preserve"> </v>
      </c>
      <c r="S82" s="188"/>
      <c r="T82" s="28"/>
      <c r="U82" s="72" t="str">
        <f t="shared" si="51"/>
        <v xml:space="preserve"> </v>
      </c>
      <c r="V82" s="188"/>
      <c r="X82" s="164">
        <v>4.75</v>
      </c>
      <c r="Y82" s="78"/>
      <c r="Z82" s="77">
        <f>(Z83-Z81)/(X83-X81)*(X82-X81)+Z81</f>
        <v>55.25</v>
      </c>
      <c r="AA82" s="166"/>
      <c r="AC82" s="164">
        <v>7</v>
      </c>
      <c r="AD82" s="285">
        <f>(AD83-AD81)/(AC83-AC81)*(AC82-AC81)+AD81</f>
        <v>56.5</v>
      </c>
      <c r="AN82" s="353"/>
      <c r="AO82" s="353"/>
      <c r="AP82" s="397"/>
      <c r="AQ82" s="353"/>
      <c r="AR82" s="353"/>
      <c r="AS82" s="397"/>
      <c r="AT82" s="353"/>
      <c r="AU82" s="353"/>
      <c r="AV82" s="397"/>
      <c r="AW82" s="353"/>
      <c r="AX82" s="353"/>
      <c r="AY82" s="397"/>
    </row>
    <row r="83" spans="6:51" ht="15.75" thickBot="1">
      <c r="F83" s="361"/>
      <c r="G83" s="361"/>
      <c r="H83" s="364"/>
      <c r="I83" s="367"/>
      <c r="J83" s="370"/>
      <c r="K83" s="373"/>
      <c r="L83" s="356"/>
      <c r="M83" s="376"/>
      <c r="N83" s="267" t="str">
        <f t="shared" si="60"/>
        <v xml:space="preserve"> </v>
      </c>
      <c r="O83" s="28" t="str">
        <f t="shared" si="58"/>
        <v xml:space="preserve"> </v>
      </c>
      <c r="P83" s="28" t="str">
        <f>IF(N83&lt;&gt;" ",MAX($P$9:P82)+O83/2," ")</f>
        <v xml:space="preserve"> </v>
      </c>
      <c r="Q83" s="28" t="str" cm="1">
        <f t="array" ref="Q83">IF(Скважина!$L$15=Служебный!$K$2,IF(O83&lt;&gt;" ",IF('Несущая способность по грунту 1'!P83&gt;1,Interpol(9,14,Служебный!$H$33:$H$46,Служебный!$I$32:$Q$32,Служебный!$I$33:$Q$46,'Несущая способность по грунту 1'!P83,IF($I$79&lt;=0.2,0.2,$I$79)),0)," "),0)</f>
        <v xml:space="preserve"> </v>
      </c>
      <c r="R83" s="68" t="str">
        <f t="shared" si="59"/>
        <v xml:space="preserve"> </v>
      </c>
      <c r="S83" s="188"/>
      <c r="T83" s="28"/>
      <c r="U83" s="72" t="str">
        <f t="shared" si="51"/>
        <v xml:space="preserve"> </v>
      </c>
      <c r="V83" s="188"/>
      <c r="X83" s="167">
        <v>5</v>
      </c>
      <c r="Y83" s="168">
        <f>IF(Y80=0.2,VLOOKUP(X83,Служебный!$H$33:$Q$46,2,FALSE),IF(Y80=0.3,VLOOKUP(X83,Служебный!$H$33:$Q$46,3,FALSE),IF(Y80=0.4,VLOOKUP(X83,Служебный!$H$33:$Q$46,4,FALSE),IF(Y80=0.5,VLOOKUP(X83,Служебный!$H$33:$Q$46,5,FALSE),IF(Y80=0.6,VLOOKUP(X83,Служебный!$H$33:$Q$46,6,FALSE),IF(Y80=0.7,VLOOKUP(X83,Служебный!$H$33:$Q$46,7,FALSE),IF(Y80=0.8,VLOOKUP(X83,Служебный!$H$33:$Q$46,8,FALSE),IF(Y80=0.9,VLOOKUP(X83,Служебный!$H$33:$Q$46,9,FALSE),IF(Y80=1,VLOOKUP(X83,Служебный!$H$33:$Q$46,10,FALSE),0)))))))))</f>
        <v>56</v>
      </c>
      <c r="Z83" s="169">
        <f>(AA83-Y83)/(AA80-Y80)*(Z80-Y80)+Y83</f>
        <v>56</v>
      </c>
      <c r="AA83" s="170">
        <f>IF(AA80=0.2,VLOOKUP(X83,Служебный!$H$33:$Q$46,2,FALSE),IF(AA80=0.3,VLOOKUP(X83,Служебный!$H$33:$Q$46,3,FALSE),IF(AA80=0.4,VLOOKUP(X83,Служебный!$H$33:$Q$46,4,FALSE),IF(AA80=0.5,VLOOKUP(X83,Служебный!$H$33:$Q$46,5,FALSE),IF(AA80=0.6,VLOOKUP(X83,Служебный!$H$33:$Q$46,6,FALSE),IF(AA80=0.7,VLOOKUP(X83,Служебный!$H$33:$Q$46,7,FALSE),IF(AA80=0.8,VLOOKUP(X83,Служебный!$H$33:$Q$46,8,FALSE),IF(AA80=0.9,VLOOKUP(X83,Служебный!$H$33:$Q$46,9,FALSE),IF(AA80=1,VLOOKUP(X83,Служебный!$H$33:$Q$46,10,FALSE),0)))))))))</f>
        <v>40</v>
      </c>
      <c r="AC83" s="167">
        <v>8</v>
      </c>
      <c r="AD83" s="155">
        <v>58</v>
      </c>
      <c r="AN83" s="353"/>
      <c r="AO83" s="353"/>
      <c r="AP83" s="397"/>
      <c r="AQ83" s="353"/>
      <c r="AR83" s="353"/>
      <c r="AS83" s="397"/>
      <c r="AT83" s="353"/>
      <c r="AU83" s="353"/>
      <c r="AV83" s="397"/>
      <c r="AW83" s="353"/>
      <c r="AX83" s="353"/>
      <c r="AY83" s="397"/>
    </row>
    <row r="84" spans="6:51">
      <c r="F84" s="361"/>
      <c r="G84" s="361"/>
      <c r="H84" s="364"/>
      <c r="I84" s="367"/>
      <c r="J84" s="370"/>
      <c r="K84" s="373"/>
      <c r="L84" s="356"/>
      <c r="M84" s="376"/>
      <c r="N84" s="267" t="str">
        <f t="shared" si="60"/>
        <v xml:space="preserve"> </v>
      </c>
      <c r="O84" s="28" t="str">
        <f t="shared" si="58"/>
        <v xml:space="preserve"> </v>
      </c>
      <c r="P84" s="28" t="str">
        <f>IF(N84&lt;&gt;" ",MAX($P$9:P83)+O84/2," ")</f>
        <v xml:space="preserve"> </v>
      </c>
      <c r="Q84" s="28" t="str" cm="1">
        <f t="array" ref="Q84">IF(Скважина!$L$15=Служебный!$K$2,IF(O84&lt;&gt;" ",IF('Несущая способность по грунту 1'!P84&gt;1,Interpol(9,14,Служебный!$H$33:$H$46,Служебный!$I$32:$Q$32,Служебный!$I$33:$Q$46,'Несущая способность по грунту 1'!P84,IF($I$79&lt;=0.2,0.2,$I$79)),0)," "),0)</f>
        <v xml:space="preserve"> </v>
      </c>
      <c r="R84" s="68" t="str">
        <f t="shared" si="59"/>
        <v xml:space="preserve"> </v>
      </c>
      <c r="S84" s="188"/>
      <c r="T84" s="28"/>
      <c r="U84" s="72" t="str">
        <f t="shared" si="51"/>
        <v xml:space="preserve"> </v>
      </c>
      <c r="V84" s="188"/>
      <c r="X84" t="str">
        <f>H79</f>
        <v xml:space="preserve">Пески крупные водонасыщенные рыхлые </v>
      </c>
      <c r="AN84" s="353"/>
      <c r="AO84" s="353"/>
      <c r="AP84" s="397"/>
      <c r="AQ84" s="353"/>
      <c r="AR84" s="353"/>
      <c r="AS84" s="397"/>
      <c r="AT84" s="353"/>
      <c r="AU84" s="353"/>
      <c r="AV84" s="397"/>
      <c r="AW84" s="353"/>
      <c r="AX84" s="353"/>
      <c r="AY84" s="397"/>
    </row>
    <row r="85" spans="6:51">
      <c r="F85" s="361"/>
      <c r="G85" s="361"/>
      <c r="H85" s="364"/>
      <c r="I85" s="367"/>
      <c r="J85" s="370"/>
      <c r="K85" s="373"/>
      <c r="L85" s="356"/>
      <c r="M85" s="376"/>
      <c r="N85" s="267" t="str">
        <f t="shared" si="60"/>
        <v xml:space="preserve"> </v>
      </c>
      <c r="O85" s="28" t="str">
        <f t="shared" si="58"/>
        <v xml:space="preserve"> </v>
      </c>
      <c r="P85" s="28" t="str">
        <f>IF(N85&lt;&gt;" ",MAX($P$9:P84)+O85/2," ")</f>
        <v xml:space="preserve"> </v>
      </c>
      <c r="Q85" s="28" t="str" cm="1">
        <f t="array" ref="Q85">IF(Скважина!$L$15=Служебный!$K$2,IF(O85&lt;&gt;" ",IF('Несущая способность по грунту 1'!P85&gt;1,Interpol(9,14,Служебный!$H$33:$H$46,Служебный!$I$32:$Q$32,Служебный!$I$33:$Q$46,'Несущая способность по грунту 1'!P85,IF($I$79&lt;=0.2,0.2,$I$79)),0)," "),0)</f>
        <v xml:space="preserve"> </v>
      </c>
      <c r="R85" s="68" t="str">
        <f t="shared" si="59"/>
        <v xml:space="preserve"> </v>
      </c>
      <c r="S85" s="188"/>
      <c r="T85" s="28"/>
      <c r="U85" s="72" t="str">
        <f t="shared" si="51"/>
        <v xml:space="preserve"> </v>
      </c>
      <c r="V85" s="188"/>
      <c r="AN85" s="353"/>
      <c r="AO85" s="353"/>
      <c r="AP85" s="397"/>
      <c r="AQ85" s="353"/>
      <c r="AR85" s="353"/>
      <c r="AS85" s="397"/>
      <c r="AT85" s="353"/>
      <c r="AU85" s="353"/>
      <c r="AV85" s="397"/>
      <c r="AW85" s="353"/>
      <c r="AX85" s="353"/>
      <c r="AY85" s="397"/>
    </row>
    <row r="86" spans="6:51">
      <c r="F86" s="361"/>
      <c r="G86" s="361"/>
      <c r="H86" s="364"/>
      <c r="I86" s="367"/>
      <c r="J86" s="370"/>
      <c r="K86" s="373"/>
      <c r="L86" s="356"/>
      <c r="M86" s="376"/>
      <c r="N86" s="267" t="str">
        <f t="shared" si="60"/>
        <v xml:space="preserve"> </v>
      </c>
      <c r="O86" s="28" t="str">
        <f t="shared" si="58"/>
        <v xml:space="preserve"> </v>
      </c>
      <c r="P86" s="28" t="str">
        <f>IF(N86&lt;&gt;" ",MAX($P$9:P85)+O86/2," ")</f>
        <v xml:space="preserve"> </v>
      </c>
      <c r="Q86" s="28" t="str" cm="1">
        <f t="array" ref="Q86">IF(Скважина!$L$15=Служебный!$K$2,IF(O86&lt;&gt;" ",IF('Несущая способность по грунту 1'!P86&gt;1,Interpol(9,14,Служебный!$H$33:$H$46,Служебный!$I$32:$Q$32,Служебный!$I$33:$Q$46,'Несущая способность по грунту 1'!P86,IF($I$79&lt;=0.2,0.2,$I$79)),0)," "),0)</f>
        <v xml:space="preserve"> </v>
      </c>
      <c r="R86" s="68" t="str">
        <f t="shared" si="59"/>
        <v xml:space="preserve"> </v>
      </c>
      <c r="S86" s="188"/>
      <c r="T86" s="28"/>
      <c r="U86" s="72" t="str">
        <f t="shared" si="51"/>
        <v xml:space="preserve"> </v>
      </c>
      <c r="V86" s="188"/>
      <c r="AN86" s="353"/>
      <c r="AO86" s="353"/>
      <c r="AP86" s="397"/>
      <c r="AQ86" s="353"/>
      <c r="AR86" s="353"/>
      <c r="AS86" s="397"/>
      <c r="AT86" s="353"/>
      <c r="AU86" s="353"/>
      <c r="AV86" s="397"/>
      <c r="AW86" s="353"/>
      <c r="AX86" s="353"/>
      <c r="AY86" s="397"/>
    </row>
    <row r="87" spans="6:51">
      <c r="F87" s="361"/>
      <c r="G87" s="361"/>
      <c r="H87" s="364"/>
      <c r="I87" s="367"/>
      <c r="J87" s="370"/>
      <c r="K87" s="373"/>
      <c r="L87" s="356"/>
      <c r="M87" s="376"/>
      <c r="N87" s="267" t="str">
        <f t="shared" si="60"/>
        <v xml:space="preserve"> </v>
      </c>
      <c r="O87" s="28" t="str">
        <f t="shared" si="58"/>
        <v xml:space="preserve"> </v>
      </c>
      <c r="P87" s="28" t="str">
        <f>IF(N87&lt;&gt;" ",MAX($P$9:P86)+O87/2," ")</f>
        <v xml:space="preserve"> </v>
      </c>
      <c r="Q87" s="28" t="str" cm="1">
        <f t="array" ref="Q87">IF(Скважина!$L$15=Служебный!$K$2,IF(O87&lt;&gt;" ",IF('Несущая способность по грунту 1'!P87&gt;1,Interpol(9,14,Служебный!$H$33:$H$46,Служебный!$I$32:$Q$32,Служебный!$I$33:$Q$46,'Несущая способность по грунту 1'!P87,IF($I$79&lt;=0.2,0.2,$I$79)),0)," "),0)</f>
        <v xml:space="preserve"> </v>
      </c>
      <c r="R87" s="68" t="str">
        <f t="shared" si="59"/>
        <v xml:space="preserve"> </v>
      </c>
      <c r="S87" s="188"/>
      <c r="T87" s="28"/>
      <c r="U87" s="72" t="str">
        <f t="shared" si="51"/>
        <v xml:space="preserve"> </v>
      </c>
      <c r="V87" s="188"/>
      <c r="AN87" s="353"/>
      <c r="AO87" s="353"/>
      <c r="AP87" s="397"/>
      <c r="AQ87" s="353"/>
      <c r="AR87" s="353"/>
      <c r="AS87" s="397"/>
      <c r="AT87" s="353"/>
      <c r="AU87" s="353"/>
      <c r="AV87" s="397"/>
      <c r="AW87" s="353"/>
      <c r="AX87" s="353"/>
      <c r="AY87" s="397"/>
    </row>
    <row r="88" spans="6:51" ht="15.75" thickBot="1">
      <c r="F88" s="362"/>
      <c r="G88" s="362"/>
      <c r="H88" s="365"/>
      <c r="I88" s="368"/>
      <c r="J88" s="371"/>
      <c r="K88" s="374"/>
      <c r="L88" s="357"/>
      <c r="M88" s="377"/>
      <c r="N88" s="274" t="str">
        <f t="shared" si="60"/>
        <v xml:space="preserve"> </v>
      </c>
      <c r="O88" s="70" t="str">
        <f t="shared" si="58"/>
        <v xml:space="preserve"> </v>
      </c>
      <c r="P88" s="70" t="str">
        <f>IF(N88&lt;&gt;" ",MAX($P$9:P87)+O88/2," ")</f>
        <v xml:space="preserve"> </v>
      </c>
      <c r="Q88" s="70" t="str" cm="1">
        <f t="array" ref="Q88">IF(Скважина!$L$15=Служебный!$K$2,IF(O88&lt;&gt;" ",IF('Несущая способность по грунту 1'!P88&gt;1,Interpol(9,14,Служебный!$H$33:$H$46,Служебный!$I$32:$Q$32,Служебный!$I$33:$Q$46,'Несущая способность по грунту 1'!P88,IF($I$79&lt;=0.2,0.2,$I$79)),0)," "),0)</f>
        <v xml:space="preserve"> </v>
      </c>
      <c r="R88" s="71" t="str">
        <f t="shared" si="59"/>
        <v xml:space="preserve"> </v>
      </c>
      <c r="S88" s="188"/>
      <c r="T88" s="190"/>
      <c r="U88" s="191" t="str">
        <f t="shared" si="51"/>
        <v xml:space="preserve"> </v>
      </c>
      <c r="V88" s="188"/>
      <c r="AN88" s="353"/>
      <c r="AO88" s="353"/>
      <c r="AP88" s="397"/>
      <c r="AQ88" s="353"/>
      <c r="AR88" s="353"/>
      <c r="AS88" s="397"/>
      <c r="AT88" s="353"/>
      <c r="AU88" s="353"/>
      <c r="AV88" s="397"/>
      <c r="AW88" s="353"/>
      <c r="AX88" s="353"/>
      <c r="AY88" s="397"/>
    </row>
    <row r="89" spans="6:51" ht="18">
      <c r="F89" s="378">
        <f t="shared" ref="F89" si="61">F79+1</f>
        <v>9</v>
      </c>
      <c r="G89" s="378">
        <f>IF(F89&lt;21,IF(VLOOKUP(F89,Скважина!$E$8:$K$27,4,FALSE)&gt;Скважина!$C$8,VLOOKUP('Несущая способность по грунту 1'!F89,Скважина!$E$8:$K$27,2,FALSE),0),0)</f>
        <v>5</v>
      </c>
      <c r="H89" s="388" t="str">
        <f>IF(G89&lt;&gt;0,VLOOKUP('Несущая способность по грунту 1'!G89,Геология!$D$7:$BO$993,7,FALSE)," ")</f>
        <v xml:space="preserve">Супеси твердые   </v>
      </c>
      <c r="I89" s="367">
        <f>IF(G89&lt;&gt;0,VLOOKUP('Несущая способность по грунту 1'!G89, Геология!$D$8:$BM$993, 22,FALSE)," ")</f>
        <v>-0.09</v>
      </c>
      <c r="J89" s="390">
        <f>VLOOKUP(F89,Скважина!$E$8:$K$27,4,FALSE)</f>
        <v>125</v>
      </c>
      <c r="K89" s="373">
        <f>IF(VLOOKUP($F89,Скважина!$E$8:$K$27,5,FALSE)&gt;Скважина!$C$8,VLOOKUP($F89,Скважина!$E$8:$K$27,5,FALSE),Скважина!$C$8)</f>
        <v>124</v>
      </c>
      <c r="L89" s="356">
        <f t="shared" ref="L89" si="62">IF(IF(G89&lt;&gt;0,J89-K89,0)&lt;0,0,IF(G89&lt;&gt;0,J89-K89,0))</f>
        <v>1</v>
      </c>
      <c r="M89" s="392">
        <v>2</v>
      </c>
      <c r="N89" s="264">
        <f>IF(M89&lt;&gt;0,MAX(N$9:N$88)+1," ")</f>
        <v>21</v>
      </c>
      <c r="O89" s="34">
        <f t="shared" si="58"/>
        <v>0.5</v>
      </c>
      <c r="P89" s="34">
        <f>IF(N89&lt;&gt;" ",MAX($P$9:P88)+O89/2," ")</f>
        <v>8.5499999999999972</v>
      </c>
      <c r="Q89" s="34" cm="1">
        <f t="array" ref="Q89">IF(Скважина!$L$16=Служебный!$K$2,IF(O89&lt;&gt;" ",IF('Несущая способность по грунту 1'!P89&gt;1,Interpol(9,14,Служебный!$H$33:$H$46,Служебный!$I$32:$Q$32,Служебный!$I$33:$Q$46,'Несущая способность по грунту 1'!P89,IF($I$89&lt;=0.2,0.2,$I$89)),0)," "),0)</f>
        <v>62.824999999999996</v>
      </c>
      <c r="R89" s="72">
        <f t="shared" si="59"/>
        <v>31.412499999999998</v>
      </c>
      <c r="S89" s="188"/>
      <c r="T89" s="192"/>
      <c r="U89" s="67">
        <f t="shared" ref="U89:U152" si="63">IF(N89&lt;&gt;" ",O89*T89," ")</f>
        <v>0</v>
      </c>
      <c r="V89" s="188"/>
      <c r="X89" s="159" t="s">
        <v>156</v>
      </c>
      <c r="Y89" s="160"/>
      <c r="Z89" s="161" t="s">
        <v>155</v>
      </c>
      <c r="AA89" s="162"/>
      <c r="AC89" s="283" t="s">
        <v>213</v>
      </c>
      <c r="AD89" s="284"/>
      <c r="AN89" s="353">
        <f>IF(OR(G89=0,F89&gt;20)," ",VLOOKUP('Несущая способность по грунту 1'!G89,Геология!$D$7:$BO$993,23,FALSE))</f>
        <v>19.611999999999998</v>
      </c>
      <c r="AO89" s="353">
        <f t="shared" ref="AO89" si="64">IF(AN89&lt;&gt;" ",AN89*L89," ")</f>
        <v>19.611999999999998</v>
      </c>
      <c r="AP89" s="397"/>
      <c r="AQ89" s="353">
        <f>IF(G89&lt;&gt;0,VLOOKUP('Несущая способность по грунту 1'!G89,Геология!$D$7:$BO$993,24,FALSE)," ")</f>
        <v>0.3</v>
      </c>
      <c r="AR89" s="353">
        <f t="shared" ref="AR89" si="65">IF(AQ89&lt;&gt;" ",AQ89*L89," ")</f>
        <v>0.3</v>
      </c>
      <c r="AS89" s="397"/>
      <c r="AT89" s="353">
        <f>IF(G89&lt;&gt;0,VLOOKUP('Несущая способность по грунту 1'!G89,Геология!$D$7:$BO$993,21,FALSE)," ")</f>
        <v>21</v>
      </c>
      <c r="AU89" s="353">
        <f t="shared" ref="AU89" si="66">IF(G89&lt;&gt;0,AT89*L89," ")</f>
        <v>21</v>
      </c>
      <c r="AV89" s="397"/>
      <c r="AW89" s="353">
        <f>IF(G89&lt;&gt;0,VLOOKUP('Несущая способность по грунту 1'!G89,Геология!$D$7:$BO$993,27,FALSE)," ")</f>
        <v>8.0769230769230766</v>
      </c>
      <c r="AX89" s="353">
        <f t="shared" ref="AX89" si="67">IF(G89&lt;&gt;0,AW89*L89," ")</f>
        <v>8.0769230769230766</v>
      </c>
      <c r="AY89" s="397"/>
    </row>
    <row r="90" spans="6:51">
      <c r="F90" s="361"/>
      <c r="G90" s="361"/>
      <c r="H90" s="364"/>
      <c r="I90" s="367"/>
      <c r="J90" s="370"/>
      <c r="K90" s="373"/>
      <c r="L90" s="356"/>
      <c r="M90" s="376"/>
      <c r="N90" s="257">
        <f t="shared" ref="N90:N98" si="68">IF(N89=" "," ", IF(N89&lt;SUM(M$9:M$98),N89+1, " "))</f>
        <v>22</v>
      </c>
      <c r="O90" s="28">
        <f t="shared" ref="O90:O128" si="69">IF(N90&lt;&gt;" ",L$79/COUNT(N$79:N$88), " ")</f>
        <v>0.5</v>
      </c>
      <c r="P90" s="28">
        <f>IF(N90&lt;&gt;" ",MAX($P$9:P89)+O90/2," ")</f>
        <v>8.7999999999999972</v>
      </c>
      <c r="Q90" s="28" cm="1">
        <f t="array" ref="Q90">IF(Скважина!$L$16=Служебный!$K$2,IF(O90&lt;&gt;" ",IF('Несущая способность по грунту 1'!P90&gt;1,Interpol(9,14,Служебный!$H$33:$H$46,Служебный!$I$32:$Q$32,Служебный!$I$33:$Q$46,'Несущая способность по грунту 1'!P90,IF($I$89&lt;=0.2,0.2,$I$89)),0)," "),0)</f>
        <v>63.199999999999996</v>
      </c>
      <c r="R90" s="68">
        <f t="shared" ref="R90:R128" si="70">IF(N90&lt;&gt;" ",O90*Q90," ")</f>
        <v>31.599999999999998</v>
      </c>
      <c r="S90" s="188"/>
      <c r="T90" s="193"/>
      <c r="U90" s="72">
        <f t="shared" si="63"/>
        <v>0</v>
      </c>
      <c r="V90" s="188"/>
      <c r="X90" s="163" t="s">
        <v>39</v>
      </c>
      <c r="Y90" s="47">
        <v>0.2</v>
      </c>
      <c r="Z90" s="177">
        <f t="shared" ref="Z90" si="71">IF(I89&lt;=0.2,0.2,I89)</f>
        <v>0.2</v>
      </c>
      <c r="AA90" s="151">
        <v>0.3</v>
      </c>
      <c r="AC90" s="262" t="s">
        <v>39</v>
      </c>
      <c r="AD90" s="165" t="s">
        <v>214</v>
      </c>
      <c r="AN90" s="353"/>
      <c r="AO90" s="353"/>
      <c r="AP90" s="397"/>
      <c r="AQ90" s="353"/>
      <c r="AR90" s="353"/>
      <c r="AS90" s="397"/>
      <c r="AT90" s="353"/>
      <c r="AU90" s="353"/>
      <c r="AV90" s="397"/>
      <c r="AW90" s="353"/>
      <c r="AX90" s="353"/>
      <c r="AY90" s="397"/>
    </row>
    <row r="91" spans="6:51" ht="15.75" thickBot="1">
      <c r="F91" s="361"/>
      <c r="G91" s="361"/>
      <c r="H91" s="364"/>
      <c r="I91" s="367"/>
      <c r="J91" s="370"/>
      <c r="K91" s="373"/>
      <c r="L91" s="356"/>
      <c r="M91" s="376"/>
      <c r="N91" s="257" t="str">
        <f t="shared" si="68"/>
        <v xml:space="preserve"> </v>
      </c>
      <c r="O91" s="28" t="str">
        <f t="shared" si="69"/>
        <v xml:space="preserve"> </v>
      </c>
      <c r="P91" s="28" t="str">
        <f>IF(N91&lt;&gt;" ",MAX($P$9:P90)+O91/2," ")</f>
        <v xml:space="preserve"> </v>
      </c>
      <c r="Q91" s="28" t="str" cm="1">
        <f t="array" ref="Q91">IF(Скважина!$L$16=Служебный!$K$2,IF(O91&lt;&gt;" ",IF('Несущая способность по грунту 1'!P91&gt;1,Interpol(9,14,Служебный!$H$33:$H$46,Служебный!$I$32:$Q$32,Служебный!$I$33:$Q$46,'Несущая способность по грунту 1'!P91,IF($I$89&lt;=0.2,0.2,$I$89)),0)," "),0)</f>
        <v xml:space="preserve"> </v>
      </c>
      <c r="R91" s="68" t="str">
        <f t="shared" si="70"/>
        <v xml:space="preserve"> </v>
      </c>
      <c r="S91" s="188"/>
      <c r="T91" s="193"/>
      <c r="U91" s="72" t="str">
        <f t="shared" si="63"/>
        <v xml:space="preserve"> </v>
      </c>
      <c r="V91" s="188"/>
      <c r="X91" s="164">
        <v>1</v>
      </c>
      <c r="Y91" s="109">
        <f>IF(Y90=0.2,VLOOKUP(X91,Служебный!$H$33:$Q$46,2,FALSE),IF(Y90=0.3,VLOOKUP(X91,Служебный!$H$33:$Q$46,3,FALSE),IF(Y90=0.4,VLOOKUP(X91,Служебный!$H$33:$Q$46,4,FALSE),IF(Y90=0.5,VLOOKUP(X91,Служебный!$H$33:$Q$46,5,FALSE),IF(Y90=0.6,VLOOKUP(X91,Служебный!$H$33:$Q$46,6,FALSE),IF(Y90=0.7,VLOOKUP(X91,Служебный!$H$33:$Q$46,7,FALSE),IF(Y90=0.8,VLOOKUP(X91,Служебный!$H$33:$Q$46,8,FALSE),IF(Y90=0.9,VLOOKUP(X91,Служебный!$H$33:$Q$46,9,FALSE),IF(Y90=1,VLOOKUP(X91,Служебный!$H$33:$Q$46,10,FALSE),0)))))))))</f>
        <v>35</v>
      </c>
      <c r="Z91" s="79">
        <f t="shared" ref="Z91" si="72">(AA91-Y91)/(AA90-Y90)*(Z90-Y90)+Y91</f>
        <v>35</v>
      </c>
      <c r="AA91" s="165">
        <f>IF(AA90=0.2,VLOOKUP(X91,Служебный!$H$33:$Q$46,2,FALSE),IF(AA90=0.3,VLOOKUP(X91,Служебный!$H$33:$Q$46,3,FALSE),IF(AA90=0.4,VLOOKUP(X91,Служебный!$H$33:$Q$46,4,FALSE),IF(AA90=0.5,VLOOKUP(X91,Служебный!$H$33:$Q$46,5,FALSE),IF(AA90=0.6,VLOOKUP(X91,Служебный!$H$33:$Q$46,6,FALSE),IF(AA90=0.7,VLOOKUP(X91,Служебный!$H$33:$Q$46,7,FALSE),IF(AA90=0.8,VLOOKUP(X91,Служебный!$H$33:$Q$46,8,FALSE),IF(AA90=0.9,VLOOKUP(X91,Служебный!$H$33:$Q$46,9,FALSE),IF(AA90=1,VLOOKUP(X91,Служебный!$H$33:$Q$46,10,FALSE),0)))))))))</f>
        <v>23</v>
      </c>
      <c r="AC91" s="164">
        <v>9</v>
      </c>
      <c r="AD91" s="151">
        <v>55</v>
      </c>
      <c r="AN91" s="353"/>
      <c r="AO91" s="353"/>
      <c r="AP91" s="397"/>
      <c r="AQ91" s="353"/>
      <c r="AR91" s="353"/>
      <c r="AS91" s="397"/>
      <c r="AT91" s="353"/>
      <c r="AU91" s="353"/>
      <c r="AV91" s="397"/>
      <c r="AW91" s="353"/>
      <c r="AX91" s="353"/>
      <c r="AY91" s="397"/>
    </row>
    <row r="92" spans="6:51" ht="15.75" thickBot="1">
      <c r="F92" s="361"/>
      <c r="G92" s="361"/>
      <c r="H92" s="364"/>
      <c r="I92" s="367"/>
      <c r="J92" s="370"/>
      <c r="K92" s="373"/>
      <c r="L92" s="356"/>
      <c r="M92" s="376"/>
      <c r="N92" s="257" t="str">
        <f t="shared" si="68"/>
        <v xml:space="preserve"> </v>
      </c>
      <c r="O92" s="28" t="str">
        <f t="shared" si="69"/>
        <v xml:space="preserve"> </v>
      </c>
      <c r="P92" s="28" t="str">
        <f>IF(N92&lt;&gt;" ",MAX($P$9:P91)+O92/2," ")</f>
        <v xml:space="preserve"> </v>
      </c>
      <c r="Q92" s="28" t="str" cm="1">
        <f t="array" ref="Q92">IF(Скважина!$L$16=Служебный!$K$2,IF(O92&lt;&gt;" ",IF('Несущая способность по грунту 1'!P92&gt;1,Interpol(9,14,Служебный!$H$33:$H$46,Служебный!$I$32:$Q$32,Служебный!$I$33:$Q$46,'Несущая способность по грунту 1'!P92,IF($I$89&lt;=0.2,0.2,$I$89)),0)," "),0)</f>
        <v xml:space="preserve"> </v>
      </c>
      <c r="R92" s="68" t="str">
        <f t="shared" si="70"/>
        <v xml:space="preserve"> </v>
      </c>
      <c r="S92" s="188"/>
      <c r="T92" s="193"/>
      <c r="U92" s="72" t="str">
        <f t="shared" si="63"/>
        <v xml:space="preserve"> </v>
      </c>
      <c r="V92" s="188"/>
      <c r="X92" s="164">
        <v>2</v>
      </c>
      <c r="Y92" s="78"/>
      <c r="Z92" s="77">
        <f t="shared" ref="Z92" si="73">(Z93-Z91)/(X93-X91)*(X92-X91)+Z91</f>
        <v>41.5</v>
      </c>
      <c r="AA92" s="166"/>
      <c r="AC92" s="164">
        <v>10</v>
      </c>
      <c r="AD92" s="285">
        <f t="shared" ref="AD92" si="74">(AD93-AD91)/(AC93-AC91)*(AC92-AC91)+AD91</f>
        <v>56.5</v>
      </c>
      <c r="AN92" s="353"/>
      <c r="AO92" s="353"/>
      <c r="AP92" s="397"/>
      <c r="AQ92" s="353"/>
      <c r="AR92" s="353"/>
      <c r="AS92" s="397"/>
      <c r="AT92" s="353"/>
      <c r="AU92" s="353"/>
      <c r="AV92" s="397"/>
      <c r="AW92" s="353"/>
      <c r="AX92" s="353"/>
      <c r="AY92" s="397"/>
    </row>
    <row r="93" spans="6:51" ht="15.75" thickBot="1">
      <c r="F93" s="361"/>
      <c r="G93" s="361"/>
      <c r="H93" s="364"/>
      <c r="I93" s="367"/>
      <c r="J93" s="370"/>
      <c r="K93" s="373"/>
      <c r="L93" s="356"/>
      <c r="M93" s="376"/>
      <c r="N93" s="257" t="str">
        <f t="shared" si="68"/>
        <v xml:space="preserve"> </v>
      </c>
      <c r="O93" s="28" t="str">
        <f t="shared" si="69"/>
        <v xml:space="preserve"> </v>
      </c>
      <c r="P93" s="28" t="str">
        <f>IF(N93&lt;&gt;" ",MAX($P$9:P92)+O93/2," ")</f>
        <v xml:space="preserve"> </v>
      </c>
      <c r="Q93" s="28" t="str" cm="1">
        <f t="array" ref="Q93">IF(Скважина!$L$16=Служебный!$K$2,IF(O93&lt;&gt;" ",IF('Несущая способность по грунту 1'!P93&gt;1,Interpol(9,14,Служебный!$H$33:$H$46,Служебный!$I$32:$Q$32,Служебный!$I$33:$Q$46,'Несущая способность по грунту 1'!P93,IF($I$89&lt;=0.2,0.2,$I$89)),0)," "),0)</f>
        <v xml:space="preserve"> </v>
      </c>
      <c r="R93" s="68" t="str">
        <f t="shared" si="70"/>
        <v xml:space="preserve"> </v>
      </c>
      <c r="S93" s="188"/>
      <c r="T93" s="193"/>
      <c r="U93" s="72" t="str">
        <f t="shared" si="63"/>
        <v xml:space="preserve"> </v>
      </c>
      <c r="V93" s="188"/>
      <c r="X93" s="167">
        <v>3</v>
      </c>
      <c r="Y93" s="168">
        <f>IF(Y90=0.2,VLOOKUP(X93,Служебный!$H$33:$Q$46,2,FALSE),IF(Y90=0.3,VLOOKUP(X93,Служебный!$H$33:$Q$46,3,FALSE),IF(Y90=0.4,VLOOKUP(X93,Служебный!$H$33:$Q$46,4,FALSE),IF(Y90=0.5,VLOOKUP(X93,Служебный!$H$33:$Q$46,5,FALSE),IF(Y90=0.6,VLOOKUP(X93,Служебный!$H$33:$Q$46,6,FALSE),IF(Y90=0.7,VLOOKUP(X93,Служебный!$H$33:$Q$46,7,FALSE),IF(Y90=0.8,VLOOKUP(X93,Служебный!$H$33:$Q$46,8,FALSE),IF(Y90=0.9,VLOOKUP(X93,Служебный!$H$33:$Q$46,9,FALSE),IF(Y90=1,VLOOKUP(X93,Служебный!$H$33:$Q$46,10,FALSE),0)))))))))</f>
        <v>48</v>
      </c>
      <c r="Z93" s="169">
        <f t="shared" ref="Z93" si="75">(AA93-Y93)/(AA90-Y90)*(Z90-Y90)+Y93</f>
        <v>48</v>
      </c>
      <c r="AA93" s="170">
        <f>IF(AA90=0.2,VLOOKUP(X93,Служебный!$H$33:$Q$46,2,FALSE),IF(AA90=0.3,VLOOKUP(X93,Служебный!$H$33:$Q$46,3,FALSE),IF(AA90=0.4,VLOOKUP(X93,Служебный!$H$33:$Q$46,4,FALSE),IF(AA90=0.5,VLOOKUP(X93,Служебный!$H$33:$Q$46,5,FALSE),IF(AA90=0.6,VLOOKUP(X93,Служебный!$H$33:$Q$46,6,FALSE),IF(AA90=0.7,VLOOKUP(X93,Служебный!$H$33:$Q$46,7,FALSE),IF(AA90=0.8,VLOOKUP(X93,Служебный!$H$33:$Q$46,8,FALSE),IF(AA90=0.9,VLOOKUP(X93,Служебный!$H$33:$Q$46,9,FALSE),IF(AA90=1,VLOOKUP(X93,Служебный!$H$33:$Q$46,10,FALSE),0)))))))))</f>
        <v>35</v>
      </c>
      <c r="AC93" s="167">
        <v>11</v>
      </c>
      <c r="AD93" s="155">
        <v>58</v>
      </c>
      <c r="AN93" s="353"/>
      <c r="AO93" s="353"/>
      <c r="AP93" s="397"/>
      <c r="AQ93" s="353"/>
      <c r="AR93" s="353"/>
      <c r="AS93" s="397"/>
      <c r="AT93" s="353"/>
      <c r="AU93" s="353"/>
      <c r="AV93" s="397"/>
      <c r="AW93" s="353"/>
      <c r="AX93" s="353"/>
      <c r="AY93" s="397"/>
    </row>
    <row r="94" spans="6:51">
      <c r="F94" s="361"/>
      <c r="G94" s="361"/>
      <c r="H94" s="364"/>
      <c r="I94" s="367"/>
      <c r="J94" s="370"/>
      <c r="K94" s="373"/>
      <c r="L94" s="356"/>
      <c r="M94" s="376"/>
      <c r="N94" s="257" t="str">
        <f t="shared" si="68"/>
        <v xml:space="preserve"> </v>
      </c>
      <c r="O94" s="28" t="str">
        <f t="shared" si="69"/>
        <v xml:space="preserve"> </v>
      </c>
      <c r="P94" s="28" t="str">
        <f>IF(N94&lt;&gt;" ",MAX($P$9:P93)+O94/2," ")</f>
        <v xml:space="preserve"> </v>
      </c>
      <c r="Q94" s="28" t="str" cm="1">
        <f t="array" ref="Q94">IF(Скважина!$L$16=Служебный!$K$2,IF(O94&lt;&gt;" ",IF('Несущая способность по грунту 1'!P94&gt;1,Interpol(9,14,Служебный!$H$33:$H$46,Служебный!$I$32:$Q$32,Служебный!$I$33:$Q$46,'Несущая способность по грунту 1'!P94,IF($I$89&lt;=0.2,0.2,$I$89)),0)," "),0)</f>
        <v xml:space="preserve"> </v>
      </c>
      <c r="R94" s="68" t="str">
        <f t="shared" si="70"/>
        <v xml:space="preserve"> </v>
      </c>
      <c r="S94" s="188"/>
      <c r="T94" s="193"/>
      <c r="U94" s="72" t="str">
        <f t="shared" si="63"/>
        <v xml:space="preserve"> </v>
      </c>
      <c r="V94" s="188"/>
      <c r="X94" t="str">
        <f t="shared" ref="X94" si="76">H89</f>
        <v xml:space="preserve">Супеси твердые   </v>
      </c>
      <c r="AN94" s="353"/>
      <c r="AO94" s="353"/>
      <c r="AP94" s="397"/>
      <c r="AQ94" s="353"/>
      <c r="AR94" s="353"/>
      <c r="AS94" s="397"/>
      <c r="AT94" s="353"/>
      <c r="AU94" s="353"/>
      <c r="AV94" s="397"/>
      <c r="AW94" s="353"/>
      <c r="AX94" s="353"/>
      <c r="AY94" s="397"/>
    </row>
    <row r="95" spans="6:51">
      <c r="F95" s="361"/>
      <c r="G95" s="361"/>
      <c r="H95" s="364"/>
      <c r="I95" s="367"/>
      <c r="J95" s="370"/>
      <c r="K95" s="373"/>
      <c r="L95" s="356"/>
      <c r="M95" s="376"/>
      <c r="N95" s="257" t="str">
        <f t="shared" si="68"/>
        <v xml:space="preserve"> </v>
      </c>
      <c r="O95" s="28" t="str">
        <f t="shared" si="69"/>
        <v xml:space="preserve"> </v>
      </c>
      <c r="P95" s="28" t="str">
        <f>IF(N95&lt;&gt;" ",MAX($P$9:P94)+O95/2," ")</f>
        <v xml:space="preserve"> </v>
      </c>
      <c r="Q95" s="28" t="str" cm="1">
        <f t="array" ref="Q95">IF(Скважина!$L$16=Служебный!$K$2,IF(O95&lt;&gt;" ",IF('Несущая способность по грунту 1'!P95&gt;1,Interpol(9,14,Служебный!$H$33:$H$46,Служебный!$I$32:$Q$32,Служебный!$I$33:$Q$46,'Несущая способность по грунту 1'!P95,IF($I$89&lt;=0.2,0.2,$I$89)),0)," "),0)</f>
        <v xml:space="preserve"> </v>
      </c>
      <c r="R95" s="68" t="str">
        <f t="shared" si="70"/>
        <v xml:space="preserve"> </v>
      </c>
      <c r="S95" s="188"/>
      <c r="T95" s="193"/>
      <c r="U95" s="72" t="str">
        <f t="shared" si="63"/>
        <v xml:space="preserve"> </v>
      </c>
      <c r="V95" s="188"/>
      <c r="AN95" s="353"/>
      <c r="AO95" s="353"/>
      <c r="AP95" s="397"/>
      <c r="AQ95" s="353"/>
      <c r="AR95" s="353"/>
      <c r="AS95" s="397"/>
      <c r="AT95" s="353"/>
      <c r="AU95" s="353"/>
      <c r="AV95" s="397"/>
      <c r="AW95" s="353"/>
      <c r="AX95" s="353"/>
      <c r="AY95" s="397"/>
    </row>
    <row r="96" spans="6:51">
      <c r="F96" s="361"/>
      <c r="G96" s="361"/>
      <c r="H96" s="364"/>
      <c r="I96" s="367"/>
      <c r="J96" s="370"/>
      <c r="K96" s="373"/>
      <c r="L96" s="356"/>
      <c r="M96" s="376"/>
      <c r="N96" s="257" t="str">
        <f t="shared" si="68"/>
        <v xml:space="preserve"> </v>
      </c>
      <c r="O96" s="28" t="str">
        <f t="shared" si="69"/>
        <v xml:space="preserve"> </v>
      </c>
      <c r="P96" s="28" t="str">
        <f>IF(N96&lt;&gt;" ",MAX($P$9:P95)+O96/2," ")</f>
        <v xml:space="preserve"> </v>
      </c>
      <c r="Q96" s="28" t="str" cm="1">
        <f t="array" ref="Q96">IF(Скважина!$L$16=Служебный!$K$2,IF(O96&lt;&gt;" ",IF('Несущая способность по грунту 1'!P96&gt;1,Interpol(9,14,Служебный!$H$33:$H$46,Служебный!$I$32:$Q$32,Служебный!$I$33:$Q$46,'Несущая способность по грунту 1'!P96,IF($I$89&lt;=0.2,0.2,$I$89)),0)," "),0)</f>
        <v xml:space="preserve"> </v>
      </c>
      <c r="R96" s="68" t="str">
        <f t="shared" si="70"/>
        <v xml:space="preserve"> </v>
      </c>
      <c r="S96" s="188"/>
      <c r="T96" s="193"/>
      <c r="U96" s="72" t="str">
        <f t="shared" si="63"/>
        <v xml:space="preserve"> </v>
      </c>
      <c r="V96" s="188"/>
      <c r="AN96" s="353"/>
      <c r="AO96" s="353"/>
      <c r="AP96" s="397"/>
      <c r="AQ96" s="353"/>
      <c r="AR96" s="353"/>
      <c r="AS96" s="397"/>
      <c r="AT96" s="353"/>
      <c r="AU96" s="353"/>
      <c r="AV96" s="397"/>
      <c r="AW96" s="353"/>
      <c r="AX96" s="353"/>
      <c r="AY96" s="397"/>
    </row>
    <row r="97" spans="6:51">
      <c r="F97" s="361"/>
      <c r="G97" s="361"/>
      <c r="H97" s="364"/>
      <c r="I97" s="367"/>
      <c r="J97" s="370"/>
      <c r="K97" s="373"/>
      <c r="L97" s="356"/>
      <c r="M97" s="376"/>
      <c r="N97" s="257" t="str">
        <f t="shared" si="68"/>
        <v xml:space="preserve"> </v>
      </c>
      <c r="O97" s="28" t="str">
        <f t="shared" si="69"/>
        <v xml:space="preserve"> </v>
      </c>
      <c r="P97" s="28" t="str">
        <f>IF(N97&lt;&gt;" ",MAX($P$9:P96)+O97/2," ")</f>
        <v xml:space="preserve"> </v>
      </c>
      <c r="Q97" s="28" t="str" cm="1">
        <f t="array" ref="Q97">IF(Скважина!$L$16=Служебный!$K$2,IF(O97&lt;&gt;" ",IF('Несущая способность по грунту 1'!P97&gt;1,Interpol(9,14,Служебный!$H$33:$H$46,Служебный!$I$32:$Q$32,Служебный!$I$33:$Q$46,'Несущая способность по грунту 1'!P97,IF($I$89&lt;=0.2,0.2,$I$89)),0)," "),0)</f>
        <v xml:space="preserve"> </v>
      </c>
      <c r="R97" s="68" t="str">
        <f t="shared" si="70"/>
        <v xml:space="preserve"> </v>
      </c>
      <c r="S97" s="188"/>
      <c r="T97" s="193"/>
      <c r="U97" s="72" t="str">
        <f t="shared" si="63"/>
        <v xml:space="preserve"> </v>
      </c>
      <c r="V97" s="188"/>
      <c r="AN97" s="353"/>
      <c r="AO97" s="353"/>
      <c r="AP97" s="397"/>
      <c r="AQ97" s="353"/>
      <c r="AR97" s="353"/>
      <c r="AS97" s="397"/>
      <c r="AT97" s="353"/>
      <c r="AU97" s="353"/>
      <c r="AV97" s="397"/>
      <c r="AW97" s="353"/>
      <c r="AX97" s="353"/>
      <c r="AY97" s="397"/>
    </row>
    <row r="98" spans="6:51" ht="15.75" thickBot="1">
      <c r="F98" s="379"/>
      <c r="G98" s="379"/>
      <c r="H98" s="389"/>
      <c r="I98" s="367"/>
      <c r="J98" s="391"/>
      <c r="K98" s="373"/>
      <c r="L98" s="356"/>
      <c r="M98" s="393"/>
      <c r="N98" s="266" t="str">
        <f t="shared" si="68"/>
        <v xml:space="preserve"> </v>
      </c>
      <c r="O98" s="190" t="str">
        <f t="shared" si="69"/>
        <v xml:space="preserve"> </v>
      </c>
      <c r="P98" s="190" t="str">
        <f>IF(N98&lt;&gt;" ",MAX($P$9:P97)+O98/2," ")</f>
        <v xml:space="preserve"> </v>
      </c>
      <c r="Q98" s="190" t="str" cm="1">
        <f t="array" ref="Q98">IF(Скважина!$L$16=Служебный!$K$2,IF(O98&lt;&gt;" ",IF('Несущая способность по грунту 1'!P98&gt;1,Interpol(9,14,Служебный!$H$33:$H$46,Служебный!$I$32:$Q$32,Служебный!$I$33:$Q$46,'Несущая способность по грунту 1'!P98,IF($I$89&lt;=0.2,0.2,$I$89)),0)," "),0)</f>
        <v xml:space="preserve"> </v>
      </c>
      <c r="R98" s="280" t="str">
        <f t="shared" si="70"/>
        <v xml:space="preserve"> </v>
      </c>
      <c r="S98" s="188"/>
      <c r="T98" s="194"/>
      <c r="U98" s="195" t="str">
        <f t="shared" si="63"/>
        <v xml:space="preserve"> </v>
      </c>
      <c r="V98" s="188"/>
      <c r="AN98" s="353"/>
      <c r="AO98" s="353"/>
      <c r="AP98" s="397"/>
      <c r="AQ98" s="353"/>
      <c r="AR98" s="353"/>
      <c r="AS98" s="397"/>
      <c r="AT98" s="353"/>
      <c r="AU98" s="353"/>
      <c r="AV98" s="397"/>
      <c r="AW98" s="353"/>
      <c r="AX98" s="353"/>
      <c r="AY98" s="397"/>
    </row>
    <row r="99" spans="6:51" ht="18">
      <c r="F99" s="360">
        <f t="shared" ref="F99" si="77">F89+1</f>
        <v>10</v>
      </c>
      <c r="G99" s="360">
        <f>IF(F99&lt;21,IF(VLOOKUP(F99,Скважина!$E$8:$K$27,4,FALSE)&gt;Скважина!$C$8,VLOOKUP('Несущая способность по грунту 1'!F99,Скважина!$E$8:$K$27,2,FALSE),0),0)</f>
        <v>6</v>
      </c>
      <c r="H99" s="363" t="str">
        <f>IF(G99&lt;&gt;0,VLOOKUP('Несущая способность по грунту 1'!G99,Геология!$D$7:$BO$993,7,FALSE)," ")</f>
        <v>Суглинки полутвердые   с прослоями твердых глин</v>
      </c>
      <c r="I99" s="366">
        <f>IF(G99&lt;&gt;0,VLOOKUP('Несущая способность по грунту 1'!G99, Геология!$D$8:$BM$993, 22,FALSE)," ")</f>
        <v>0.09</v>
      </c>
      <c r="J99" s="369">
        <f>VLOOKUP(F99,Скважина!$E$8:$K$27,4,FALSE)</f>
        <v>124</v>
      </c>
      <c r="K99" s="372">
        <f>IF(VLOOKUP($F99,Скважина!$E$8:$K$27,5,FALSE)&gt;Скважина!$C$8,VLOOKUP($F99,Скважина!$E$8:$K$27,5,FALSE),Скважина!$C$8)</f>
        <v>120</v>
      </c>
      <c r="L99" s="355">
        <f t="shared" ref="L99" si="78">IF(IF(G99&lt;&gt;0,J99-K99,0)&lt;0,0,IF(G99&lt;&gt;0,J99-K99,0))</f>
        <v>4</v>
      </c>
      <c r="M99" s="375">
        <v>2</v>
      </c>
      <c r="N99" s="275">
        <f>IF(M99&lt;&gt;0,MAX(N$9:N$98)+1," ")</f>
        <v>23</v>
      </c>
      <c r="O99" s="66">
        <f t="shared" si="69"/>
        <v>0.5</v>
      </c>
      <c r="P99" s="66">
        <f>IF(N99&lt;&gt;" ",MAX($P$9:P98)+O99/2," ")</f>
        <v>9.0499999999999972</v>
      </c>
      <c r="Q99" s="66" cm="1">
        <f t="array" ref="Q99">IF(Скважина!$L$17=Служебный!$K$2,IF(O99&lt;&gt;" ",IF('Несущая способность по грунту 1'!P99&gt;1,Interpol(9,14,Служебный!$H$33:$H$46,Служебный!$I$32:$Q$32,Служебный!$I$33:$Q$46,'Несущая способность по грунту 1'!P99,IF($I$99&lt;=0.2,0.2,$I$99)),0)," "),0)</f>
        <v>63.574999999999996</v>
      </c>
      <c r="R99" s="67">
        <f t="shared" si="70"/>
        <v>31.787499999999998</v>
      </c>
      <c r="S99" s="188"/>
      <c r="T99" s="192"/>
      <c r="U99" s="67">
        <f t="shared" si="63"/>
        <v>0</v>
      </c>
      <c r="V99" s="188"/>
      <c r="X99" s="159" t="s">
        <v>156</v>
      </c>
      <c r="Y99" s="160"/>
      <c r="Z99" s="161" t="s">
        <v>155</v>
      </c>
      <c r="AA99" s="162"/>
      <c r="AC99" t="s">
        <v>213</v>
      </c>
      <c r="AN99" s="353">
        <f>IF(OR(G99=0,F99&gt;20)," ",VLOOKUP('Несущая способность по грунту 1'!G99,Геология!$D$7:$BO$993,23,FALSE))</f>
        <v>20.004239999999999</v>
      </c>
      <c r="AO99" s="353">
        <f t="shared" ref="AO99" si="79">IF(AN99&lt;&gt;" ",AN99*L99," ")</f>
        <v>80.016959999999997</v>
      </c>
      <c r="AP99" s="397"/>
      <c r="AQ99" s="353">
        <f>IF(G99&lt;&gt;0,VLOOKUP('Несущая способность по грунту 1'!G99,Геология!$D$7:$BO$993,24,FALSE)," ")</f>
        <v>0.37</v>
      </c>
      <c r="AR99" s="353">
        <f t="shared" ref="AR99" si="80">IF(AQ99&lt;&gt;" ",AQ99*L99," ")</f>
        <v>1.48</v>
      </c>
      <c r="AS99" s="397"/>
      <c r="AT99" s="353">
        <f>IF(G99&lt;&gt;0,VLOOKUP('Несущая способность по грунту 1'!G99,Геология!$D$7:$BO$993,21,FALSE)," ")</f>
        <v>22</v>
      </c>
      <c r="AU99" s="353">
        <f t="shared" ref="AU99" si="81">IF(G99&lt;&gt;0,AT99*L99," ")</f>
        <v>88</v>
      </c>
      <c r="AV99" s="397"/>
      <c r="AW99" s="353">
        <f>IF(G99&lt;&gt;0,VLOOKUP('Несущая способность по грунту 1'!G99,Геология!$D$7:$BO$993,27,FALSE)," ")</f>
        <v>8.0291970802919703</v>
      </c>
      <c r="AX99" s="353">
        <f t="shared" ref="AX99" si="82">IF(G99&lt;&gt;0,AW99*L99," ")</f>
        <v>32.116788321167881</v>
      </c>
      <c r="AY99" s="397"/>
    </row>
    <row r="100" spans="6:51">
      <c r="F100" s="361"/>
      <c r="G100" s="361"/>
      <c r="H100" s="364"/>
      <c r="I100" s="367"/>
      <c r="J100" s="370"/>
      <c r="K100" s="373"/>
      <c r="L100" s="356"/>
      <c r="M100" s="376"/>
      <c r="N100" s="267">
        <f t="shared" ref="N100:N108" si="83">IF(N99=" "," ", IF(N99&lt;SUM(M$9:M$108),N99+1, " "))</f>
        <v>24</v>
      </c>
      <c r="O100" s="28">
        <f t="shared" si="69"/>
        <v>0.5</v>
      </c>
      <c r="P100" s="28">
        <f>IF(N100&lt;&gt;" ",MAX($P$9:P99)+O100/2," ")</f>
        <v>9.2999999999999972</v>
      </c>
      <c r="Q100" s="28" cm="1">
        <f t="array" ref="Q100">IF(Скважина!$L$17=Служебный!$K$2,IF(O100&lt;&gt;" ",IF('Несущая способность по грунту 1'!P100&gt;1,Interpol(9,14,Служебный!$H$33:$H$46,Служебный!$I$32:$Q$32,Служебный!$I$33:$Q$46,'Несущая способность по грунту 1'!P100,IF($I$99&lt;=0.2,0.2,$I$99)),0)," "),0)</f>
        <v>63.949999999999996</v>
      </c>
      <c r="R100" s="68">
        <f t="shared" si="70"/>
        <v>31.974999999999998</v>
      </c>
      <c r="S100" s="188"/>
      <c r="T100" s="193"/>
      <c r="U100" s="72">
        <f t="shared" si="63"/>
        <v>0</v>
      </c>
      <c r="V100" s="188"/>
      <c r="X100" s="163" t="s">
        <v>39</v>
      </c>
      <c r="Y100" s="47">
        <v>0.2</v>
      </c>
      <c r="Z100" s="177">
        <f t="shared" ref="Z100" si="84">IF(I99&lt;=0.2,0.2,I99)</f>
        <v>0.2</v>
      </c>
      <c r="AA100" s="151">
        <v>1.3</v>
      </c>
      <c r="AC100" s="177" t="s">
        <v>39</v>
      </c>
      <c r="AD100" s="109" t="s">
        <v>214</v>
      </c>
      <c r="AN100" s="353"/>
      <c r="AO100" s="353"/>
      <c r="AP100" s="397"/>
      <c r="AQ100" s="353"/>
      <c r="AR100" s="353"/>
      <c r="AS100" s="397"/>
      <c r="AT100" s="353"/>
      <c r="AU100" s="353"/>
      <c r="AV100" s="397"/>
      <c r="AW100" s="353"/>
      <c r="AX100" s="353"/>
      <c r="AY100" s="397"/>
    </row>
    <row r="101" spans="6:51" ht="15.75" thickBot="1">
      <c r="F101" s="361"/>
      <c r="G101" s="361"/>
      <c r="H101" s="364"/>
      <c r="I101" s="367"/>
      <c r="J101" s="370"/>
      <c r="K101" s="373"/>
      <c r="L101" s="356"/>
      <c r="M101" s="376"/>
      <c r="N101" s="267" t="str">
        <f t="shared" si="83"/>
        <v xml:space="preserve"> </v>
      </c>
      <c r="O101" s="28" t="str">
        <f t="shared" si="69"/>
        <v xml:space="preserve"> </v>
      </c>
      <c r="P101" s="28" t="str">
        <f>IF(N101&lt;&gt;" ",MAX($P$9:P100)+O101/2," ")</f>
        <v xml:space="preserve"> </v>
      </c>
      <c r="Q101" s="28" t="str" cm="1">
        <f t="array" ref="Q101">IF(Скважина!$L$17=Служебный!$K$2,IF(O101&lt;&gt;" ",IF('Несущая способность по грунту 1'!P101&gt;1,Interpol(9,14,Служебный!$H$33:$H$46,Служебный!$I$32:$Q$32,Служебный!$I$33:$Q$46,'Несущая способность по грунту 1'!P101,IF($I$99&lt;=0.2,0.2,$I$99)),0)," "),0)</f>
        <v xml:space="preserve"> </v>
      </c>
      <c r="R101" s="68" t="str">
        <f t="shared" si="70"/>
        <v xml:space="preserve"> </v>
      </c>
      <c r="S101" s="188"/>
      <c r="T101" s="193"/>
      <c r="U101" s="72" t="str">
        <f t="shared" si="63"/>
        <v xml:space="preserve"> </v>
      </c>
      <c r="V101" s="188"/>
      <c r="X101" s="164">
        <v>4</v>
      </c>
      <c r="Y101" s="109">
        <f>IF(Y100=0.2,VLOOKUP(X101,Служебный!$H$33:$Q$46,2,FALSE),IF(Y100=0.3,VLOOKUP(X101,Служебный!$H$33:$Q$46,3,FALSE),IF(Y100=0.4,VLOOKUP(X101,Служебный!$H$33:$Q$46,4,FALSE),IF(Y100=0.5,VLOOKUP(X101,Служебный!$H$33:$Q$46,5,FALSE),IF(Y100=0.6,VLOOKUP(X101,Служебный!$H$33:$Q$46,6,FALSE),IF(Y100=0.7,VLOOKUP(X101,Служебный!$H$33:$Q$46,7,FALSE),IF(Y100=0.8,VLOOKUP(X101,Служебный!$H$33:$Q$46,8,FALSE),IF(Y100=0.9,VLOOKUP(X101,Служебный!$H$33:$Q$46,9,FALSE),IF(Y100=1,VLOOKUP(X101,Служебный!$H$33:$Q$46,10,FALSE),0)))))))))</f>
        <v>53</v>
      </c>
      <c r="Z101" s="79">
        <f t="shared" ref="Z101" si="85">(AA101-Y101)/(AA100-Y100)*(Z100-Y100)+Y101</f>
        <v>53</v>
      </c>
      <c r="AA101" s="165">
        <f>IF(AA100=0.2,VLOOKUP(X101,Служебный!$H$33:$Q$46,2,FALSE),IF(AA100=0.3,VLOOKUP(X101,Служебный!$H$33:$Q$46,3,FALSE),IF(AA100=0.4,VLOOKUP(X101,Служебный!$H$33:$Q$46,4,FALSE),IF(AA100=0.5,VLOOKUP(X101,Служебный!$H$33:$Q$46,5,FALSE),IF(AA100=0.6,VLOOKUP(X101,Служебный!$H$33:$Q$46,6,FALSE),IF(AA100=0.7,VLOOKUP(X101,Служебный!$H$33:$Q$46,7,FALSE),IF(AA100=0.8,VLOOKUP(X101,Служебный!$H$33:$Q$46,8,FALSE),IF(AA100=0.9,VLOOKUP(X101,Служебный!$H$33:$Q$46,9,FALSE),IF(AA100=1,VLOOKUP(X101,Служебный!$H$33:$Q$46,10,FALSE),0)))))))))</f>
        <v>0</v>
      </c>
      <c r="AC101" s="47">
        <v>9</v>
      </c>
      <c r="AD101" s="47">
        <v>55</v>
      </c>
      <c r="AN101" s="353"/>
      <c r="AO101" s="353"/>
      <c r="AP101" s="397"/>
      <c r="AQ101" s="353"/>
      <c r="AR101" s="353"/>
      <c r="AS101" s="397"/>
      <c r="AT101" s="353"/>
      <c r="AU101" s="353"/>
      <c r="AV101" s="397"/>
      <c r="AW101" s="353"/>
      <c r="AX101" s="353"/>
      <c r="AY101" s="397"/>
    </row>
    <row r="102" spans="6:51" ht="15.75" thickBot="1">
      <c r="F102" s="361"/>
      <c r="G102" s="361"/>
      <c r="H102" s="364"/>
      <c r="I102" s="367"/>
      <c r="J102" s="370"/>
      <c r="K102" s="373"/>
      <c r="L102" s="356"/>
      <c r="M102" s="376"/>
      <c r="N102" s="267" t="str">
        <f t="shared" si="83"/>
        <v xml:space="preserve"> </v>
      </c>
      <c r="O102" s="28" t="str">
        <f t="shared" si="69"/>
        <v xml:space="preserve"> </v>
      </c>
      <c r="P102" s="28" t="str">
        <f>IF(N102&lt;&gt;" ",MAX($P$9:P101)+O102/2," ")</f>
        <v xml:space="preserve"> </v>
      </c>
      <c r="Q102" s="28" t="str" cm="1">
        <f t="array" ref="Q102">IF(Скважина!$L$17=Служебный!$K$2,IF(O102&lt;&gt;" ",IF('Несущая способность по грунту 1'!P102&gt;1,Interpol(9,14,Служебный!$H$33:$H$46,Служебный!$I$32:$Q$32,Служебный!$I$33:$Q$46,'Несущая способность по грунту 1'!P102,IF($I$99&lt;=0.2,0.2,$I$99)),0)," "),0)</f>
        <v xml:space="preserve"> </v>
      </c>
      <c r="R102" s="68" t="str">
        <f t="shared" si="70"/>
        <v xml:space="preserve"> </v>
      </c>
      <c r="S102" s="188"/>
      <c r="T102" s="193"/>
      <c r="U102" s="72" t="str">
        <f t="shared" si="63"/>
        <v xml:space="preserve"> </v>
      </c>
      <c r="V102" s="188"/>
      <c r="X102" s="164">
        <v>4.75</v>
      </c>
      <c r="Y102" s="78"/>
      <c r="Z102" s="77">
        <f t="shared" ref="Z102" si="86">(Z103-Z101)/(X103-X101)*(X102-X101)+Z101</f>
        <v>55.25</v>
      </c>
      <c r="AA102" s="166"/>
      <c r="AC102" s="47">
        <v>10</v>
      </c>
      <c r="AD102" s="53">
        <f t="shared" ref="AD102" si="87">(AD103-AD101)/(AC103-AC101)*(AC102-AC101)+AD101</f>
        <v>56.5</v>
      </c>
      <c r="AN102" s="353"/>
      <c r="AO102" s="353"/>
      <c r="AP102" s="397"/>
      <c r="AQ102" s="353"/>
      <c r="AR102" s="353"/>
      <c r="AS102" s="397"/>
      <c r="AT102" s="353"/>
      <c r="AU102" s="353"/>
      <c r="AV102" s="397"/>
      <c r="AW102" s="353"/>
      <c r="AX102" s="353"/>
      <c r="AY102" s="397"/>
    </row>
    <row r="103" spans="6:51" ht="15.75" thickBot="1">
      <c r="F103" s="361"/>
      <c r="G103" s="361"/>
      <c r="H103" s="364"/>
      <c r="I103" s="367"/>
      <c r="J103" s="370"/>
      <c r="K103" s="373"/>
      <c r="L103" s="356"/>
      <c r="M103" s="376"/>
      <c r="N103" s="267" t="str">
        <f t="shared" si="83"/>
        <v xml:space="preserve"> </v>
      </c>
      <c r="O103" s="28" t="str">
        <f t="shared" si="69"/>
        <v xml:space="preserve"> </v>
      </c>
      <c r="P103" s="28" t="str">
        <f>IF(N103&lt;&gt;" ",MAX($P$9:P102)+O103/2," ")</f>
        <v xml:space="preserve"> </v>
      </c>
      <c r="Q103" s="28" t="str" cm="1">
        <f t="array" ref="Q103">IF(Скважина!$L$17=Служебный!$K$2,IF(O103&lt;&gt;" ",IF('Несущая способность по грунту 1'!P103&gt;1,Interpol(9,14,Служебный!$H$33:$H$46,Служебный!$I$32:$Q$32,Служебный!$I$33:$Q$46,'Несущая способность по грунту 1'!P103,IF($I$99&lt;=0.2,0.2,$I$99)),0)," "),0)</f>
        <v xml:space="preserve"> </v>
      </c>
      <c r="R103" s="68" t="str">
        <f t="shared" si="70"/>
        <v xml:space="preserve"> </v>
      </c>
      <c r="S103" s="188"/>
      <c r="T103" s="193"/>
      <c r="U103" s="72" t="str">
        <f t="shared" si="63"/>
        <v xml:space="preserve"> </v>
      </c>
      <c r="V103" s="188"/>
      <c r="X103" s="167">
        <v>5</v>
      </c>
      <c r="Y103" s="168">
        <f>IF(Y100=0.2,VLOOKUP(X103,Служебный!$H$33:$Q$46,2,FALSE),IF(Y100=0.3,VLOOKUP(X103,Служебный!$H$33:$Q$46,3,FALSE),IF(Y100=0.4,VLOOKUP(X103,Служебный!$H$33:$Q$46,4,FALSE),IF(Y100=0.5,VLOOKUP(X103,Служебный!$H$33:$Q$46,5,FALSE),IF(Y100=0.6,VLOOKUP(X103,Служебный!$H$33:$Q$46,6,FALSE),IF(Y100=0.7,VLOOKUP(X103,Служебный!$H$33:$Q$46,7,FALSE),IF(Y100=0.8,VLOOKUP(X103,Служебный!$H$33:$Q$46,8,FALSE),IF(Y100=0.9,VLOOKUP(X103,Служебный!$H$33:$Q$46,9,FALSE),IF(Y100=1,VLOOKUP(X103,Служебный!$H$33:$Q$46,10,FALSE),0)))))))))</f>
        <v>56</v>
      </c>
      <c r="Z103" s="169">
        <f t="shared" ref="Z103" si="88">(AA103-Y103)/(AA100-Y100)*(Z100-Y100)+Y103</f>
        <v>56</v>
      </c>
      <c r="AA103" s="170">
        <f>IF(AA100=0.2,VLOOKUP(X103,Служебный!$H$33:$Q$46,2,FALSE),IF(AA100=0.3,VLOOKUP(X103,Служебный!$H$33:$Q$46,3,FALSE),IF(AA100=0.4,VLOOKUP(X103,Служебный!$H$33:$Q$46,4,FALSE),IF(AA100=0.5,VLOOKUP(X103,Служебный!$H$33:$Q$46,5,FALSE),IF(AA100=0.6,VLOOKUP(X103,Служебный!$H$33:$Q$46,6,FALSE),IF(AA100=0.7,VLOOKUP(X103,Служебный!$H$33:$Q$46,7,FALSE),IF(AA100=0.8,VLOOKUP(X103,Служебный!$H$33:$Q$46,8,FALSE),IF(AA100=0.9,VLOOKUP(X103,Служебный!$H$33:$Q$46,9,FALSE),IF(AA100=1,VLOOKUP(X103,Служебный!$H$33:$Q$46,10,FALSE),0)))))))))</f>
        <v>0</v>
      </c>
      <c r="AC103" s="47">
        <v>11</v>
      </c>
      <c r="AD103" s="47">
        <v>58</v>
      </c>
      <c r="AN103" s="353"/>
      <c r="AO103" s="353"/>
      <c r="AP103" s="397"/>
      <c r="AQ103" s="353"/>
      <c r="AR103" s="353"/>
      <c r="AS103" s="397"/>
      <c r="AT103" s="353"/>
      <c r="AU103" s="353"/>
      <c r="AV103" s="397"/>
      <c r="AW103" s="353"/>
      <c r="AX103" s="353"/>
      <c r="AY103" s="397"/>
    </row>
    <row r="104" spans="6:51">
      <c r="F104" s="361"/>
      <c r="G104" s="361"/>
      <c r="H104" s="364"/>
      <c r="I104" s="367"/>
      <c r="J104" s="370"/>
      <c r="K104" s="373"/>
      <c r="L104" s="356"/>
      <c r="M104" s="376"/>
      <c r="N104" s="267" t="str">
        <f t="shared" si="83"/>
        <v xml:space="preserve"> </v>
      </c>
      <c r="O104" s="28" t="str">
        <f t="shared" si="69"/>
        <v xml:space="preserve"> </v>
      </c>
      <c r="P104" s="28" t="str">
        <f>IF(N104&lt;&gt;" ",MAX($P$9:P103)+O104/2," ")</f>
        <v xml:space="preserve"> </v>
      </c>
      <c r="Q104" s="28" t="str" cm="1">
        <f t="array" ref="Q104">IF(Скважина!$L$17=Служебный!$K$2,IF(O104&lt;&gt;" ",IF('Несущая способность по грунту 1'!P104&gt;1,Interpol(9,14,Служебный!$H$33:$H$46,Служебный!$I$32:$Q$32,Служебный!$I$33:$Q$46,'Несущая способность по грунту 1'!P104,IF($I$99&lt;=0.2,0.2,$I$99)),0)," "),0)</f>
        <v xml:space="preserve"> </v>
      </c>
      <c r="R104" s="68" t="str">
        <f t="shared" si="70"/>
        <v xml:space="preserve"> </v>
      </c>
      <c r="S104" s="188"/>
      <c r="T104" s="193"/>
      <c r="U104" s="72" t="str">
        <f t="shared" si="63"/>
        <v xml:space="preserve"> </v>
      </c>
      <c r="V104" s="188"/>
      <c r="X104" t="str">
        <f t="shared" ref="X104" si="89">H99</f>
        <v>Суглинки полутвердые   с прослоями твердых глин</v>
      </c>
      <c r="AN104" s="353"/>
      <c r="AO104" s="353"/>
      <c r="AP104" s="397"/>
      <c r="AQ104" s="353"/>
      <c r="AR104" s="353"/>
      <c r="AS104" s="397"/>
      <c r="AT104" s="353"/>
      <c r="AU104" s="353"/>
      <c r="AV104" s="397"/>
      <c r="AW104" s="353"/>
      <c r="AX104" s="353"/>
      <c r="AY104" s="397"/>
    </row>
    <row r="105" spans="6:51">
      <c r="F105" s="361"/>
      <c r="G105" s="361"/>
      <c r="H105" s="364"/>
      <c r="I105" s="367"/>
      <c r="J105" s="370"/>
      <c r="K105" s="373"/>
      <c r="L105" s="356"/>
      <c r="M105" s="376"/>
      <c r="N105" s="267" t="str">
        <f t="shared" si="83"/>
        <v xml:space="preserve"> </v>
      </c>
      <c r="O105" s="28" t="str">
        <f t="shared" si="69"/>
        <v xml:space="preserve"> </v>
      </c>
      <c r="P105" s="28" t="str">
        <f>IF(N105&lt;&gt;" ",MAX($P$9:P104)+O105/2," ")</f>
        <v xml:space="preserve"> </v>
      </c>
      <c r="Q105" s="28" t="str" cm="1">
        <f t="array" ref="Q105">IF(Скважина!$L$17=Служебный!$K$2,IF(O105&lt;&gt;" ",IF('Несущая способность по грунту 1'!P105&gt;1,Interpol(9,14,Служебный!$H$33:$H$46,Служебный!$I$32:$Q$32,Служебный!$I$33:$Q$46,'Несущая способность по грунту 1'!P105,IF($I$99&lt;=0.2,0.2,$I$99)),0)," "),0)</f>
        <v xml:space="preserve"> </v>
      </c>
      <c r="R105" s="68" t="str">
        <f t="shared" si="70"/>
        <v xml:space="preserve"> </v>
      </c>
      <c r="S105" s="188"/>
      <c r="T105" s="193"/>
      <c r="U105" s="72" t="str">
        <f t="shared" si="63"/>
        <v xml:space="preserve"> </v>
      </c>
      <c r="V105" s="188"/>
      <c r="AN105" s="353"/>
      <c r="AO105" s="353"/>
      <c r="AP105" s="397"/>
      <c r="AQ105" s="353"/>
      <c r="AR105" s="353"/>
      <c r="AS105" s="397"/>
      <c r="AT105" s="353"/>
      <c r="AU105" s="353"/>
      <c r="AV105" s="397"/>
      <c r="AW105" s="353"/>
      <c r="AX105" s="353"/>
      <c r="AY105" s="397"/>
    </row>
    <row r="106" spans="6:51">
      <c r="F106" s="361"/>
      <c r="G106" s="361"/>
      <c r="H106" s="364"/>
      <c r="I106" s="367"/>
      <c r="J106" s="370"/>
      <c r="K106" s="373"/>
      <c r="L106" s="356"/>
      <c r="M106" s="376"/>
      <c r="N106" s="267" t="str">
        <f t="shared" si="83"/>
        <v xml:space="preserve"> </v>
      </c>
      <c r="O106" s="28" t="str">
        <f t="shared" si="69"/>
        <v xml:space="preserve"> </v>
      </c>
      <c r="P106" s="28" t="str">
        <f>IF(N106&lt;&gt;" ",MAX($P$9:P105)+O106/2," ")</f>
        <v xml:space="preserve"> </v>
      </c>
      <c r="Q106" s="28" t="str" cm="1">
        <f t="array" ref="Q106">IF(Скважина!$L$17=Служебный!$K$2,IF(O106&lt;&gt;" ",IF('Несущая способность по грунту 1'!P106&gt;1,Interpol(9,14,Служебный!$H$33:$H$46,Служебный!$I$32:$Q$32,Служебный!$I$33:$Q$46,'Несущая способность по грунту 1'!P106,IF($I$99&lt;=0.2,0.2,$I$99)),0)," "),0)</f>
        <v xml:space="preserve"> </v>
      </c>
      <c r="R106" s="68" t="str">
        <f t="shared" si="70"/>
        <v xml:space="preserve"> </v>
      </c>
      <c r="S106" s="188"/>
      <c r="T106" s="193"/>
      <c r="U106" s="72" t="str">
        <f t="shared" si="63"/>
        <v xml:space="preserve"> </v>
      </c>
      <c r="V106" s="188"/>
      <c r="AN106" s="353"/>
      <c r="AO106" s="353"/>
      <c r="AP106" s="397"/>
      <c r="AQ106" s="353"/>
      <c r="AR106" s="353"/>
      <c r="AS106" s="397"/>
      <c r="AT106" s="353"/>
      <c r="AU106" s="353"/>
      <c r="AV106" s="397"/>
      <c r="AW106" s="353"/>
      <c r="AX106" s="353"/>
      <c r="AY106" s="397"/>
    </row>
    <row r="107" spans="6:51">
      <c r="F107" s="361"/>
      <c r="G107" s="361"/>
      <c r="H107" s="364"/>
      <c r="I107" s="367"/>
      <c r="J107" s="370"/>
      <c r="K107" s="373"/>
      <c r="L107" s="356"/>
      <c r="M107" s="376"/>
      <c r="N107" s="267" t="str">
        <f t="shared" si="83"/>
        <v xml:space="preserve"> </v>
      </c>
      <c r="O107" s="28" t="str">
        <f t="shared" si="69"/>
        <v xml:space="preserve"> </v>
      </c>
      <c r="P107" s="28" t="str">
        <f>IF(N107&lt;&gt;" ",MAX($P$9:P106)+O107/2," ")</f>
        <v xml:space="preserve"> </v>
      </c>
      <c r="Q107" s="28" t="str" cm="1">
        <f t="array" ref="Q107">IF(Скважина!$L$17=Служебный!$K$2,IF(O107&lt;&gt;" ",IF('Несущая способность по грунту 1'!P107&gt;1,Interpol(9,14,Служебный!$H$33:$H$46,Служебный!$I$32:$Q$32,Служебный!$I$33:$Q$46,'Несущая способность по грунту 1'!P107,IF($I$99&lt;=0.2,0.2,$I$99)),0)," "),0)</f>
        <v xml:space="preserve"> </v>
      </c>
      <c r="R107" s="68" t="str">
        <f t="shared" si="70"/>
        <v xml:space="preserve"> </v>
      </c>
      <c r="S107" s="188"/>
      <c r="T107" s="193"/>
      <c r="U107" s="72" t="str">
        <f t="shared" si="63"/>
        <v xml:space="preserve"> </v>
      </c>
      <c r="V107" s="188"/>
      <c r="AN107" s="353"/>
      <c r="AO107" s="353"/>
      <c r="AP107" s="397"/>
      <c r="AQ107" s="353"/>
      <c r="AR107" s="353"/>
      <c r="AS107" s="397"/>
      <c r="AT107" s="353"/>
      <c r="AU107" s="353"/>
      <c r="AV107" s="397"/>
      <c r="AW107" s="353"/>
      <c r="AX107" s="353"/>
      <c r="AY107" s="397"/>
    </row>
    <row r="108" spans="6:51" ht="15.75" thickBot="1">
      <c r="F108" s="362"/>
      <c r="G108" s="362"/>
      <c r="H108" s="365"/>
      <c r="I108" s="368"/>
      <c r="J108" s="371"/>
      <c r="K108" s="374"/>
      <c r="L108" s="357"/>
      <c r="M108" s="377"/>
      <c r="N108" s="274" t="str">
        <f t="shared" si="83"/>
        <v xml:space="preserve"> </v>
      </c>
      <c r="O108" s="70" t="str">
        <f t="shared" si="69"/>
        <v xml:space="preserve"> </v>
      </c>
      <c r="P108" s="70" t="str">
        <f>IF(N108&lt;&gt;" ",MAX($P$9:P107)+O108/2," ")</f>
        <v xml:space="preserve"> </v>
      </c>
      <c r="Q108" s="70" t="str" cm="1">
        <f t="array" ref="Q108">IF(Скважина!$L$17=Служебный!$K$2,IF(O108&lt;&gt;" ",IF('Несущая способность по грунту 1'!P108&gt;1,Interpol(9,14,Служебный!$H$33:$H$46,Служебный!$I$32:$Q$32,Служебный!$I$33:$Q$46,'Несущая способность по грунту 1'!P108,IF($I$99&lt;=0.2,0.2,$I$99)),0)," "),0)</f>
        <v xml:space="preserve"> </v>
      </c>
      <c r="R108" s="71" t="str">
        <f t="shared" si="70"/>
        <v xml:space="preserve"> </v>
      </c>
      <c r="S108" s="188"/>
      <c r="T108" s="194"/>
      <c r="U108" s="195" t="str">
        <f t="shared" si="63"/>
        <v xml:space="preserve"> </v>
      </c>
      <c r="V108" s="188"/>
      <c r="AN108" s="353"/>
      <c r="AO108" s="353"/>
      <c r="AP108" s="397"/>
      <c r="AQ108" s="353"/>
      <c r="AR108" s="353"/>
      <c r="AS108" s="397"/>
      <c r="AT108" s="353"/>
      <c r="AU108" s="353"/>
      <c r="AV108" s="397"/>
      <c r="AW108" s="353"/>
      <c r="AX108" s="353"/>
      <c r="AY108" s="397"/>
    </row>
    <row r="109" spans="6:51" ht="18">
      <c r="F109" s="378">
        <f t="shared" ref="F109" si="90">F99+1</f>
        <v>11</v>
      </c>
      <c r="G109" s="378">
        <f>IF(F109&lt;21,IF(VLOOKUP(F109,Скважина!$E$8:$K$27,4,FALSE)&gt;Скважина!$C$8,VLOOKUP('Несущая способность по грунту 1'!F109,Скважина!$E$8:$K$27,2,FALSE),0),0)</f>
        <v>0</v>
      </c>
      <c r="H109" s="388" t="str">
        <f>IF(G109&lt;&gt;0,VLOOKUP('Несущая способность по грунту 1'!G109,Геология!$D$7:$BO$993,7,FALSE)," ")</f>
        <v xml:space="preserve"> </v>
      </c>
      <c r="I109" s="367" t="str">
        <f>IF(G109&lt;&gt;0,VLOOKUP('Несущая способность по грунту 1'!G109, Геология!$D$8:$BM$993, 22,FALSE)," ")</f>
        <v xml:space="preserve"> </v>
      </c>
      <c r="J109" s="390">
        <f>VLOOKUP(F109,Скважина!$E$8:$K$27,4,FALSE)</f>
        <v>118</v>
      </c>
      <c r="K109" s="373">
        <f>IF(VLOOKUP($F109,Скважина!$E$8:$K$27,5,FALSE)&gt;Скважина!$C$8,VLOOKUP($F109,Скважина!$E$8:$K$27,5,FALSE),Скважина!$C$8)</f>
        <v>120</v>
      </c>
      <c r="L109" s="356">
        <f t="shared" ref="L109" si="91">IF(IF(G109&lt;&gt;0,J109-K109,0)&lt;0,0,IF(G109&lt;&gt;0,J109-K109,0))</f>
        <v>0</v>
      </c>
      <c r="M109" s="392"/>
      <c r="N109" s="264" t="str">
        <f>IF(M109&lt;&gt;0,MAX(N$9:N$108)+1," ")</f>
        <v xml:space="preserve"> </v>
      </c>
      <c r="O109" s="34" t="str">
        <f t="shared" si="69"/>
        <v xml:space="preserve"> </v>
      </c>
      <c r="P109" s="34" t="str">
        <f>IF(N109&lt;&gt;" ",MAX($P$9:P108)+O109/2," ")</f>
        <v xml:space="preserve"> </v>
      </c>
      <c r="Q109" s="34" t="str" cm="1">
        <f t="array" ref="Q109">IF(Скважина!$L$18=Служебный!$K$2,IF(O109&lt;&gt;" ",IF('Несущая способность по грунту 1'!P109&gt;1,Interpol(9,14,Служебный!$H$33:$H$46,Служебный!$I$32:$Q$32,Служебный!$I$33:$Q$46,'Несущая способность по грунту 1'!P109,IF($I$109&lt;=0.2,0.2,$I$109)),0)," "),0)</f>
        <v xml:space="preserve"> </v>
      </c>
      <c r="R109" s="72" t="str">
        <f t="shared" si="70"/>
        <v xml:space="preserve"> </v>
      </c>
      <c r="S109" s="188"/>
      <c r="T109" s="192"/>
      <c r="U109" s="67" t="str">
        <f t="shared" si="63"/>
        <v xml:space="preserve"> </v>
      </c>
      <c r="V109" s="188"/>
      <c r="X109" s="159" t="s">
        <v>156</v>
      </c>
      <c r="Y109" s="160"/>
      <c r="Z109" s="161" t="s">
        <v>155</v>
      </c>
      <c r="AA109" s="162"/>
      <c r="AC109" s="283" t="s">
        <v>213</v>
      </c>
      <c r="AD109" s="284"/>
      <c r="AN109" s="353" t="str">
        <f>IF(OR(G109=0,F109&gt;20)," ",VLOOKUP('Несущая способность по грунту 1'!G109,Геология!$D$7:$BO$993,23,FALSE))</f>
        <v xml:space="preserve"> </v>
      </c>
      <c r="AO109" s="353" t="str">
        <f t="shared" ref="AO109" si="92">IF(AN109&lt;&gt;" ",AN109*L109," ")</f>
        <v xml:space="preserve"> </v>
      </c>
      <c r="AP109" s="397"/>
      <c r="AQ109" s="353" t="str">
        <f>IF(G109&lt;&gt;0,VLOOKUP('Несущая способность по грунту 1'!G109,Геология!$D$7:$BO$993,24,FALSE)," ")</f>
        <v xml:space="preserve"> </v>
      </c>
      <c r="AR109" s="353" t="str">
        <f t="shared" ref="AR109" si="93">IF(AQ109&lt;&gt;" ",AQ109*L109," ")</f>
        <v xml:space="preserve"> </v>
      </c>
      <c r="AS109" s="397"/>
      <c r="AT109" s="353" t="str">
        <f>IF(G109&lt;&gt;0,VLOOKUP('Несущая способность по грунту 1'!G109,Геология!$D$7:$BO$993,21,FALSE)," ")</f>
        <v xml:space="preserve"> </v>
      </c>
      <c r="AU109" s="353" t="str">
        <f t="shared" ref="AU109" si="94">IF(G109&lt;&gt;0,AT109*L109," ")</f>
        <v xml:space="preserve"> </v>
      </c>
      <c r="AV109" s="397"/>
      <c r="AW109" s="353" t="str">
        <f>IF(G109&lt;&gt;0,VLOOKUP('Несущая способность по грунту 1'!G109,Геология!$D$7:$BO$993,27,FALSE)," ")</f>
        <v xml:space="preserve"> </v>
      </c>
      <c r="AX109" s="353" t="str">
        <f t="shared" ref="AX109" si="95">IF(G109&lt;&gt;0,AW109*L109," ")</f>
        <v xml:space="preserve"> </v>
      </c>
      <c r="AY109" s="397"/>
    </row>
    <row r="110" spans="6:51">
      <c r="F110" s="361"/>
      <c r="G110" s="361"/>
      <c r="H110" s="364"/>
      <c r="I110" s="367"/>
      <c r="J110" s="370"/>
      <c r="K110" s="373"/>
      <c r="L110" s="356"/>
      <c r="M110" s="376"/>
      <c r="N110" s="257" t="str">
        <f t="shared" ref="N110:N118" si="96">IF(N109=" "," ", IF(N109&lt;SUM(M$9:M$118),N109+1, " "))</f>
        <v xml:space="preserve"> </v>
      </c>
      <c r="O110" s="28" t="str">
        <f t="shared" si="69"/>
        <v xml:space="preserve"> </v>
      </c>
      <c r="P110" s="28" t="str">
        <f>IF(N110&lt;&gt;" ",MAX($P$9:P109)+O110/2," ")</f>
        <v xml:space="preserve"> </v>
      </c>
      <c r="Q110" s="28" t="str" cm="1">
        <f t="array" ref="Q110">IF(Скважина!$L$18=Служебный!$K$2,IF(O110&lt;&gt;" ",IF('Несущая способность по грунту 1'!P110&gt;1,Interpol(9,14,Служебный!$H$33:$H$46,Служебный!$I$32:$Q$32,Служебный!$I$33:$Q$46,'Несущая способность по грунту 1'!P110,IF($I$109&lt;=0.2,0.2,$I$109)),0)," "),0)</f>
        <v xml:space="preserve"> </v>
      </c>
      <c r="R110" s="68" t="str">
        <f t="shared" si="70"/>
        <v xml:space="preserve"> </v>
      </c>
      <c r="S110" s="188"/>
      <c r="T110" s="193"/>
      <c r="U110" s="72" t="str">
        <f t="shared" si="63"/>
        <v xml:space="preserve"> </v>
      </c>
      <c r="V110" s="188"/>
      <c r="X110" s="163" t="s">
        <v>39</v>
      </c>
      <c r="Y110" s="47">
        <v>0.2</v>
      </c>
      <c r="Z110" s="177" t="str">
        <f>IF(I109&lt;=0.2,0.2,I109)</f>
        <v xml:space="preserve"> </v>
      </c>
      <c r="AA110" s="151">
        <v>0.3</v>
      </c>
      <c r="AC110" s="262" t="s">
        <v>39</v>
      </c>
      <c r="AD110" s="165" t="s">
        <v>214</v>
      </c>
      <c r="AN110" s="353"/>
      <c r="AO110" s="353"/>
      <c r="AP110" s="397"/>
      <c r="AQ110" s="353"/>
      <c r="AR110" s="353"/>
      <c r="AS110" s="397"/>
      <c r="AT110" s="353"/>
      <c r="AU110" s="353"/>
      <c r="AV110" s="397"/>
      <c r="AW110" s="353"/>
      <c r="AX110" s="353"/>
      <c r="AY110" s="397"/>
    </row>
    <row r="111" spans="6:51" ht="15.75" thickBot="1">
      <c r="F111" s="361"/>
      <c r="G111" s="361"/>
      <c r="H111" s="364"/>
      <c r="I111" s="367"/>
      <c r="J111" s="370"/>
      <c r="K111" s="373"/>
      <c r="L111" s="356"/>
      <c r="M111" s="376"/>
      <c r="N111" s="257" t="str">
        <f t="shared" si="96"/>
        <v xml:space="preserve"> </v>
      </c>
      <c r="O111" s="28" t="str">
        <f t="shared" si="69"/>
        <v xml:space="preserve"> </v>
      </c>
      <c r="P111" s="28" t="str">
        <f>IF(N111&lt;&gt;" ",MAX($P$9:P110)+O111/2," ")</f>
        <v xml:space="preserve"> </v>
      </c>
      <c r="Q111" s="28" t="str" cm="1">
        <f t="array" ref="Q111">IF(Скважина!$L$18=Служебный!$K$2,IF(O111&lt;&gt;" ",IF('Несущая способность по грунту 1'!P111&gt;1,Interpol(9,14,Служебный!$H$33:$H$46,Служебный!$I$32:$Q$32,Служебный!$I$33:$Q$46,'Несущая способность по грунту 1'!P111,IF($I$109&lt;=0.2,0.2,$I$109)),0)," "),0)</f>
        <v xml:space="preserve"> </v>
      </c>
      <c r="R111" s="68" t="str">
        <f t="shared" si="70"/>
        <v xml:space="preserve"> </v>
      </c>
      <c r="S111" s="188"/>
      <c r="T111" s="193"/>
      <c r="U111" s="72" t="str">
        <f t="shared" si="63"/>
        <v xml:space="preserve"> </v>
      </c>
      <c r="V111" s="188"/>
      <c r="X111" s="164">
        <v>4</v>
      </c>
      <c r="Y111" s="109">
        <f>IF(Y110=0.2,VLOOKUP(X111,Служебный!$H$33:$Q$46,2,FALSE),IF(Y110=0.3,VLOOKUP(X111,Служебный!$H$33:$Q$46,3,FALSE),IF(Y110=0.4,VLOOKUP(X111,Служебный!$H$33:$Q$46,4,FALSE),IF(Y110=0.5,VLOOKUP(X111,Служебный!$H$33:$Q$46,5,FALSE),IF(Y110=0.6,VLOOKUP(X111,Служебный!$H$33:$Q$46,6,FALSE),IF(Y110=0.7,VLOOKUP(X111,Служебный!$H$33:$Q$46,7,FALSE),IF(Y110=0.8,VLOOKUP(X111,Служебный!$H$33:$Q$46,8,FALSE),IF(Y110=0.9,VLOOKUP(X111,Служебный!$H$33:$Q$46,9,FALSE),IF(Y110=1,VLOOKUP(X111,Служебный!$H$33:$Q$46,10,FALSE),0)))))))))</f>
        <v>53</v>
      </c>
      <c r="Z111" s="79" t="e">
        <f t="shared" ref="Z111" si="97">(AA111-Y111)/(AA110-Y110)*(Z110-Y110)+Y111</f>
        <v>#VALUE!</v>
      </c>
      <c r="AA111" s="165">
        <f>IF(AA110=0.2,VLOOKUP(X111,Служебный!$H$33:$Q$46,2,FALSE),IF(AA110=0.3,VLOOKUP(X111,Служебный!$H$33:$Q$46,3,FALSE),IF(AA110=0.4,VLOOKUP(X111,Служебный!$H$33:$Q$46,4,FALSE),IF(AA110=0.5,VLOOKUP(X111,Служебный!$H$33:$Q$46,5,FALSE),IF(AA110=0.6,VLOOKUP(X111,Служебный!$H$33:$Q$46,6,FALSE),IF(AA110=0.7,VLOOKUP(X111,Служебный!$H$33:$Q$46,7,FALSE),IF(AA110=0.8,VLOOKUP(X111,Служебный!$H$33:$Q$46,8,FALSE),IF(AA110=0.9,VLOOKUP(X111,Служебный!$H$33:$Q$46,9,FALSE),IF(AA110=1,VLOOKUP(X111,Служебный!$H$33:$Q$46,10,FALSE),0)))))))))</f>
        <v>38</v>
      </c>
      <c r="AC111" s="164">
        <v>12</v>
      </c>
      <c r="AD111" s="151">
        <v>55</v>
      </c>
      <c r="AN111" s="353"/>
      <c r="AO111" s="353"/>
      <c r="AP111" s="397"/>
      <c r="AQ111" s="353"/>
      <c r="AR111" s="353"/>
      <c r="AS111" s="397"/>
      <c r="AT111" s="353"/>
      <c r="AU111" s="353"/>
      <c r="AV111" s="397"/>
      <c r="AW111" s="353"/>
      <c r="AX111" s="353"/>
      <c r="AY111" s="397"/>
    </row>
    <row r="112" spans="6:51" ht="15.75" thickBot="1">
      <c r="F112" s="361"/>
      <c r="G112" s="361"/>
      <c r="H112" s="364"/>
      <c r="I112" s="367"/>
      <c r="J112" s="370"/>
      <c r="K112" s="373"/>
      <c r="L112" s="356"/>
      <c r="M112" s="376"/>
      <c r="N112" s="257" t="str">
        <f t="shared" si="96"/>
        <v xml:space="preserve"> </v>
      </c>
      <c r="O112" s="28" t="str">
        <f t="shared" si="69"/>
        <v xml:space="preserve"> </v>
      </c>
      <c r="P112" s="28" t="str">
        <f>IF(N112&lt;&gt;" ",MAX($P$9:P111)+O112/2," ")</f>
        <v xml:space="preserve"> </v>
      </c>
      <c r="Q112" s="28" t="str" cm="1">
        <f t="array" ref="Q112">IF(Скважина!$L$18=Служебный!$K$2,IF(O112&lt;&gt;" ",IF('Несущая способность по грунту 1'!P112&gt;1,Interpol(9,14,Служебный!$H$33:$H$46,Служебный!$I$32:$Q$32,Служебный!$I$33:$Q$46,'Несущая способность по грунту 1'!P112,IF($I$109&lt;=0.2,0.2,$I$109)),0)," "),0)</f>
        <v xml:space="preserve"> </v>
      </c>
      <c r="R112" s="68" t="str">
        <f t="shared" si="70"/>
        <v xml:space="preserve"> </v>
      </c>
      <c r="S112" s="188"/>
      <c r="T112" s="193"/>
      <c r="U112" s="72" t="str">
        <f t="shared" si="63"/>
        <v xml:space="preserve"> </v>
      </c>
      <c r="V112" s="188"/>
      <c r="X112" s="164">
        <v>4.75</v>
      </c>
      <c r="Y112" s="78"/>
      <c r="Z112" s="77" t="e">
        <f t="shared" ref="Z112" si="98">(Z113-Z111)/(X113-X111)*(X112-X111)+Z111</f>
        <v>#VALUE!</v>
      </c>
      <c r="AA112" s="166"/>
      <c r="AC112" s="164">
        <v>13</v>
      </c>
      <c r="AD112" s="285">
        <f t="shared" ref="AD112" si="99">(AD113-AD111)/(AC113-AC111)*(AC112-AC111)+AD111</f>
        <v>56.5</v>
      </c>
      <c r="AN112" s="353"/>
      <c r="AO112" s="353"/>
      <c r="AP112" s="397"/>
      <c r="AQ112" s="353"/>
      <c r="AR112" s="353"/>
      <c r="AS112" s="397"/>
      <c r="AT112" s="353"/>
      <c r="AU112" s="353"/>
      <c r="AV112" s="397"/>
      <c r="AW112" s="353"/>
      <c r="AX112" s="353"/>
      <c r="AY112" s="397"/>
    </row>
    <row r="113" spans="6:51" ht="15.75" thickBot="1">
      <c r="F113" s="361"/>
      <c r="G113" s="361"/>
      <c r="H113" s="364"/>
      <c r="I113" s="367"/>
      <c r="J113" s="370"/>
      <c r="K113" s="373"/>
      <c r="L113" s="356"/>
      <c r="M113" s="376"/>
      <c r="N113" s="257" t="str">
        <f t="shared" si="96"/>
        <v xml:space="preserve"> </v>
      </c>
      <c r="O113" s="28" t="str">
        <f t="shared" si="69"/>
        <v xml:space="preserve"> </v>
      </c>
      <c r="P113" s="28" t="str">
        <f>IF(N113&lt;&gt;" ",MAX($P$9:P112)+O113/2," ")</f>
        <v xml:space="preserve"> </v>
      </c>
      <c r="Q113" s="28" t="str" cm="1">
        <f t="array" ref="Q113">IF(Скважина!$L$18=Служебный!$K$2,IF(O113&lt;&gt;" ",IF('Несущая способность по грунту 1'!P113&gt;1,Interpol(9,14,Служебный!$H$33:$H$46,Служебный!$I$32:$Q$32,Служебный!$I$33:$Q$46,'Несущая способность по грунту 1'!P113,IF($I$109&lt;=0.2,0.2,$I$109)),0)," "),0)</f>
        <v xml:space="preserve"> </v>
      </c>
      <c r="R113" s="68" t="str">
        <f t="shared" si="70"/>
        <v xml:space="preserve"> </v>
      </c>
      <c r="S113" s="188"/>
      <c r="T113" s="193"/>
      <c r="U113" s="72" t="str">
        <f t="shared" si="63"/>
        <v xml:space="preserve"> </v>
      </c>
      <c r="V113" s="188"/>
      <c r="X113" s="167">
        <v>5</v>
      </c>
      <c r="Y113" s="168">
        <f>IF(Y110=0.2,VLOOKUP(X113,Служебный!$H$33:$Q$46,2,FALSE),IF(Y110=0.3,VLOOKUP(X113,Служебный!$H$33:$Q$46,3,FALSE),IF(Y110=0.4,VLOOKUP(X113,Служебный!$H$33:$Q$46,4,FALSE),IF(Y110=0.5,VLOOKUP(X113,Служебный!$H$33:$Q$46,5,FALSE),IF(Y110=0.6,VLOOKUP(X113,Служебный!$H$33:$Q$46,6,FALSE),IF(Y110=0.7,VLOOKUP(X113,Служебный!$H$33:$Q$46,7,FALSE),IF(Y110=0.8,VLOOKUP(X113,Служебный!$H$33:$Q$46,8,FALSE),IF(Y110=0.9,VLOOKUP(X113,Служебный!$H$33:$Q$46,9,FALSE),IF(Y110=1,VLOOKUP(X113,Служебный!$H$33:$Q$46,10,FALSE),0)))))))))</f>
        <v>56</v>
      </c>
      <c r="Z113" s="169" t="e">
        <f t="shared" ref="Z113" si="100">(AA113-Y113)/(AA110-Y110)*(Z110-Y110)+Y113</f>
        <v>#VALUE!</v>
      </c>
      <c r="AA113" s="170">
        <f>IF(AA110=0.2,VLOOKUP(X113,Служебный!$H$33:$Q$46,2,FALSE),IF(AA110=0.3,VLOOKUP(X113,Служебный!$H$33:$Q$46,3,FALSE),IF(AA110=0.4,VLOOKUP(X113,Служебный!$H$33:$Q$46,4,FALSE),IF(AA110=0.5,VLOOKUP(X113,Служебный!$H$33:$Q$46,5,FALSE),IF(AA110=0.6,VLOOKUP(X113,Служебный!$H$33:$Q$46,6,FALSE),IF(AA110=0.7,VLOOKUP(X113,Служебный!$H$33:$Q$46,7,FALSE),IF(AA110=0.8,VLOOKUP(X113,Служебный!$H$33:$Q$46,8,FALSE),IF(AA110=0.9,VLOOKUP(X113,Служебный!$H$33:$Q$46,9,FALSE),IF(AA110=1,VLOOKUP(X113,Служебный!$H$33:$Q$46,10,FALSE),0)))))))))</f>
        <v>40</v>
      </c>
      <c r="AC113" s="167">
        <v>14</v>
      </c>
      <c r="AD113" s="155">
        <v>58</v>
      </c>
      <c r="AN113" s="353"/>
      <c r="AO113" s="353"/>
      <c r="AP113" s="397"/>
      <c r="AQ113" s="353"/>
      <c r="AR113" s="353"/>
      <c r="AS113" s="397"/>
      <c r="AT113" s="353"/>
      <c r="AU113" s="353"/>
      <c r="AV113" s="397"/>
      <c r="AW113" s="353"/>
      <c r="AX113" s="353"/>
      <c r="AY113" s="397"/>
    </row>
    <row r="114" spans="6:51">
      <c r="F114" s="361"/>
      <c r="G114" s="361"/>
      <c r="H114" s="364"/>
      <c r="I114" s="367"/>
      <c r="J114" s="370"/>
      <c r="K114" s="373"/>
      <c r="L114" s="356"/>
      <c r="M114" s="376"/>
      <c r="N114" s="257" t="str">
        <f t="shared" si="96"/>
        <v xml:space="preserve"> </v>
      </c>
      <c r="O114" s="28" t="str">
        <f t="shared" si="69"/>
        <v xml:space="preserve"> </v>
      </c>
      <c r="P114" s="28" t="str">
        <f>IF(N114&lt;&gt;" ",MAX($P$9:P113)+O114/2," ")</f>
        <v xml:space="preserve"> </v>
      </c>
      <c r="Q114" s="28" t="str" cm="1">
        <f t="array" ref="Q114">IF(Скважина!$L$18=Служебный!$K$2,IF(O114&lt;&gt;" ",IF('Несущая способность по грунту 1'!P114&gt;1,Interpol(9,14,Служебный!$H$33:$H$46,Служебный!$I$32:$Q$32,Служебный!$I$33:$Q$46,'Несущая способность по грунту 1'!P114,IF($I$109&lt;=0.2,0.2,$I$109)),0)," "),0)</f>
        <v xml:space="preserve"> </v>
      </c>
      <c r="R114" s="68" t="str">
        <f t="shared" si="70"/>
        <v xml:space="preserve"> </v>
      </c>
      <c r="S114" s="188"/>
      <c r="T114" s="193"/>
      <c r="U114" s="72" t="str">
        <f t="shared" si="63"/>
        <v xml:space="preserve"> </v>
      </c>
      <c r="V114" s="188"/>
      <c r="X114" t="str">
        <f t="shared" ref="X114" si="101">H109</f>
        <v xml:space="preserve"> </v>
      </c>
      <c r="AN114" s="353"/>
      <c r="AO114" s="353"/>
      <c r="AP114" s="397"/>
      <c r="AQ114" s="353"/>
      <c r="AR114" s="353"/>
      <c r="AS114" s="397"/>
      <c r="AT114" s="353"/>
      <c r="AU114" s="353"/>
      <c r="AV114" s="397"/>
      <c r="AW114" s="353"/>
      <c r="AX114" s="353"/>
      <c r="AY114" s="397"/>
    </row>
    <row r="115" spans="6:51">
      <c r="F115" s="361"/>
      <c r="G115" s="361"/>
      <c r="H115" s="364"/>
      <c r="I115" s="367"/>
      <c r="J115" s="370"/>
      <c r="K115" s="373"/>
      <c r="L115" s="356"/>
      <c r="M115" s="376"/>
      <c r="N115" s="257" t="str">
        <f t="shared" si="96"/>
        <v xml:space="preserve"> </v>
      </c>
      <c r="O115" s="28" t="str">
        <f t="shared" si="69"/>
        <v xml:space="preserve"> </v>
      </c>
      <c r="P115" s="28" t="str">
        <f>IF(N115&lt;&gt;" ",MAX($P$9:P114)+O115/2," ")</f>
        <v xml:space="preserve"> </v>
      </c>
      <c r="Q115" s="28" t="str" cm="1">
        <f t="array" ref="Q115">IF(Скважина!$L$18=Служебный!$K$2,IF(O115&lt;&gt;" ",IF('Несущая способность по грунту 1'!P115&gt;1,Interpol(9,14,Служебный!$H$33:$H$46,Служебный!$I$32:$Q$32,Служебный!$I$33:$Q$46,'Несущая способность по грунту 1'!P115,IF($I$109&lt;=0.2,0.2,$I$109)),0)," "),0)</f>
        <v xml:space="preserve"> </v>
      </c>
      <c r="R115" s="68" t="str">
        <f t="shared" si="70"/>
        <v xml:space="preserve"> </v>
      </c>
      <c r="S115" s="188"/>
      <c r="T115" s="193"/>
      <c r="U115" s="72" t="str">
        <f t="shared" si="63"/>
        <v xml:space="preserve"> </v>
      </c>
      <c r="V115" s="188"/>
      <c r="AN115" s="353"/>
      <c r="AO115" s="353"/>
      <c r="AP115" s="397"/>
      <c r="AQ115" s="353"/>
      <c r="AR115" s="353"/>
      <c r="AS115" s="397"/>
      <c r="AT115" s="353"/>
      <c r="AU115" s="353"/>
      <c r="AV115" s="397"/>
      <c r="AW115" s="353"/>
      <c r="AX115" s="353"/>
      <c r="AY115" s="397"/>
    </row>
    <row r="116" spans="6:51">
      <c r="F116" s="361"/>
      <c r="G116" s="361"/>
      <c r="H116" s="364"/>
      <c r="I116" s="367"/>
      <c r="J116" s="370"/>
      <c r="K116" s="373"/>
      <c r="L116" s="356"/>
      <c r="M116" s="376"/>
      <c r="N116" s="257" t="str">
        <f t="shared" si="96"/>
        <v xml:space="preserve"> </v>
      </c>
      <c r="O116" s="28" t="str">
        <f t="shared" si="69"/>
        <v xml:space="preserve"> </v>
      </c>
      <c r="P116" s="28" t="str">
        <f>IF(N116&lt;&gt;" ",MAX($P$9:P115)+O116/2," ")</f>
        <v xml:space="preserve"> </v>
      </c>
      <c r="Q116" s="28" t="str" cm="1">
        <f t="array" ref="Q116">IF(Скважина!$L$18=Служебный!$K$2,IF(O116&lt;&gt;" ",IF('Несущая способность по грунту 1'!P116&gt;1,Interpol(9,14,Служебный!$H$33:$H$46,Служебный!$I$32:$Q$32,Служебный!$I$33:$Q$46,'Несущая способность по грунту 1'!P116,IF($I$109&lt;=0.2,0.2,$I$109)),0)," "),0)</f>
        <v xml:space="preserve"> </v>
      </c>
      <c r="R116" s="68" t="str">
        <f t="shared" si="70"/>
        <v xml:space="preserve"> </v>
      </c>
      <c r="S116" s="188"/>
      <c r="T116" s="193"/>
      <c r="U116" s="72" t="str">
        <f t="shared" si="63"/>
        <v xml:space="preserve"> </v>
      </c>
      <c r="V116" s="188"/>
      <c r="AN116" s="353"/>
      <c r="AO116" s="353"/>
      <c r="AP116" s="397"/>
      <c r="AQ116" s="353"/>
      <c r="AR116" s="353"/>
      <c r="AS116" s="397"/>
      <c r="AT116" s="353"/>
      <c r="AU116" s="353"/>
      <c r="AV116" s="397"/>
      <c r="AW116" s="353"/>
      <c r="AX116" s="353"/>
      <c r="AY116" s="397"/>
    </row>
    <row r="117" spans="6:51">
      <c r="F117" s="361"/>
      <c r="G117" s="361"/>
      <c r="H117" s="364"/>
      <c r="I117" s="367"/>
      <c r="J117" s="370"/>
      <c r="K117" s="373"/>
      <c r="L117" s="356"/>
      <c r="M117" s="376"/>
      <c r="N117" s="257" t="str">
        <f t="shared" si="96"/>
        <v xml:space="preserve"> </v>
      </c>
      <c r="O117" s="28" t="str">
        <f t="shared" si="69"/>
        <v xml:space="preserve"> </v>
      </c>
      <c r="P117" s="28" t="str">
        <f>IF(N117&lt;&gt;" ",MAX($P$9:P116)+O117/2," ")</f>
        <v xml:space="preserve"> </v>
      </c>
      <c r="Q117" s="28" t="str" cm="1">
        <f t="array" ref="Q117">IF(Скважина!$L$18=Служебный!$K$2,IF(O117&lt;&gt;" ",IF('Несущая способность по грунту 1'!P117&gt;1,Interpol(9,14,Служебный!$H$33:$H$46,Служебный!$I$32:$Q$32,Служебный!$I$33:$Q$46,'Несущая способность по грунту 1'!P117,IF($I$109&lt;=0.2,0.2,$I$109)),0)," "),0)</f>
        <v xml:space="preserve"> </v>
      </c>
      <c r="R117" s="68" t="str">
        <f t="shared" si="70"/>
        <v xml:space="preserve"> </v>
      </c>
      <c r="S117" s="188"/>
      <c r="T117" s="193"/>
      <c r="U117" s="72" t="str">
        <f t="shared" si="63"/>
        <v xml:space="preserve"> </v>
      </c>
      <c r="V117" s="188"/>
      <c r="AN117" s="353"/>
      <c r="AO117" s="353"/>
      <c r="AP117" s="397"/>
      <c r="AQ117" s="353"/>
      <c r="AR117" s="353"/>
      <c r="AS117" s="397"/>
      <c r="AT117" s="353"/>
      <c r="AU117" s="353"/>
      <c r="AV117" s="397"/>
      <c r="AW117" s="353"/>
      <c r="AX117" s="353"/>
      <c r="AY117" s="397"/>
    </row>
    <row r="118" spans="6:51" ht="15.75" thickBot="1">
      <c r="F118" s="379"/>
      <c r="G118" s="379"/>
      <c r="H118" s="389"/>
      <c r="I118" s="367"/>
      <c r="J118" s="391"/>
      <c r="K118" s="373"/>
      <c r="L118" s="356"/>
      <c r="M118" s="393"/>
      <c r="N118" s="266" t="str">
        <f t="shared" si="96"/>
        <v xml:space="preserve"> </v>
      </c>
      <c r="O118" s="190" t="str">
        <f t="shared" si="69"/>
        <v xml:space="preserve"> </v>
      </c>
      <c r="P118" s="190" t="str">
        <f>IF(N118&lt;&gt;" ",MAX($P$9:P117)+O118/2," ")</f>
        <v xml:space="preserve"> </v>
      </c>
      <c r="Q118" s="190" t="str" cm="1">
        <f t="array" ref="Q118">IF(Скважина!$L$18=Служебный!$K$2,IF(O118&lt;&gt;" ",IF('Несущая способность по грунту 1'!P118&gt;1,Interpol(9,14,Служебный!$H$33:$H$46,Служебный!$I$32:$Q$32,Служебный!$I$33:$Q$46,'Несущая способность по грунту 1'!P118,IF($I$109&lt;=0.2,0.2,$I$109)),0)," "),0)</f>
        <v xml:space="preserve"> </v>
      </c>
      <c r="R118" s="280" t="str">
        <f t="shared" si="70"/>
        <v xml:space="preserve"> </v>
      </c>
      <c r="S118" s="188"/>
      <c r="T118" s="194"/>
      <c r="U118" s="195" t="str">
        <f t="shared" si="63"/>
        <v xml:space="preserve"> </v>
      </c>
      <c r="V118" s="188"/>
      <c r="AN118" s="353"/>
      <c r="AO118" s="353"/>
      <c r="AP118" s="397"/>
      <c r="AQ118" s="353"/>
      <c r="AR118" s="353"/>
      <c r="AS118" s="397"/>
      <c r="AT118" s="353"/>
      <c r="AU118" s="353"/>
      <c r="AV118" s="397"/>
      <c r="AW118" s="353"/>
      <c r="AX118" s="353"/>
      <c r="AY118" s="397"/>
    </row>
    <row r="119" spans="6:51" ht="18">
      <c r="F119" s="360">
        <f t="shared" ref="F119" si="102">F109+1</f>
        <v>12</v>
      </c>
      <c r="G119" s="360">
        <f>IF(F119&lt;21,IF(VLOOKUP(F119,Скважина!$E$8:$K$27,4,FALSE)&gt;Скважина!$C$8,VLOOKUP('Несущая способность по грунту 1'!F119,Скважина!$E$8:$K$27,2,FALSE),0),0)</f>
        <v>0</v>
      </c>
      <c r="H119" s="363" t="str">
        <f>IF(G119&lt;&gt;0,VLOOKUP('Несущая способность по грунту 1'!G119,Геология!$D$7:$BO$993,7,FALSE)," ")</f>
        <v xml:space="preserve"> </v>
      </c>
      <c r="I119" s="366" t="str">
        <f>IF(G119&lt;&gt;0,VLOOKUP('Несущая способность по грунту 1'!G119, Геология!$D$8:$BM$993, 22,FALSE)," ")</f>
        <v xml:space="preserve"> </v>
      </c>
      <c r="J119" s="369">
        <f>VLOOKUP(F119,Скважина!$E$8:$K$27,4,FALSE)</f>
        <v>117</v>
      </c>
      <c r="K119" s="372">
        <f>IF(VLOOKUP($F119,Скважина!$E$8:$K$27,5,FALSE)&gt;Скважина!$C$8,VLOOKUP($F119,Скважина!$E$8:$K$27,5,FALSE),Скважина!$C$8)</f>
        <v>120</v>
      </c>
      <c r="L119" s="355">
        <f t="shared" ref="L119" si="103">IF(IF(G119&lt;&gt;0,J119-K119,0)&lt;0,0,IF(G119&lt;&gt;0,J119-K119,0))</f>
        <v>0</v>
      </c>
      <c r="M119" s="375"/>
      <c r="N119" s="275" t="str">
        <f>IF(M119&lt;&gt;0,MAX(N$9:N$118)+1," ")</f>
        <v xml:space="preserve"> </v>
      </c>
      <c r="O119" s="66" t="str">
        <f t="shared" si="69"/>
        <v xml:space="preserve"> </v>
      </c>
      <c r="P119" s="66" t="str">
        <f>IF(N119&lt;&gt;" ",MAX($P$9:P118)+O119/2," ")</f>
        <v xml:space="preserve"> </v>
      </c>
      <c r="Q119" s="66" t="str" cm="1">
        <f t="array" ref="Q119">IF(Скважина!$L$19=Служебный!$K$2,IF(O119&lt;&gt;" ",IF('Несущая способность по грунту 1'!P119&gt;1,Interpol(9,14,Служебный!$H$33:$H$46,Служебный!$I$32:$Q$32,Служебный!$I$33:$Q$46,'Несущая способность по грунту 1'!P119,IF($I$119&lt;=0.2,0.2,$I$119)),0)," "),0)</f>
        <v xml:space="preserve"> </v>
      </c>
      <c r="R119" s="67" t="str">
        <f t="shared" si="70"/>
        <v xml:space="preserve"> </v>
      </c>
      <c r="S119" s="188"/>
      <c r="T119" s="192"/>
      <c r="U119" s="67" t="str">
        <f t="shared" si="63"/>
        <v xml:space="preserve"> </v>
      </c>
      <c r="V119" s="188"/>
      <c r="X119" s="159" t="s">
        <v>156</v>
      </c>
      <c r="Y119" s="160"/>
      <c r="Z119" s="161" t="s">
        <v>155</v>
      </c>
      <c r="AA119" s="162"/>
      <c r="AC119" s="283" t="s">
        <v>213</v>
      </c>
      <c r="AD119" s="284"/>
      <c r="AN119" s="353" t="str">
        <f>IF(OR(G119=0,F119&gt;20)," ",VLOOKUP('Несущая способность по грунту 1'!G119,Геология!$D$7:$BO$993,23,FALSE))</f>
        <v xml:space="preserve"> </v>
      </c>
      <c r="AO119" s="353" t="str">
        <f t="shared" ref="AO119" si="104">IF(AN119&lt;&gt;" ",AN119*L119," ")</f>
        <v xml:space="preserve"> </v>
      </c>
      <c r="AP119" s="397"/>
      <c r="AQ119" s="353" t="str">
        <f>IF(G119&lt;&gt;0,VLOOKUP('Несущая способность по грунту 1'!G119,Геология!$D$7:$BO$993,24,FALSE)," ")</f>
        <v xml:space="preserve"> </v>
      </c>
      <c r="AR119" s="353" t="str">
        <f t="shared" ref="AR119" si="105">IF(AQ119&lt;&gt;" ",AQ119*L119," ")</f>
        <v xml:space="preserve"> </v>
      </c>
      <c r="AS119" s="397"/>
      <c r="AT119" s="353" t="str">
        <f>IF(G119&lt;&gt;0,VLOOKUP('Несущая способность по грунту 1'!G119,Геология!$D$7:$BO$993,21,FALSE)," ")</f>
        <v xml:space="preserve"> </v>
      </c>
      <c r="AU119" s="353" t="str">
        <f t="shared" ref="AU119" si="106">IF(G119&lt;&gt;0,AT119*L119," ")</f>
        <v xml:space="preserve"> </v>
      </c>
      <c r="AV119" s="397"/>
      <c r="AW119" s="353" t="str">
        <f>IF(G119&lt;&gt;0,VLOOKUP('Несущая способность по грунту 1'!G119,Геология!$D$7:$BO$993,27,FALSE)," ")</f>
        <v xml:space="preserve"> </v>
      </c>
      <c r="AX119" s="353" t="str">
        <f t="shared" ref="AX119" si="107">IF(G119&lt;&gt;0,AW119*L119," ")</f>
        <v xml:space="preserve"> </v>
      </c>
      <c r="AY119" s="397"/>
    </row>
    <row r="120" spans="6:51">
      <c r="F120" s="361"/>
      <c r="G120" s="361"/>
      <c r="H120" s="364"/>
      <c r="I120" s="367"/>
      <c r="J120" s="370"/>
      <c r="K120" s="373"/>
      <c r="L120" s="356"/>
      <c r="M120" s="376"/>
      <c r="N120" s="267" t="str">
        <f t="shared" ref="N120:N128" si="108">IF(N119=" "," ", IF(N119&lt;SUM(M$9:M$128),N119+1, " "))</f>
        <v xml:space="preserve"> </v>
      </c>
      <c r="O120" s="28" t="str">
        <f t="shared" si="69"/>
        <v xml:space="preserve"> </v>
      </c>
      <c r="P120" s="28" t="str">
        <f>IF(N120&lt;&gt;" ",MAX($P$9:P119)+O120/2," ")</f>
        <v xml:space="preserve"> </v>
      </c>
      <c r="Q120" s="28" t="str" cm="1">
        <f t="array" ref="Q120">IF(Скважина!$L$19=Служебный!$K$2,IF(O120&lt;&gt;" ",IF('Несущая способность по грунту 1'!P120&gt;1,Interpol(9,14,Служебный!$H$33:$H$46,Служебный!$I$32:$Q$32,Служебный!$I$33:$Q$46,'Несущая способность по грунту 1'!P120,IF($I$119&lt;=0.2,0.2,$I$119)),0)," "),0)</f>
        <v xml:space="preserve"> </v>
      </c>
      <c r="R120" s="68" t="str">
        <f t="shared" si="70"/>
        <v xml:space="preserve"> </v>
      </c>
      <c r="S120" s="188"/>
      <c r="T120" s="193"/>
      <c r="U120" s="72" t="str">
        <f t="shared" si="63"/>
        <v xml:space="preserve"> </v>
      </c>
      <c r="V120" s="188"/>
      <c r="X120" s="163" t="s">
        <v>39</v>
      </c>
      <c r="Y120" s="47">
        <v>2.2000000000000002</v>
      </c>
      <c r="Z120" s="177" t="str">
        <f t="shared" ref="Z120" si="109">IF(I119&lt;=0.2,0.2,I119)</f>
        <v xml:space="preserve"> </v>
      </c>
      <c r="AA120" s="151">
        <v>0.3</v>
      </c>
      <c r="AC120" s="262" t="s">
        <v>39</v>
      </c>
      <c r="AD120" s="165" t="s">
        <v>214</v>
      </c>
      <c r="AN120" s="353"/>
      <c r="AO120" s="353"/>
      <c r="AP120" s="397"/>
      <c r="AQ120" s="353"/>
      <c r="AR120" s="353"/>
      <c r="AS120" s="397"/>
      <c r="AT120" s="353"/>
      <c r="AU120" s="353"/>
      <c r="AV120" s="397"/>
      <c r="AW120" s="353"/>
      <c r="AX120" s="353"/>
      <c r="AY120" s="397"/>
    </row>
    <row r="121" spans="6:51" ht="15.75" thickBot="1">
      <c r="F121" s="361"/>
      <c r="G121" s="361"/>
      <c r="H121" s="364"/>
      <c r="I121" s="367"/>
      <c r="J121" s="370"/>
      <c r="K121" s="373"/>
      <c r="L121" s="356"/>
      <c r="M121" s="376"/>
      <c r="N121" s="267" t="str">
        <f t="shared" si="108"/>
        <v xml:space="preserve"> </v>
      </c>
      <c r="O121" s="28" t="str">
        <f t="shared" si="69"/>
        <v xml:space="preserve"> </v>
      </c>
      <c r="P121" s="28" t="str">
        <f>IF(N121&lt;&gt;" ",MAX($P$9:P120)+O121/2," ")</f>
        <v xml:space="preserve"> </v>
      </c>
      <c r="Q121" s="28" t="str" cm="1">
        <f t="array" ref="Q121">IF(Скважина!$L$19=Служебный!$K$2,IF(O121&lt;&gt;" ",IF('Несущая способность по грунту 1'!P121&gt;1,Interpol(9,14,Служебный!$H$33:$H$46,Служебный!$I$32:$Q$32,Служебный!$I$33:$Q$46,'Несущая способность по грунту 1'!P121,IF($I$119&lt;=0.2,0.2,$I$119)),0)," "),0)</f>
        <v xml:space="preserve"> </v>
      </c>
      <c r="R121" s="68" t="str">
        <f t="shared" si="70"/>
        <v xml:space="preserve"> </v>
      </c>
      <c r="S121" s="188"/>
      <c r="T121" s="193"/>
      <c r="U121" s="72" t="str">
        <f t="shared" si="63"/>
        <v xml:space="preserve"> </v>
      </c>
      <c r="V121" s="188"/>
      <c r="X121" s="164">
        <v>4</v>
      </c>
      <c r="Y121" s="109">
        <f>IF(Y120=0.2,VLOOKUP(X121,Служебный!$H$33:$Q$46,2,FALSE),IF(Y120=0.3,VLOOKUP(X121,Служебный!$H$33:$Q$46,3,FALSE),IF(Y120=0.4,VLOOKUP(X121,Служебный!$H$33:$Q$46,4,FALSE),IF(Y120=0.5,VLOOKUP(X121,Служебный!$H$33:$Q$46,5,FALSE),IF(Y120=0.6,VLOOKUP(X121,Служебный!$H$33:$Q$46,6,FALSE),IF(Y120=0.7,VLOOKUP(X121,Служебный!$H$33:$Q$46,7,FALSE),IF(Y120=0.8,VLOOKUP(X121,Служебный!$H$33:$Q$46,8,FALSE),IF(Y120=0.9,VLOOKUP(X121,Служебный!$H$33:$Q$46,9,FALSE),IF(Y120=1,VLOOKUP(X121,Служебный!$H$33:$Q$46,10,FALSE),0)))))))))</f>
        <v>0</v>
      </c>
      <c r="Z121" s="79" t="e">
        <f t="shared" ref="Z121" si="110">(AA121-Y121)/(AA120-Y120)*(Z120-Y120)+Y121</f>
        <v>#VALUE!</v>
      </c>
      <c r="AA121" s="165">
        <f>IF(AA120=0.2,VLOOKUP(X121,Служебный!$H$33:$Q$46,2,FALSE),IF(AA120=0.3,VLOOKUP(X121,Служебный!$H$33:$Q$46,3,FALSE),IF(AA120=0.4,VLOOKUP(X121,Служебный!$H$33:$Q$46,4,FALSE),IF(AA120=0.5,VLOOKUP(X121,Служебный!$H$33:$Q$46,5,FALSE),IF(AA120=0.6,VLOOKUP(X121,Служебный!$H$33:$Q$46,6,FALSE),IF(AA120=0.7,VLOOKUP(X121,Служебный!$H$33:$Q$46,7,FALSE),IF(AA120=0.8,VLOOKUP(X121,Служебный!$H$33:$Q$46,8,FALSE),IF(AA120=0.9,VLOOKUP(X121,Служебный!$H$33:$Q$46,9,FALSE),IF(AA120=1,VLOOKUP(X121,Служебный!$H$33:$Q$46,10,FALSE),0)))))))))</f>
        <v>38</v>
      </c>
      <c r="AC121" s="164">
        <v>12</v>
      </c>
      <c r="AD121" s="151">
        <v>55</v>
      </c>
      <c r="AN121" s="353"/>
      <c r="AO121" s="353"/>
      <c r="AP121" s="397"/>
      <c r="AQ121" s="353"/>
      <c r="AR121" s="353"/>
      <c r="AS121" s="397"/>
      <c r="AT121" s="353"/>
      <c r="AU121" s="353"/>
      <c r="AV121" s="397"/>
      <c r="AW121" s="353"/>
      <c r="AX121" s="353"/>
      <c r="AY121" s="397"/>
    </row>
    <row r="122" spans="6:51" ht="15.75" thickBot="1">
      <c r="F122" s="361"/>
      <c r="G122" s="361"/>
      <c r="H122" s="364"/>
      <c r="I122" s="367"/>
      <c r="J122" s="370"/>
      <c r="K122" s="373"/>
      <c r="L122" s="356"/>
      <c r="M122" s="376"/>
      <c r="N122" s="267" t="str">
        <f t="shared" si="108"/>
        <v xml:space="preserve"> </v>
      </c>
      <c r="O122" s="28" t="str">
        <f t="shared" si="69"/>
        <v xml:space="preserve"> </v>
      </c>
      <c r="P122" s="28" t="str">
        <f>IF(N122&lt;&gt;" ",MAX($P$9:P121)+O122/2," ")</f>
        <v xml:space="preserve"> </v>
      </c>
      <c r="Q122" s="28" t="str" cm="1">
        <f t="array" ref="Q122">IF(Скважина!$L$19=Служебный!$K$2,IF(O122&lt;&gt;" ",IF('Несущая способность по грунту 1'!P122&gt;1,Interpol(9,14,Служебный!$H$33:$H$46,Служебный!$I$32:$Q$32,Служебный!$I$33:$Q$46,'Несущая способность по грунту 1'!P122,IF($I$119&lt;=0.2,0.2,$I$119)),0)," "),0)</f>
        <v xml:space="preserve"> </v>
      </c>
      <c r="R122" s="68" t="str">
        <f t="shared" si="70"/>
        <v xml:space="preserve"> </v>
      </c>
      <c r="S122" s="188"/>
      <c r="T122" s="193"/>
      <c r="U122" s="72" t="str">
        <f t="shared" si="63"/>
        <v xml:space="preserve"> </v>
      </c>
      <c r="V122" s="188"/>
      <c r="X122" s="164">
        <v>4.75</v>
      </c>
      <c r="Y122" s="78"/>
      <c r="Z122" s="77" t="e">
        <f t="shared" ref="Z122" si="111">(Z123-Z121)/(X123-X121)*(X122-X121)+Z121</f>
        <v>#VALUE!</v>
      </c>
      <c r="AA122" s="166"/>
      <c r="AC122" s="164">
        <v>13</v>
      </c>
      <c r="AD122" s="285">
        <f t="shared" ref="AD122" si="112">(AD123-AD121)/(AC123-AC121)*(AC122-AC121)+AD121</f>
        <v>56.5</v>
      </c>
      <c r="AN122" s="353"/>
      <c r="AO122" s="353"/>
      <c r="AP122" s="397"/>
      <c r="AQ122" s="353"/>
      <c r="AR122" s="353"/>
      <c r="AS122" s="397"/>
      <c r="AT122" s="353"/>
      <c r="AU122" s="353"/>
      <c r="AV122" s="397"/>
      <c r="AW122" s="353"/>
      <c r="AX122" s="353"/>
      <c r="AY122" s="397"/>
    </row>
    <row r="123" spans="6:51" ht="15.75" thickBot="1">
      <c r="F123" s="361"/>
      <c r="G123" s="361"/>
      <c r="H123" s="364"/>
      <c r="I123" s="367"/>
      <c r="J123" s="370"/>
      <c r="K123" s="373"/>
      <c r="L123" s="356"/>
      <c r="M123" s="376"/>
      <c r="N123" s="267" t="str">
        <f t="shared" si="108"/>
        <v xml:space="preserve"> </v>
      </c>
      <c r="O123" s="28" t="str">
        <f t="shared" si="69"/>
        <v xml:space="preserve"> </v>
      </c>
      <c r="P123" s="28" t="str">
        <f>IF(N123&lt;&gt;" ",MAX($P$9:P122)+O123/2," ")</f>
        <v xml:space="preserve"> </v>
      </c>
      <c r="Q123" s="28" t="str" cm="1">
        <f t="array" ref="Q123">IF(Скважина!$L$19=Служебный!$K$2,IF(O123&lt;&gt;" ",IF('Несущая способность по грунту 1'!P123&gt;1,Interpol(9,14,Служебный!$H$33:$H$46,Служебный!$I$32:$Q$32,Служебный!$I$33:$Q$46,'Несущая способность по грунту 1'!P123,IF($I$119&lt;=0.2,0.2,$I$119)),0)," "),0)</f>
        <v xml:space="preserve"> </v>
      </c>
      <c r="R123" s="68" t="str">
        <f t="shared" si="70"/>
        <v xml:space="preserve"> </v>
      </c>
      <c r="S123" s="188"/>
      <c r="T123" s="193"/>
      <c r="U123" s="72" t="str">
        <f t="shared" si="63"/>
        <v xml:space="preserve"> </v>
      </c>
      <c r="V123" s="188"/>
      <c r="X123" s="167">
        <v>5</v>
      </c>
      <c r="Y123" s="168">
        <f>IF(Y120=0.2,VLOOKUP(X123,Служебный!$H$33:$Q$46,2,FALSE),IF(Y120=0.3,VLOOKUP(X123,Служебный!$H$33:$Q$46,3,FALSE),IF(Y120=0.4,VLOOKUP(X123,Служебный!$H$33:$Q$46,4,FALSE),IF(Y120=0.5,VLOOKUP(X123,Служебный!$H$33:$Q$46,5,FALSE),IF(Y120=0.6,VLOOKUP(X123,Служебный!$H$33:$Q$46,6,FALSE),IF(Y120=0.7,VLOOKUP(X123,Служебный!$H$33:$Q$46,7,FALSE),IF(Y120=0.8,VLOOKUP(X123,Служебный!$H$33:$Q$46,8,FALSE),IF(Y120=0.9,VLOOKUP(X123,Служебный!$H$33:$Q$46,9,FALSE),IF(Y120=1,VLOOKUP(X123,Служебный!$H$33:$Q$46,10,FALSE),0)))))))))</f>
        <v>0</v>
      </c>
      <c r="Z123" s="169" t="e">
        <f t="shared" ref="Z123" si="113">(AA123-Y123)/(AA120-Y120)*(Z120-Y120)+Y123</f>
        <v>#VALUE!</v>
      </c>
      <c r="AA123" s="170">
        <f>IF(AA120=0.2,VLOOKUP(X123,Служебный!$H$33:$Q$46,2,FALSE),IF(AA120=0.3,VLOOKUP(X123,Служебный!$H$33:$Q$46,3,FALSE),IF(AA120=0.4,VLOOKUP(X123,Служебный!$H$33:$Q$46,4,FALSE),IF(AA120=0.5,VLOOKUP(X123,Служебный!$H$33:$Q$46,5,FALSE),IF(AA120=0.6,VLOOKUP(X123,Служебный!$H$33:$Q$46,6,FALSE),IF(AA120=0.7,VLOOKUP(X123,Служебный!$H$33:$Q$46,7,FALSE),IF(AA120=0.8,VLOOKUP(X123,Служебный!$H$33:$Q$46,8,FALSE),IF(AA120=0.9,VLOOKUP(X123,Служебный!$H$33:$Q$46,9,FALSE),IF(AA120=1,VLOOKUP(X123,Служебный!$H$33:$Q$46,10,FALSE),0)))))))))</f>
        <v>40</v>
      </c>
      <c r="AC123" s="167">
        <v>14</v>
      </c>
      <c r="AD123" s="155">
        <v>58</v>
      </c>
      <c r="AN123" s="353"/>
      <c r="AO123" s="353"/>
      <c r="AP123" s="397"/>
      <c r="AQ123" s="353"/>
      <c r="AR123" s="353"/>
      <c r="AS123" s="397"/>
      <c r="AT123" s="353"/>
      <c r="AU123" s="353"/>
      <c r="AV123" s="397"/>
      <c r="AW123" s="353"/>
      <c r="AX123" s="353"/>
      <c r="AY123" s="397"/>
    </row>
    <row r="124" spans="6:51">
      <c r="F124" s="361"/>
      <c r="G124" s="361"/>
      <c r="H124" s="364"/>
      <c r="I124" s="367"/>
      <c r="J124" s="370"/>
      <c r="K124" s="373"/>
      <c r="L124" s="356"/>
      <c r="M124" s="376"/>
      <c r="N124" s="267" t="str">
        <f t="shared" si="108"/>
        <v xml:space="preserve"> </v>
      </c>
      <c r="O124" s="28" t="str">
        <f t="shared" si="69"/>
        <v xml:space="preserve"> </v>
      </c>
      <c r="P124" s="28" t="str">
        <f>IF(N124&lt;&gt;" ",MAX($P$9:P123)+O124/2," ")</f>
        <v xml:space="preserve"> </v>
      </c>
      <c r="Q124" s="28" t="str" cm="1">
        <f t="array" ref="Q124">IF(Скважина!$L$19=Служебный!$K$2,IF(O124&lt;&gt;" ",IF('Несущая способность по грунту 1'!P124&gt;1,Interpol(9,14,Служебный!$H$33:$H$46,Служебный!$I$32:$Q$32,Служебный!$I$33:$Q$46,'Несущая способность по грунту 1'!P124,IF($I$119&lt;=0.2,0.2,$I$119)),0)," "),0)</f>
        <v xml:space="preserve"> </v>
      </c>
      <c r="R124" s="68" t="str">
        <f t="shared" si="70"/>
        <v xml:space="preserve"> </v>
      </c>
      <c r="S124" s="188"/>
      <c r="T124" s="193"/>
      <c r="U124" s="72" t="str">
        <f t="shared" si="63"/>
        <v xml:space="preserve"> </v>
      </c>
      <c r="V124" s="188"/>
      <c r="X124" t="str">
        <f t="shared" ref="X124" si="114">H119</f>
        <v xml:space="preserve"> </v>
      </c>
      <c r="AN124" s="353"/>
      <c r="AO124" s="353"/>
      <c r="AP124" s="397"/>
      <c r="AQ124" s="353"/>
      <c r="AR124" s="353"/>
      <c r="AS124" s="397"/>
      <c r="AT124" s="353"/>
      <c r="AU124" s="353"/>
      <c r="AV124" s="397"/>
      <c r="AW124" s="353"/>
      <c r="AX124" s="353"/>
      <c r="AY124" s="397"/>
    </row>
    <row r="125" spans="6:51">
      <c r="F125" s="361"/>
      <c r="G125" s="361"/>
      <c r="H125" s="364"/>
      <c r="I125" s="367"/>
      <c r="J125" s="370"/>
      <c r="K125" s="373"/>
      <c r="L125" s="356"/>
      <c r="M125" s="376"/>
      <c r="N125" s="267" t="str">
        <f t="shared" si="108"/>
        <v xml:space="preserve"> </v>
      </c>
      <c r="O125" s="28" t="str">
        <f t="shared" si="69"/>
        <v xml:space="preserve"> </v>
      </c>
      <c r="P125" s="28" t="str">
        <f>IF(N125&lt;&gt;" ",MAX($P$9:P124)+O125/2," ")</f>
        <v xml:space="preserve"> </v>
      </c>
      <c r="Q125" s="28" t="str" cm="1">
        <f t="array" ref="Q125">IF(Скважина!$L$19=Служебный!$K$2,IF(O125&lt;&gt;" ",IF('Несущая способность по грунту 1'!P125&gt;1,Interpol(9,14,Служебный!$H$33:$H$46,Служебный!$I$32:$Q$32,Служебный!$I$33:$Q$46,'Несущая способность по грунту 1'!P125,IF($I$119&lt;=0.2,0.2,$I$119)),0)," "),0)</f>
        <v xml:space="preserve"> </v>
      </c>
      <c r="R125" s="68" t="str">
        <f t="shared" si="70"/>
        <v xml:space="preserve"> </v>
      </c>
      <c r="S125" s="188"/>
      <c r="T125" s="193"/>
      <c r="U125" s="72" t="str">
        <f t="shared" si="63"/>
        <v xml:space="preserve"> </v>
      </c>
      <c r="V125" s="188"/>
      <c r="AN125" s="353"/>
      <c r="AO125" s="353"/>
      <c r="AP125" s="397"/>
      <c r="AQ125" s="353"/>
      <c r="AR125" s="353"/>
      <c r="AS125" s="397"/>
      <c r="AT125" s="353"/>
      <c r="AU125" s="353"/>
      <c r="AV125" s="397"/>
      <c r="AW125" s="353"/>
      <c r="AX125" s="353"/>
      <c r="AY125" s="397"/>
    </row>
    <row r="126" spans="6:51">
      <c r="F126" s="361"/>
      <c r="G126" s="361"/>
      <c r="H126" s="364"/>
      <c r="I126" s="367"/>
      <c r="J126" s="370"/>
      <c r="K126" s="373"/>
      <c r="L126" s="356"/>
      <c r="M126" s="376"/>
      <c r="N126" s="267" t="str">
        <f t="shared" si="108"/>
        <v xml:space="preserve"> </v>
      </c>
      <c r="O126" s="28" t="str">
        <f t="shared" si="69"/>
        <v xml:space="preserve"> </v>
      </c>
      <c r="P126" s="28" t="str">
        <f>IF(N126&lt;&gt;" ",MAX($P$9:P125)+O126/2," ")</f>
        <v xml:space="preserve"> </v>
      </c>
      <c r="Q126" s="28" t="str" cm="1">
        <f t="array" ref="Q126">IF(Скважина!$L$19=Служебный!$K$2,IF(O126&lt;&gt;" ",IF('Несущая способность по грунту 1'!P126&gt;1,Interpol(9,14,Служебный!$H$33:$H$46,Служебный!$I$32:$Q$32,Служебный!$I$33:$Q$46,'Несущая способность по грунту 1'!P126,IF($I$119&lt;=0.2,0.2,$I$119)),0)," "),0)</f>
        <v xml:space="preserve"> </v>
      </c>
      <c r="R126" s="68" t="str">
        <f t="shared" si="70"/>
        <v xml:space="preserve"> </v>
      </c>
      <c r="S126" s="188"/>
      <c r="T126" s="193"/>
      <c r="U126" s="72" t="str">
        <f t="shared" si="63"/>
        <v xml:space="preserve"> </v>
      </c>
      <c r="V126" s="188"/>
      <c r="AN126" s="353"/>
      <c r="AO126" s="353"/>
      <c r="AP126" s="397"/>
      <c r="AQ126" s="353"/>
      <c r="AR126" s="353"/>
      <c r="AS126" s="397"/>
      <c r="AT126" s="353"/>
      <c r="AU126" s="353"/>
      <c r="AV126" s="397"/>
      <c r="AW126" s="353"/>
      <c r="AX126" s="353"/>
      <c r="AY126" s="397"/>
    </row>
    <row r="127" spans="6:51">
      <c r="F127" s="361"/>
      <c r="G127" s="361"/>
      <c r="H127" s="364"/>
      <c r="I127" s="367"/>
      <c r="J127" s="370"/>
      <c r="K127" s="373"/>
      <c r="L127" s="356"/>
      <c r="M127" s="376"/>
      <c r="N127" s="267" t="str">
        <f t="shared" si="108"/>
        <v xml:space="preserve"> </v>
      </c>
      <c r="O127" s="28" t="str">
        <f t="shared" si="69"/>
        <v xml:space="preserve"> </v>
      </c>
      <c r="P127" s="28" t="str">
        <f>IF(N127&lt;&gt;" ",MAX($P$9:P126)+O127/2," ")</f>
        <v xml:space="preserve"> </v>
      </c>
      <c r="Q127" s="28" t="str" cm="1">
        <f t="array" ref="Q127">IF(Скважина!$L$19=Служебный!$K$2,IF(O127&lt;&gt;" ",IF('Несущая способность по грунту 1'!P127&gt;1,Interpol(9,14,Служебный!$H$33:$H$46,Служебный!$I$32:$Q$32,Служебный!$I$33:$Q$46,'Несущая способность по грунту 1'!P127,IF($I$119&lt;=0.2,0.2,$I$119)),0)," "),0)</f>
        <v xml:space="preserve"> </v>
      </c>
      <c r="R127" s="68" t="str">
        <f t="shared" si="70"/>
        <v xml:space="preserve"> </v>
      </c>
      <c r="S127" s="188"/>
      <c r="T127" s="193"/>
      <c r="U127" s="72" t="str">
        <f t="shared" si="63"/>
        <v xml:space="preserve"> </v>
      </c>
      <c r="V127" s="188"/>
      <c r="AN127" s="353"/>
      <c r="AO127" s="353"/>
      <c r="AP127" s="397"/>
      <c r="AQ127" s="353"/>
      <c r="AR127" s="353"/>
      <c r="AS127" s="397"/>
      <c r="AT127" s="353"/>
      <c r="AU127" s="353"/>
      <c r="AV127" s="397"/>
      <c r="AW127" s="353"/>
      <c r="AX127" s="353"/>
      <c r="AY127" s="397"/>
    </row>
    <row r="128" spans="6:51" ht="15.75" thickBot="1">
      <c r="F128" s="362"/>
      <c r="G128" s="362"/>
      <c r="H128" s="365"/>
      <c r="I128" s="368"/>
      <c r="J128" s="371"/>
      <c r="K128" s="374"/>
      <c r="L128" s="357"/>
      <c r="M128" s="377"/>
      <c r="N128" s="274" t="str">
        <f t="shared" si="108"/>
        <v xml:space="preserve"> </v>
      </c>
      <c r="O128" s="70" t="str">
        <f t="shared" si="69"/>
        <v xml:space="preserve"> </v>
      </c>
      <c r="P128" s="70" t="str">
        <f>IF(N128&lt;&gt;" ",MAX($P$9:P127)+O128/2," ")</f>
        <v xml:space="preserve"> </v>
      </c>
      <c r="Q128" s="70" t="str" cm="1">
        <f t="array" ref="Q128">IF(Скважина!$L$19=Служебный!$K$2,IF(O128&lt;&gt;" ",IF('Несущая способность по грунту 1'!P128&gt;1,Interpol(9,14,Служебный!$H$33:$H$46,Служебный!$I$32:$Q$32,Служебный!$I$33:$Q$46,'Несущая способность по грунту 1'!P128,IF($I$119&lt;=0.2,0.2,$I$119)),0)," "),0)</f>
        <v xml:space="preserve"> </v>
      </c>
      <c r="R128" s="71" t="str">
        <f t="shared" si="70"/>
        <v xml:space="preserve"> </v>
      </c>
      <c r="S128" s="188"/>
      <c r="T128" s="194"/>
      <c r="U128" s="195" t="str">
        <f t="shared" si="63"/>
        <v xml:space="preserve"> </v>
      </c>
      <c r="V128" s="188"/>
      <c r="AN128" s="353"/>
      <c r="AO128" s="353"/>
      <c r="AP128" s="397"/>
      <c r="AQ128" s="353"/>
      <c r="AR128" s="353"/>
      <c r="AS128" s="397"/>
      <c r="AT128" s="353"/>
      <c r="AU128" s="353"/>
      <c r="AV128" s="397"/>
      <c r="AW128" s="353"/>
      <c r="AX128" s="353"/>
      <c r="AY128" s="397"/>
    </row>
    <row r="129" spans="6:51" ht="18">
      <c r="F129" s="378">
        <f t="shared" ref="F129" si="115">F119+1</f>
        <v>13</v>
      </c>
      <c r="G129" s="378">
        <f>IF(F129&lt;21,IF(VLOOKUP(F129,Скважина!$E$8:$K$27,4,FALSE)&gt;Скважина!$C$8,VLOOKUP('Несущая способность по грунту 1'!F129,Скважина!$E$8:$K$27,2,FALSE),0),0)</f>
        <v>0</v>
      </c>
      <c r="H129" s="388" t="str">
        <f>IF(G129&lt;&gt;0,VLOOKUP('Несущая способность по грунту 1'!G129,Геология!$D$7:$BO$993,7,FALSE)," ")</f>
        <v xml:space="preserve"> </v>
      </c>
      <c r="I129" s="367" t="str">
        <f>IF(G129&lt;&gt;0,VLOOKUP('Несущая способность по грунту 1'!G129, Геология!$D$8:$BM$993, 22,FALSE)," ")</f>
        <v xml:space="preserve"> </v>
      </c>
      <c r="J129" s="390">
        <f>VLOOKUP(F129,Скважина!$E$8:$K$27,4,FALSE)</f>
        <v>0</v>
      </c>
      <c r="K129" s="373">
        <f>IF(VLOOKUP($F129,Скважина!$E$8:$K$27,5,FALSE)&gt;Скважина!$C$8,VLOOKUP($F129,Скважина!$E$8:$K$27,5,FALSE),Скважина!$C$8)</f>
        <v>120</v>
      </c>
      <c r="L129" s="356">
        <f>IF(IF(G129&lt;&gt;0,J129-K129,0)&lt;0,0,IF(G129&lt;&gt;0,J129-K129,0))</f>
        <v>0</v>
      </c>
      <c r="M129" s="392"/>
      <c r="N129" s="264" t="str">
        <f>IF(M129&lt;&gt;0,MAX(N$9:N$128)+1," ")</f>
        <v xml:space="preserve"> </v>
      </c>
      <c r="O129" s="34" t="str">
        <f t="shared" ref="O129:O138" si="116">IF(N129&lt;&gt;" ",L$79/COUNT(N$79:N$88), " ")</f>
        <v xml:space="preserve"> </v>
      </c>
      <c r="P129" s="34" t="str">
        <f>IF(N129&lt;&gt;" ",MAX($P$9:P128)+O129/2," ")</f>
        <v xml:space="preserve"> </v>
      </c>
      <c r="Q129" s="34" t="str" cm="1">
        <f t="array" ref="Q129">IF(Скважина!$L$20=Служебный!$K$2,IF(O129&lt;&gt;" ",IF('Несущая способность по грунту 1'!P129&gt;1,Interpol(9,14,Служебный!$H$33:$H$46,Служебный!$I$32:$Q$32,Служебный!$I$33:$Q$46,'Несущая способность по грунту 1'!P129,IF($I$129&lt;=0.2,0.2,$I$129)),0)," "),0)</f>
        <v xml:space="preserve"> </v>
      </c>
      <c r="R129" s="72" t="str">
        <f t="shared" ref="R129:R138" si="117">IF(N129&lt;&gt;" ",O129*Q129," ")</f>
        <v xml:space="preserve"> </v>
      </c>
      <c r="S129" s="188"/>
      <c r="T129" s="192"/>
      <c r="U129" s="67" t="str">
        <f t="shared" si="63"/>
        <v xml:space="preserve"> </v>
      </c>
      <c r="V129" s="188"/>
      <c r="X129" s="159" t="s">
        <v>156</v>
      </c>
      <c r="Y129" s="160"/>
      <c r="Z129" s="161" t="s">
        <v>155</v>
      </c>
      <c r="AA129" s="162"/>
      <c r="AC129" s="283" t="s">
        <v>213</v>
      </c>
      <c r="AD129" s="284"/>
      <c r="AN129" s="353" t="str">
        <f>IF(OR(G129=0,F129&gt;20)," ",VLOOKUP('Несущая способность по грунту 1'!G129,Геология!$D$7:$BO$993,23,FALSE))</f>
        <v xml:space="preserve"> </v>
      </c>
      <c r="AO129" s="353" t="str">
        <f t="shared" ref="AO129" si="118">IF(AN129&lt;&gt;" ",AN129*L129," ")</f>
        <v xml:space="preserve"> </v>
      </c>
      <c r="AP129" s="397"/>
      <c r="AQ129" s="353" t="str">
        <f>IF(G129&lt;&gt;0,VLOOKUP('Несущая способность по грунту 1'!G129,Геология!$D$7:$BO$993,24,FALSE)," ")</f>
        <v xml:space="preserve"> </v>
      </c>
      <c r="AR129" s="353" t="str">
        <f t="shared" ref="AR129" si="119">IF(AQ129&lt;&gt;" ",AQ129*L129," ")</f>
        <v xml:space="preserve"> </v>
      </c>
      <c r="AS129" s="397"/>
      <c r="AT129" s="353" t="str">
        <f>IF(G129&lt;&gt;0,VLOOKUP('Несущая способность по грунту 1'!G129,Геология!$D$7:$BO$993,21,FALSE)," ")</f>
        <v xml:space="preserve"> </v>
      </c>
      <c r="AU129" s="353" t="str">
        <f t="shared" ref="AU129" si="120">IF(G129&lt;&gt;0,AT129*L129," ")</f>
        <v xml:space="preserve"> </v>
      </c>
      <c r="AV129" s="397"/>
      <c r="AW129" s="353" t="str">
        <f>IF(G129&lt;&gt;0,VLOOKUP('Несущая способность по грунту 1'!G129,Геология!$D$7:$BO$993,27,FALSE)," ")</f>
        <v xml:space="preserve"> </v>
      </c>
      <c r="AX129" s="353" t="str">
        <f t="shared" ref="AX129" si="121">IF(G129&lt;&gt;0,AW129*L129," ")</f>
        <v xml:space="preserve"> </v>
      </c>
      <c r="AY129" s="397"/>
    </row>
    <row r="130" spans="6:51">
      <c r="F130" s="361"/>
      <c r="G130" s="361"/>
      <c r="H130" s="364"/>
      <c r="I130" s="367"/>
      <c r="J130" s="370"/>
      <c r="K130" s="373"/>
      <c r="L130" s="356"/>
      <c r="M130" s="376"/>
      <c r="N130" s="257" t="str">
        <f t="shared" ref="N130:N138" si="122">IF(N129=" "," ", IF(N129&lt;SUM(M$9:M$138),N129+1, " "))</f>
        <v xml:space="preserve"> </v>
      </c>
      <c r="O130" s="28" t="str">
        <f t="shared" si="116"/>
        <v xml:space="preserve"> </v>
      </c>
      <c r="P130" s="28" t="str">
        <f>IF(N130&lt;&gt;" ",MAX($P$9:P129)+O130/2," ")</f>
        <v xml:space="preserve"> </v>
      </c>
      <c r="Q130" s="28" t="str" cm="1">
        <f t="array" ref="Q130">IF(Скважина!$L$20=Служебный!$K$2,IF(O130&lt;&gt;" ",IF('Несущая способность по грунту 1'!P130&gt;1,Interpol(9,14,Служебный!$H$33:$H$46,Служебный!$I$32:$Q$32,Служебный!$I$33:$Q$46,'Несущая способность по грунту 1'!P130,IF($I$129&lt;=0.2,0.2,$I$129)),0)," "),0)</f>
        <v xml:space="preserve"> </v>
      </c>
      <c r="R130" s="68" t="str">
        <f t="shared" si="117"/>
        <v xml:space="preserve"> </v>
      </c>
      <c r="S130" s="188"/>
      <c r="T130" s="193"/>
      <c r="U130" s="72" t="str">
        <f t="shared" si="63"/>
        <v xml:space="preserve"> </v>
      </c>
      <c r="V130" s="188"/>
      <c r="X130" s="163" t="s">
        <v>39</v>
      </c>
      <c r="Y130" s="47">
        <v>0.2</v>
      </c>
      <c r="Z130" s="177" t="str">
        <f t="shared" ref="Z130" si="123">IF(I129&lt;=0.2,0.2,I129)</f>
        <v xml:space="preserve"> </v>
      </c>
      <c r="AA130" s="151">
        <v>3.3</v>
      </c>
      <c r="AC130" s="262" t="s">
        <v>39</v>
      </c>
      <c r="AD130" s="165" t="s">
        <v>214</v>
      </c>
      <c r="AN130" s="353"/>
      <c r="AO130" s="353"/>
      <c r="AP130" s="397"/>
      <c r="AQ130" s="353"/>
      <c r="AR130" s="353"/>
      <c r="AS130" s="397"/>
      <c r="AT130" s="353"/>
      <c r="AU130" s="353"/>
      <c r="AV130" s="397"/>
      <c r="AW130" s="353"/>
      <c r="AX130" s="353"/>
      <c r="AY130" s="397"/>
    </row>
    <row r="131" spans="6:51" ht="15.75" thickBot="1">
      <c r="F131" s="361"/>
      <c r="G131" s="361"/>
      <c r="H131" s="364"/>
      <c r="I131" s="367"/>
      <c r="J131" s="370"/>
      <c r="K131" s="373"/>
      <c r="L131" s="356"/>
      <c r="M131" s="376"/>
      <c r="N131" s="257" t="str">
        <f t="shared" si="122"/>
        <v xml:space="preserve"> </v>
      </c>
      <c r="O131" s="28" t="str">
        <f t="shared" si="116"/>
        <v xml:space="preserve"> </v>
      </c>
      <c r="P131" s="28" t="str">
        <f>IF(N131&lt;&gt;" ",MAX($P$9:P130)+O131/2," ")</f>
        <v xml:space="preserve"> </v>
      </c>
      <c r="Q131" s="28" t="str" cm="1">
        <f t="array" ref="Q131">IF(Скважина!$L$20=Служебный!$K$2,IF(O131&lt;&gt;" ",IF('Несущая способность по грунту 1'!P131&gt;1,Interpol(9,14,Служебный!$H$33:$H$46,Служебный!$I$32:$Q$32,Служебный!$I$33:$Q$46,'Несущая способность по грунту 1'!P131,IF($I$129&lt;=0.2,0.2,$I$129)),0)," "),0)</f>
        <v xml:space="preserve"> </v>
      </c>
      <c r="R131" s="68" t="str">
        <f t="shared" si="117"/>
        <v xml:space="preserve"> </v>
      </c>
      <c r="S131" s="188"/>
      <c r="T131" s="193"/>
      <c r="U131" s="72" t="str">
        <f t="shared" si="63"/>
        <v xml:space="preserve"> </v>
      </c>
      <c r="V131" s="188"/>
      <c r="X131" s="164">
        <v>4</v>
      </c>
      <c r="Y131" s="109">
        <f>IF(Y130=0.2,VLOOKUP(X131,Служебный!$H$33:$Q$46,2,FALSE),IF(Y130=0.3,VLOOKUP(X131,Служебный!$H$33:$Q$46,3,FALSE),IF(Y130=0.4,VLOOKUP(X131,Служебный!$H$33:$Q$46,4,FALSE),IF(Y130=0.5,VLOOKUP(X131,Служебный!$H$33:$Q$46,5,FALSE),IF(Y130=0.6,VLOOKUP(X131,Служебный!$H$33:$Q$46,6,FALSE),IF(Y130=0.7,VLOOKUP(X131,Служебный!$H$33:$Q$46,7,FALSE),IF(Y130=0.8,VLOOKUP(X131,Служебный!$H$33:$Q$46,8,FALSE),IF(Y130=0.9,VLOOKUP(X131,Служебный!$H$33:$Q$46,9,FALSE),IF(Y130=1,VLOOKUP(X131,Служебный!$H$33:$Q$46,10,FALSE),0)))))))))</f>
        <v>53</v>
      </c>
      <c r="Z131" s="79" t="e">
        <f t="shared" ref="Z131" si="124">(AA131-Y131)/(AA130-Y130)*(Z130-Y130)+Y131</f>
        <v>#VALUE!</v>
      </c>
      <c r="AA131" s="165">
        <f>IF(AA130=0.2,VLOOKUP(X131,Служебный!$H$33:$Q$46,2,FALSE),IF(AA130=0.3,VLOOKUP(X131,Служебный!$H$33:$Q$46,3,FALSE),IF(AA130=0.4,VLOOKUP(X131,Служебный!$H$33:$Q$46,4,FALSE),IF(AA130=0.5,VLOOKUP(X131,Служебный!$H$33:$Q$46,5,FALSE),IF(AA130=0.6,VLOOKUP(X131,Служебный!$H$33:$Q$46,6,FALSE),IF(AA130=0.7,VLOOKUP(X131,Служебный!$H$33:$Q$46,7,FALSE),IF(AA130=0.8,VLOOKUP(X131,Служебный!$H$33:$Q$46,8,FALSE),IF(AA130=0.9,VLOOKUP(X131,Служебный!$H$33:$Q$46,9,FALSE),IF(AA130=1,VLOOKUP(X131,Служебный!$H$33:$Q$46,10,FALSE),0)))))))))</f>
        <v>0</v>
      </c>
      <c r="AC131" s="164">
        <v>15</v>
      </c>
      <c r="AD131" s="151">
        <v>55</v>
      </c>
      <c r="AN131" s="353"/>
      <c r="AO131" s="353"/>
      <c r="AP131" s="397"/>
      <c r="AQ131" s="353"/>
      <c r="AR131" s="353"/>
      <c r="AS131" s="397"/>
      <c r="AT131" s="353"/>
      <c r="AU131" s="353"/>
      <c r="AV131" s="397"/>
      <c r="AW131" s="353"/>
      <c r="AX131" s="353"/>
      <c r="AY131" s="397"/>
    </row>
    <row r="132" spans="6:51" ht="15.75" thickBot="1">
      <c r="F132" s="361"/>
      <c r="G132" s="361"/>
      <c r="H132" s="364"/>
      <c r="I132" s="367"/>
      <c r="J132" s="370"/>
      <c r="K132" s="373"/>
      <c r="L132" s="356"/>
      <c r="M132" s="376"/>
      <c r="N132" s="257" t="str">
        <f t="shared" si="122"/>
        <v xml:space="preserve"> </v>
      </c>
      <c r="O132" s="28" t="str">
        <f t="shared" si="116"/>
        <v xml:space="preserve"> </v>
      </c>
      <c r="P132" s="28" t="str">
        <f>IF(N132&lt;&gt;" ",MAX($P$9:P131)+O132/2," ")</f>
        <v xml:space="preserve"> </v>
      </c>
      <c r="Q132" s="28" t="str" cm="1">
        <f t="array" ref="Q132">IF(Скважина!$L$20=Служебный!$K$2,IF(O132&lt;&gt;" ",IF('Несущая способность по грунту 1'!P132&gt;1,Interpol(9,14,Служебный!$H$33:$H$46,Служебный!$I$32:$Q$32,Служебный!$I$33:$Q$46,'Несущая способность по грунту 1'!P132,IF($I$129&lt;=0.2,0.2,$I$129)),0)," "),0)</f>
        <v xml:space="preserve"> </v>
      </c>
      <c r="R132" s="68" t="str">
        <f t="shared" si="117"/>
        <v xml:space="preserve"> </v>
      </c>
      <c r="S132" s="188"/>
      <c r="T132" s="193"/>
      <c r="U132" s="72" t="str">
        <f t="shared" si="63"/>
        <v xml:space="preserve"> </v>
      </c>
      <c r="V132" s="188"/>
      <c r="X132" s="164">
        <v>4.75</v>
      </c>
      <c r="Y132" s="78"/>
      <c r="Z132" s="77" t="e">
        <f t="shared" ref="Z132" si="125">(Z133-Z131)/(X133-X131)*(X132-X131)+Z131</f>
        <v>#VALUE!</v>
      </c>
      <c r="AA132" s="166"/>
      <c r="AC132" s="164">
        <v>16</v>
      </c>
      <c r="AD132" s="285">
        <f t="shared" ref="AD132" si="126">(AD133-AD131)/(AC133-AC131)*(AC132-AC131)+AD131</f>
        <v>56.5</v>
      </c>
      <c r="AN132" s="353"/>
      <c r="AO132" s="353"/>
      <c r="AP132" s="397"/>
      <c r="AQ132" s="353"/>
      <c r="AR132" s="353"/>
      <c r="AS132" s="397"/>
      <c r="AT132" s="353"/>
      <c r="AU132" s="353"/>
      <c r="AV132" s="397"/>
      <c r="AW132" s="353"/>
      <c r="AX132" s="353"/>
      <c r="AY132" s="397"/>
    </row>
    <row r="133" spans="6:51" ht="15.75" thickBot="1">
      <c r="F133" s="361"/>
      <c r="G133" s="361"/>
      <c r="H133" s="364"/>
      <c r="I133" s="367"/>
      <c r="J133" s="370"/>
      <c r="K133" s="373"/>
      <c r="L133" s="356"/>
      <c r="M133" s="376"/>
      <c r="N133" s="257" t="str">
        <f t="shared" si="122"/>
        <v xml:space="preserve"> </v>
      </c>
      <c r="O133" s="28" t="str">
        <f t="shared" si="116"/>
        <v xml:space="preserve"> </v>
      </c>
      <c r="P133" s="28" t="str">
        <f>IF(N133&lt;&gt;" ",MAX($P$9:P132)+O133/2," ")</f>
        <v xml:space="preserve"> </v>
      </c>
      <c r="Q133" s="28" t="str" cm="1">
        <f t="array" ref="Q133">IF(Скважина!$L$20=Служебный!$K$2,IF(O133&lt;&gt;" ",IF('Несущая способность по грунту 1'!P133&gt;1,Interpol(9,14,Служебный!$H$33:$H$46,Служебный!$I$32:$Q$32,Служебный!$I$33:$Q$46,'Несущая способность по грунту 1'!P133,IF($I$129&lt;=0.2,0.2,$I$129)),0)," "),0)</f>
        <v xml:space="preserve"> </v>
      </c>
      <c r="R133" s="68" t="str">
        <f t="shared" si="117"/>
        <v xml:space="preserve"> </v>
      </c>
      <c r="S133" s="188"/>
      <c r="T133" s="193"/>
      <c r="U133" s="72" t="str">
        <f t="shared" si="63"/>
        <v xml:space="preserve"> </v>
      </c>
      <c r="V133" s="188"/>
      <c r="X133" s="167">
        <v>5</v>
      </c>
      <c r="Y133" s="168">
        <f>IF(Y130=0.2,VLOOKUP(X133,Служебный!$H$33:$Q$46,2,FALSE),IF(Y130=0.3,VLOOKUP(X133,Служебный!$H$33:$Q$46,3,FALSE),IF(Y130=0.4,VLOOKUP(X133,Служебный!$H$33:$Q$46,4,FALSE),IF(Y130=0.5,VLOOKUP(X133,Служебный!$H$33:$Q$46,5,FALSE),IF(Y130=0.6,VLOOKUP(X133,Служебный!$H$33:$Q$46,6,FALSE),IF(Y130=0.7,VLOOKUP(X133,Служебный!$H$33:$Q$46,7,FALSE),IF(Y130=0.8,VLOOKUP(X133,Служебный!$H$33:$Q$46,8,FALSE),IF(Y130=0.9,VLOOKUP(X133,Служебный!$H$33:$Q$46,9,FALSE),IF(Y130=1,VLOOKUP(X133,Служебный!$H$33:$Q$46,10,FALSE),0)))))))))</f>
        <v>56</v>
      </c>
      <c r="Z133" s="169" t="e">
        <f t="shared" ref="Z133" si="127">(AA133-Y133)/(AA130-Y130)*(Z130-Y130)+Y133</f>
        <v>#VALUE!</v>
      </c>
      <c r="AA133" s="170">
        <f>IF(AA130=0.2,VLOOKUP(X133,Служебный!$H$33:$Q$46,2,FALSE),IF(AA130=0.3,VLOOKUP(X133,Служебный!$H$33:$Q$46,3,FALSE),IF(AA130=0.4,VLOOKUP(X133,Служебный!$H$33:$Q$46,4,FALSE),IF(AA130=0.5,VLOOKUP(X133,Служебный!$H$33:$Q$46,5,FALSE),IF(AA130=0.6,VLOOKUP(X133,Служебный!$H$33:$Q$46,6,FALSE),IF(AA130=0.7,VLOOKUP(X133,Служебный!$H$33:$Q$46,7,FALSE),IF(AA130=0.8,VLOOKUP(X133,Служебный!$H$33:$Q$46,8,FALSE),IF(AA130=0.9,VLOOKUP(X133,Служебный!$H$33:$Q$46,9,FALSE),IF(AA130=1,VLOOKUP(X133,Служебный!$H$33:$Q$46,10,FALSE),0)))))))))</f>
        <v>0</v>
      </c>
      <c r="AC133" s="167">
        <v>17</v>
      </c>
      <c r="AD133" s="155">
        <v>58</v>
      </c>
      <c r="AN133" s="353"/>
      <c r="AO133" s="353"/>
      <c r="AP133" s="397"/>
      <c r="AQ133" s="353"/>
      <c r="AR133" s="353"/>
      <c r="AS133" s="397"/>
      <c r="AT133" s="353"/>
      <c r="AU133" s="353"/>
      <c r="AV133" s="397"/>
      <c r="AW133" s="353"/>
      <c r="AX133" s="353"/>
      <c r="AY133" s="397"/>
    </row>
    <row r="134" spans="6:51">
      <c r="F134" s="361"/>
      <c r="G134" s="361"/>
      <c r="H134" s="364"/>
      <c r="I134" s="367"/>
      <c r="J134" s="370"/>
      <c r="K134" s="373"/>
      <c r="L134" s="356"/>
      <c r="M134" s="376"/>
      <c r="N134" s="257" t="str">
        <f t="shared" si="122"/>
        <v xml:space="preserve"> </v>
      </c>
      <c r="O134" s="28" t="str">
        <f t="shared" si="116"/>
        <v xml:space="preserve"> </v>
      </c>
      <c r="P134" s="28" t="str">
        <f>IF(N134&lt;&gt;" ",MAX($P$9:P133)+O134/2," ")</f>
        <v xml:space="preserve"> </v>
      </c>
      <c r="Q134" s="28" t="str" cm="1">
        <f t="array" ref="Q134">IF(Скважина!$L$20=Служебный!$K$2,IF(O134&lt;&gt;" ",IF('Несущая способность по грунту 1'!P134&gt;1,Interpol(9,14,Служебный!$H$33:$H$46,Служебный!$I$32:$Q$32,Служебный!$I$33:$Q$46,'Несущая способность по грунту 1'!P134,IF($I$129&lt;=0.2,0.2,$I$129)),0)," "),0)</f>
        <v xml:space="preserve"> </v>
      </c>
      <c r="R134" s="68" t="str">
        <f t="shared" si="117"/>
        <v xml:space="preserve"> </v>
      </c>
      <c r="S134" s="188"/>
      <c r="T134" s="193"/>
      <c r="U134" s="72" t="str">
        <f t="shared" si="63"/>
        <v xml:space="preserve"> </v>
      </c>
      <c r="V134" s="188"/>
      <c r="X134" t="str">
        <f t="shared" ref="X134" si="128">H129</f>
        <v xml:space="preserve"> </v>
      </c>
      <c r="AN134" s="353"/>
      <c r="AO134" s="353"/>
      <c r="AP134" s="397"/>
      <c r="AQ134" s="353"/>
      <c r="AR134" s="353"/>
      <c r="AS134" s="397"/>
      <c r="AT134" s="353"/>
      <c r="AU134" s="353"/>
      <c r="AV134" s="397"/>
      <c r="AW134" s="353"/>
      <c r="AX134" s="353"/>
      <c r="AY134" s="397"/>
    </row>
    <row r="135" spans="6:51">
      <c r="F135" s="361"/>
      <c r="G135" s="361"/>
      <c r="H135" s="364"/>
      <c r="I135" s="367"/>
      <c r="J135" s="370"/>
      <c r="K135" s="373"/>
      <c r="L135" s="356"/>
      <c r="M135" s="376"/>
      <c r="N135" s="257" t="str">
        <f t="shared" si="122"/>
        <v xml:space="preserve"> </v>
      </c>
      <c r="O135" s="28" t="str">
        <f t="shared" si="116"/>
        <v xml:space="preserve"> </v>
      </c>
      <c r="P135" s="28" t="str">
        <f>IF(N135&lt;&gt;" ",MAX($P$9:P134)+O135/2," ")</f>
        <v xml:space="preserve"> </v>
      </c>
      <c r="Q135" s="28" t="str" cm="1">
        <f t="array" ref="Q135">IF(Скважина!$L$20=Служебный!$K$2,IF(O135&lt;&gt;" ",IF('Несущая способность по грунту 1'!P135&gt;1,Interpol(9,14,Служебный!$H$33:$H$46,Служебный!$I$32:$Q$32,Служебный!$I$33:$Q$46,'Несущая способность по грунту 1'!P135,IF($I$129&lt;=0.2,0.2,$I$129)),0)," "),0)</f>
        <v xml:space="preserve"> </v>
      </c>
      <c r="R135" s="68" t="str">
        <f t="shared" si="117"/>
        <v xml:space="preserve"> </v>
      </c>
      <c r="S135" s="188"/>
      <c r="T135" s="193"/>
      <c r="U135" s="72" t="str">
        <f t="shared" si="63"/>
        <v xml:space="preserve"> </v>
      </c>
      <c r="V135" s="188"/>
      <c r="AN135" s="353"/>
      <c r="AO135" s="353"/>
      <c r="AP135" s="397"/>
      <c r="AQ135" s="353"/>
      <c r="AR135" s="353"/>
      <c r="AS135" s="397"/>
      <c r="AT135" s="353"/>
      <c r="AU135" s="353"/>
      <c r="AV135" s="397"/>
      <c r="AW135" s="353"/>
      <c r="AX135" s="353"/>
      <c r="AY135" s="397"/>
    </row>
    <row r="136" spans="6:51">
      <c r="F136" s="361"/>
      <c r="G136" s="361"/>
      <c r="H136" s="364"/>
      <c r="I136" s="367"/>
      <c r="J136" s="370"/>
      <c r="K136" s="373"/>
      <c r="L136" s="356"/>
      <c r="M136" s="376"/>
      <c r="N136" s="257" t="str">
        <f t="shared" si="122"/>
        <v xml:space="preserve"> </v>
      </c>
      <c r="O136" s="28" t="str">
        <f t="shared" si="116"/>
        <v xml:space="preserve"> </v>
      </c>
      <c r="P136" s="28" t="str">
        <f>IF(N136&lt;&gt;" ",MAX($P$9:P135)+O136/2," ")</f>
        <v xml:space="preserve"> </v>
      </c>
      <c r="Q136" s="28" t="str" cm="1">
        <f t="array" ref="Q136">IF(Скважина!$L$20=Служебный!$K$2,IF(O136&lt;&gt;" ",IF('Несущая способность по грунту 1'!P136&gt;1,Interpol(9,14,Служебный!$H$33:$H$46,Служебный!$I$32:$Q$32,Служебный!$I$33:$Q$46,'Несущая способность по грунту 1'!P136,IF($I$129&lt;=0.2,0.2,$I$129)),0)," "),0)</f>
        <v xml:space="preserve"> </v>
      </c>
      <c r="R136" s="68" t="str">
        <f t="shared" si="117"/>
        <v xml:space="preserve"> </v>
      </c>
      <c r="S136" s="188"/>
      <c r="T136" s="193"/>
      <c r="U136" s="72" t="str">
        <f t="shared" si="63"/>
        <v xml:space="preserve"> </v>
      </c>
      <c r="V136" s="188"/>
      <c r="AN136" s="353"/>
      <c r="AO136" s="353"/>
      <c r="AP136" s="397"/>
      <c r="AQ136" s="353"/>
      <c r="AR136" s="353"/>
      <c r="AS136" s="397"/>
      <c r="AT136" s="353"/>
      <c r="AU136" s="353"/>
      <c r="AV136" s="397"/>
      <c r="AW136" s="353"/>
      <c r="AX136" s="353"/>
      <c r="AY136" s="397"/>
    </row>
    <row r="137" spans="6:51">
      <c r="F137" s="361"/>
      <c r="G137" s="361"/>
      <c r="H137" s="364"/>
      <c r="I137" s="367"/>
      <c r="J137" s="370"/>
      <c r="K137" s="373"/>
      <c r="L137" s="356"/>
      <c r="M137" s="376"/>
      <c r="N137" s="257" t="str">
        <f t="shared" si="122"/>
        <v xml:space="preserve"> </v>
      </c>
      <c r="O137" s="28" t="str">
        <f t="shared" si="116"/>
        <v xml:space="preserve"> </v>
      </c>
      <c r="P137" s="28" t="str">
        <f>IF(N137&lt;&gt;" ",MAX($P$9:P136)+O137/2," ")</f>
        <v xml:space="preserve"> </v>
      </c>
      <c r="Q137" s="28" t="str" cm="1">
        <f t="array" ref="Q137">IF(Скважина!$L$20=Служебный!$K$2,IF(O137&lt;&gt;" ",IF('Несущая способность по грунту 1'!P137&gt;1,Interpol(9,14,Служебный!$H$33:$H$46,Служебный!$I$32:$Q$32,Служебный!$I$33:$Q$46,'Несущая способность по грунту 1'!P137,IF($I$129&lt;=0.2,0.2,$I$129)),0)," "),0)</f>
        <v xml:space="preserve"> </v>
      </c>
      <c r="R137" s="68" t="str">
        <f t="shared" si="117"/>
        <v xml:space="preserve"> </v>
      </c>
      <c r="S137" s="188"/>
      <c r="T137" s="193"/>
      <c r="U137" s="72" t="str">
        <f t="shared" si="63"/>
        <v xml:space="preserve"> </v>
      </c>
      <c r="V137" s="188"/>
      <c r="AN137" s="353"/>
      <c r="AO137" s="353"/>
      <c r="AP137" s="397"/>
      <c r="AQ137" s="353"/>
      <c r="AR137" s="353"/>
      <c r="AS137" s="397"/>
      <c r="AT137" s="353"/>
      <c r="AU137" s="353"/>
      <c r="AV137" s="397"/>
      <c r="AW137" s="353"/>
      <c r="AX137" s="353"/>
      <c r="AY137" s="397"/>
    </row>
    <row r="138" spans="6:51" ht="15.75" thickBot="1">
      <c r="F138" s="379"/>
      <c r="G138" s="379"/>
      <c r="H138" s="389"/>
      <c r="I138" s="367"/>
      <c r="J138" s="391"/>
      <c r="K138" s="373"/>
      <c r="L138" s="356"/>
      <c r="M138" s="393"/>
      <c r="N138" s="266" t="str">
        <f t="shared" si="122"/>
        <v xml:space="preserve"> </v>
      </c>
      <c r="O138" s="190" t="str">
        <f t="shared" si="116"/>
        <v xml:space="preserve"> </v>
      </c>
      <c r="P138" s="190" t="str">
        <f>IF(N138&lt;&gt;" ",MAX($P$9:P137)+O138/2," ")</f>
        <v xml:space="preserve"> </v>
      </c>
      <c r="Q138" s="190" t="str" cm="1">
        <f t="array" ref="Q138">IF(Скважина!$L$20=Служебный!$K$2,IF(O138&lt;&gt;" ",IF('Несущая способность по грунту 1'!P138&gt;1,Interpol(9,14,Служебный!$H$33:$H$46,Служебный!$I$32:$Q$32,Служебный!$I$33:$Q$46,'Несущая способность по грунту 1'!P138,IF($I$129&lt;=0.2,0.2,$I$129)),0)," "),0)</f>
        <v xml:space="preserve"> </v>
      </c>
      <c r="R138" s="280" t="str">
        <f t="shared" si="117"/>
        <v xml:space="preserve"> </v>
      </c>
      <c r="S138" s="188"/>
      <c r="T138" s="194"/>
      <c r="U138" s="195" t="str">
        <f t="shared" si="63"/>
        <v xml:space="preserve"> </v>
      </c>
      <c r="V138" s="188"/>
      <c r="AN138" s="353"/>
      <c r="AO138" s="353"/>
      <c r="AP138" s="397"/>
      <c r="AQ138" s="353"/>
      <c r="AR138" s="353"/>
      <c r="AS138" s="397"/>
      <c r="AT138" s="353"/>
      <c r="AU138" s="353"/>
      <c r="AV138" s="397"/>
      <c r="AW138" s="353"/>
      <c r="AX138" s="353"/>
      <c r="AY138" s="397"/>
    </row>
    <row r="139" spans="6:51" ht="18">
      <c r="F139" s="360">
        <f t="shared" ref="F139" si="129">F129+1</f>
        <v>14</v>
      </c>
      <c r="G139" s="360">
        <f>IF(F139&lt;21,IF(VLOOKUP(F139,Скважина!$E$8:$K$27,4,FALSE)&gt;Скважина!$C$8,VLOOKUP('Несущая способность по грунту 1'!F139,Скважина!$E$8:$K$27,2,FALSE),0),0)</f>
        <v>0</v>
      </c>
      <c r="H139" s="363" t="str">
        <f>IF(G139&lt;&gt;0,VLOOKUP('Несущая способность по грунту 1'!G139,Геология!$D$7:$BO$993,7,FALSE)," ")</f>
        <v xml:space="preserve"> </v>
      </c>
      <c r="I139" s="366" t="str">
        <f>IF(G139&lt;&gt;0,VLOOKUP('Несущая способность по грунту 1'!G139, Геология!$D$8:$BM$993, 22,FALSE)," ")</f>
        <v xml:space="preserve"> </v>
      </c>
      <c r="J139" s="369">
        <f>VLOOKUP(F139,Скважина!$E$8:$K$27,4,FALSE)</f>
        <v>0</v>
      </c>
      <c r="K139" s="372">
        <f>IF(VLOOKUP($F139,Скважина!$E$8:$K$27,5,FALSE)&gt;Скважина!$C$8,VLOOKUP($F139,Скважина!$E$8:$K$27,5,FALSE),Скважина!$C$8)</f>
        <v>120</v>
      </c>
      <c r="L139" s="355">
        <f t="shared" ref="L139" si="130">IF(IF(G139&lt;&gt;0,J139-K139,0)&lt;0,0,IF(G139&lt;&gt;0,J139-K139,0))</f>
        <v>0</v>
      </c>
      <c r="M139" s="375"/>
      <c r="N139" s="275" t="str">
        <f>IF(M139&lt;&gt;0,MAX(N$9:N$138)+1," ")</f>
        <v xml:space="preserve"> </v>
      </c>
      <c r="O139" s="66" t="str">
        <f t="shared" ref="O139:O202" si="131">IF(N139&lt;&gt;" ",L$79/COUNT(N$79:N$88), " ")</f>
        <v xml:space="preserve"> </v>
      </c>
      <c r="P139" s="66" t="str">
        <f>IF(N139&lt;&gt;" ",MAX($P$9:P138)+O139/2," ")</f>
        <v xml:space="preserve"> </v>
      </c>
      <c r="Q139" s="66" t="str" cm="1">
        <f t="array" ref="Q139">IF(Скважина!$L$21=Служебный!$K$2,IF(O139&lt;&gt;" ",IF('Несущая способность по грунту 1'!P139&gt;1,Interpol(9,14,Служебный!$H$33:$H$46,Служебный!$I$32:$Q$32,Служебный!$I$33:$Q$46,'Несущая способность по грунту 1'!P139,IF($I$139&lt;=0.2,0.2,$I$139)),0)," "),0)</f>
        <v xml:space="preserve"> </v>
      </c>
      <c r="R139" s="67" t="str">
        <f t="shared" ref="R139:R202" si="132">IF(N139&lt;&gt;" ",O139*Q139," ")</f>
        <v xml:space="preserve"> </v>
      </c>
      <c r="S139" s="188"/>
      <c r="T139" s="192"/>
      <c r="U139" s="67" t="str">
        <f t="shared" si="63"/>
        <v xml:space="preserve"> </v>
      </c>
      <c r="V139" s="188"/>
      <c r="X139" s="159" t="s">
        <v>156</v>
      </c>
      <c r="Y139" s="160"/>
      <c r="Z139" s="161" t="s">
        <v>155</v>
      </c>
      <c r="AA139" s="162"/>
      <c r="AC139" s="283" t="s">
        <v>213</v>
      </c>
      <c r="AD139" s="284"/>
      <c r="AN139" s="353" t="str">
        <f>IF(OR(G139=0,F139&gt;20)," ",VLOOKUP('Несущая способность по грунту 1'!G139,Геология!$D$7:$BO$993,23,FALSE))</f>
        <v xml:space="preserve"> </v>
      </c>
      <c r="AO139" s="353" t="str">
        <f t="shared" ref="AO139" si="133">IF(AN139&lt;&gt;" ",AN139*L139," ")</f>
        <v xml:space="preserve"> </v>
      </c>
      <c r="AP139" s="397"/>
      <c r="AQ139" s="353" t="str">
        <f>IF(G139&lt;&gt;0,VLOOKUP('Несущая способность по грунту 1'!G139,Геология!$D$7:$BO$993,24,FALSE)," ")</f>
        <v xml:space="preserve"> </v>
      </c>
      <c r="AR139" s="353" t="str">
        <f t="shared" ref="AR139" si="134">IF(AQ139&lt;&gt;" ",AQ139*L139," ")</f>
        <v xml:space="preserve"> </v>
      </c>
      <c r="AS139" s="397"/>
      <c r="AT139" s="353" t="str">
        <f>IF(G139&lt;&gt;0,VLOOKUP('Несущая способность по грунту 1'!G139,Геология!$D$7:$BO$993,21,FALSE)," ")</f>
        <v xml:space="preserve"> </v>
      </c>
      <c r="AU139" s="353" t="str">
        <f t="shared" ref="AU139" si="135">IF(G139&lt;&gt;0,AT139*L139," ")</f>
        <v xml:space="preserve"> </v>
      </c>
      <c r="AV139" s="397"/>
      <c r="AW139" s="353" t="str">
        <f>IF(G139&lt;&gt;0,VLOOKUP('Несущая способность по грунту 1'!G139,Геология!$D$7:$BO$993,27,FALSE)," ")</f>
        <v xml:space="preserve"> </v>
      </c>
      <c r="AX139" s="353" t="str">
        <f t="shared" ref="AX139" si="136">IF(G139&lt;&gt;0,AW139*L139," ")</f>
        <v xml:space="preserve"> </v>
      </c>
      <c r="AY139" s="397"/>
    </row>
    <row r="140" spans="6:51">
      <c r="F140" s="361"/>
      <c r="G140" s="361"/>
      <c r="H140" s="364"/>
      <c r="I140" s="367"/>
      <c r="J140" s="370"/>
      <c r="K140" s="373"/>
      <c r="L140" s="356"/>
      <c r="M140" s="376"/>
      <c r="N140" s="267" t="str">
        <f t="shared" ref="N140:N146" si="137">IF(N139=" "," ", IF(N139&lt;SUM(M$9:M$148),N139+1, " "))</f>
        <v xml:space="preserve"> </v>
      </c>
      <c r="O140" s="28" t="str">
        <f t="shared" si="131"/>
        <v xml:space="preserve"> </v>
      </c>
      <c r="P140" s="28" t="str">
        <f>IF(N140&lt;&gt;" ",MAX($P$9:P139)+O140/2," ")</f>
        <v xml:space="preserve"> </v>
      </c>
      <c r="Q140" s="28" t="str" cm="1">
        <f t="array" ref="Q140">IF(Скважина!$L$21=Служебный!$K$2,IF(O140&lt;&gt;" ",IF('Несущая способность по грунту 1'!P140&gt;1,Interpol(9,14,Служебный!$H$33:$H$46,Служебный!$I$32:$Q$32,Служебный!$I$33:$Q$46,'Несущая способность по грунту 1'!P140,IF($I$139&lt;=0.2,0.2,$I$139)),0)," "),0)</f>
        <v xml:space="preserve"> </v>
      </c>
      <c r="R140" s="68" t="str">
        <f t="shared" si="132"/>
        <v xml:space="preserve"> </v>
      </c>
      <c r="S140" s="188"/>
      <c r="T140" s="193"/>
      <c r="U140" s="72" t="str">
        <f t="shared" si="63"/>
        <v xml:space="preserve"> </v>
      </c>
      <c r="V140" s="188"/>
      <c r="X140" s="163" t="s">
        <v>39</v>
      </c>
      <c r="Y140" s="47">
        <v>0.2</v>
      </c>
      <c r="Z140" s="177" t="str">
        <f t="shared" ref="Z140" si="138">IF(I139&lt;=0.2,0.2,I139)</f>
        <v xml:space="preserve"> </v>
      </c>
      <c r="AA140" s="151">
        <v>0.3</v>
      </c>
      <c r="AC140" s="262" t="s">
        <v>39</v>
      </c>
      <c r="AD140" s="165" t="s">
        <v>214</v>
      </c>
      <c r="AN140" s="353"/>
      <c r="AO140" s="353"/>
      <c r="AP140" s="397"/>
      <c r="AQ140" s="353"/>
      <c r="AR140" s="353"/>
      <c r="AS140" s="397"/>
      <c r="AT140" s="353"/>
      <c r="AU140" s="353"/>
      <c r="AV140" s="397"/>
      <c r="AW140" s="353"/>
      <c r="AX140" s="353"/>
      <c r="AY140" s="397"/>
    </row>
    <row r="141" spans="6:51" ht="15.75" thickBot="1">
      <c r="F141" s="361"/>
      <c r="G141" s="361"/>
      <c r="H141" s="364"/>
      <c r="I141" s="367"/>
      <c r="J141" s="370"/>
      <c r="K141" s="373"/>
      <c r="L141" s="356"/>
      <c r="M141" s="376"/>
      <c r="N141" s="267" t="str">
        <f t="shared" si="137"/>
        <v xml:space="preserve"> </v>
      </c>
      <c r="O141" s="28" t="str">
        <f t="shared" si="131"/>
        <v xml:space="preserve"> </v>
      </c>
      <c r="P141" s="28" t="str">
        <f>IF(N141&lt;&gt;" ",MAX($P$9:P140)+O141/2," ")</f>
        <v xml:space="preserve"> </v>
      </c>
      <c r="Q141" s="28" t="str" cm="1">
        <f t="array" ref="Q141">IF(Скважина!$L$21=Служебный!$K$2,IF(O141&lt;&gt;" ",IF('Несущая способность по грунту 1'!P141&gt;1,Interpol(9,14,Служебный!$H$33:$H$46,Служебный!$I$32:$Q$32,Служебный!$I$33:$Q$46,'Несущая способность по грунту 1'!P141,IF($I$139&lt;=0.2,0.2,$I$139)),0)," "),0)</f>
        <v xml:space="preserve"> </v>
      </c>
      <c r="R141" s="68" t="str">
        <f t="shared" si="132"/>
        <v xml:space="preserve"> </v>
      </c>
      <c r="S141" s="188"/>
      <c r="T141" s="193"/>
      <c r="U141" s="72" t="str">
        <f t="shared" si="63"/>
        <v xml:space="preserve"> </v>
      </c>
      <c r="V141" s="188"/>
      <c r="X141" s="164">
        <v>4</v>
      </c>
      <c r="Y141" s="109">
        <f>IF(Y140=0.2,VLOOKUP(X141,Служебный!$H$33:$Q$46,2,FALSE),IF(Y140=0.3,VLOOKUP(X141,Служебный!$H$33:$Q$46,3,FALSE),IF(Y140=0.4,VLOOKUP(X141,Служебный!$H$33:$Q$46,4,FALSE),IF(Y140=0.5,VLOOKUP(X141,Служебный!$H$33:$Q$46,5,FALSE),IF(Y140=0.6,VLOOKUP(X141,Служебный!$H$33:$Q$46,6,FALSE),IF(Y140=0.7,VLOOKUP(X141,Служебный!$H$33:$Q$46,7,FALSE),IF(Y140=0.8,VLOOKUP(X141,Служебный!$H$33:$Q$46,8,FALSE),IF(Y140=0.9,VLOOKUP(X141,Служебный!$H$33:$Q$46,9,FALSE),IF(Y140=1,VLOOKUP(X141,Служебный!$H$33:$Q$46,10,FALSE),0)))))))))</f>
        <v>53</v>
      </c>
      <c r="Z141" s="79" t="e">
        <f t="shared" ref="Z141" si="139">(AA141-Y141)/(AA140-Y140)*(Z140-Y140)+Y141</f>
        <v>#VALUE!</v>
      </c>
      <c r="AA141" s="165">
        <f>IF(AA140=0.2,VLOOKUP(X141,Служебный!$H$33:$Q$46,2,FALSE),IF(AA140=0.3,VLOOKUP(X141,Служебный!$H$33:$Q$46,3,FALSE),IF(AA140=0.4,VLOOKUP(X141,Служебный!$H$33:$Q$46,4,FALSE),IF(AA140=0.5,VLOOKUP(X141,Служебный!$H$33:$Q$46,5,FALSE),IF(AA140=0.6,VLOOKUP(X141,Служебный!$H$33:$Q$46,6,FALSE),IF(AA140=0.7,VLOOKUP(X141,Служебный!$H$33:$Q$46,7,FALSE),IF(AA140=0.8,VLOOKUP(X141,Служебный!$H$33:$Q$46,8,FALSE),IF(AA140=0.9,VLOOKUP(X141,Служебный!$H$33:$Q$46,9,FALSE),IF(AA140=1,VLOOKUP(X141,Служебный!$H$33:$Q$46,10,FALSE),0)))))))))</f>
        <v>38</v>
      </c>
      <c r="AC141" s="164">
        <v>15</v>
      </c>
      <c r="AD141" s="151">
        <v>55</v>
      </c>
      <c r="AN141" s="353"/>
      <c r="AO141" s="353"/>
      <c r="AP141" s="397"/>
      <c r="AQ141" s="353"/>
      <c r="AR141" s="353"/>
      <c r="AS141" s="397"/>
      <c r="AT141" s="353"/>
      <c r="AU141" s="353"/>
      <c r="AV141" s="397"/>
      <c r="AW141" s="353"/>
      <c r="AX141" s="353"/>
      <c r="AY141" s="397"/>
    </row>
    <row r="142" spans="6:51" ht="15.75" thickBot="1">
      <c r="F142" s="361"/>
      <c r="G142" s="361"/>
      <c r="H142" s="364"/>
      <c r="I142" s="367"/>
      <c r="J142" s="370"/>
      <c r="K142" s="373"/>
      <c r="L142" s="356"/>
      <c r="M142" s="376"/>
      <c r="N142" s="267" t="str">
        <f t="shared" si="137"/>
        <v xml:space="preserve"> </v>
      </c>
      <c r="O142" s="28" t="str">
        <f t="shared" si="131"/>
        <v xml:space="preserve"> </v>
      </c>
      <c r="P142" s="28" t="str">
        <f>IF(N142&lt;&gt;" ",MAX($P$9:P141)+O142/2," ")</f>
        <v xml:space="preserve"> </v>
      </c>
      <c r="Q142" s="28" t="str" cm="1">
        <f t="array" ref="Q142">IF(Скважина!$L$21=Служебный!$K$2,IF(O142&lt;&gt;" ",IF('Несущая способность по грунту 1'!P142&gt;1,Interpol(9,14,Служебный!$H$33:$H$46,Служебный!$I$32:$Q$32,Служебный!$I$33:$Q$46,'Несущая способность по грунту 1'!P142,IF($I$139&lt;=0.2,0.2,$I$139)),0)," "),0)</f>
        <v xml:space="preserve"> </v>
      </c>
      <c r="R142" s="68" t="str">
        <f t="shared" si="132"/>
        <v xml:space="preserve"> </v>
      </c>
      <c r="S142" s="188"/>
      <c r="T142" s="193"/>
      <c r="U142" s="72" t="str">
        <f t="shared" si="63"/>
        <v xml:space="preserve"> </v>
      </c>
      <c r="V142" s="188"/>
      <c r="X142" s="164">
        <v>4.75</v>
      </c>
      <c r="Y142" s="78"/>
      <c r="Z142" s="77" t="e">
        <f t="shared" ref="Z142" si="140">(Z143-Z141)/(X143-X141)*(X142-X141)+Z141</f>
        <v>#VALUE!</v>
      </c>
      <c r="AA142" s="166"/>
      <c r="AC142" s="164">
        <v>16</v>
      </c>
      <c r="AD142" s="285">
        <f t="shared" ref="AD142" si="141">(AD143-AD141)/(AC143-AC141)*(AC142-AC141)+AD141</f>
        <v>56.5</v>
      </c>
      <c r="AN142" s="353"/>
      <c r="AO142" s="353"/>
      <c r="AP142" s="397"/>
      <c r="AQ142" s="353"/>
      <c r="AR142" s="353"/>
      <c r="AS142" s="397"/>
      <c r="AT142" s="353"/>
      <c r="AU142" s="353"/>
      <c r="AV142" s="397"/>
      <c r="AW142" s="353"/>
      <c r="AX142" s="353"/>
      <c r="AY142" s="397"/>
    </row>
    <row r="143" spans="6:51" ht="15.75" thickBot="1">
      <c r="F143" s="361"/>
      <c r="G143" s="361"/>
      <c r="H143" s="364"/>
      <c r="I143" s="367"/>
      <c r="J143" s="370"/>
      <c r="K143" s="373"/>
      <c r="L143" s="356"/>
      <c r="M143" s="376"/>
      <c r="N143" s="267" t="str">
        <f t="shared" si="137"/>
        <v xml:space="preserve"> </v>
      </c>
      <c r="O143" s="28" t="str">
        <f t="shared" si="131"/>
        <v xml:space="preserve"> </v>
      </c>
      <c r="P143" s="28" t="str">
        <f>IF(N143&lt;&gt;" ",MAX($P$9:P142)+O143/2," ")</f>
        <v xml:space="preserve"> </v>
      </c>
      <c r="Q143" s="28" t="str" cm="1">
        <f t="array" ref="Q143">IF(Скважина!$L$21=Служебный!$K$2,IF(O143&lt;&gt;" ",IF('Несущая способность по грунту 1'!P143&gt;1,Interpol(9,14,Служебный!$H$33:$H$46,Служебный!$I$32:$Q$32,Служебный!$I$33:$Q$46,'Несущая способность по грунту 1'!P143,IF($I$139&lt;=0.2,0.2,$I$139)),0)," "),0)</f>
        <v xml:space="preserve"> </v>
      </c>
      <c r="R143" s="68" t="str">
        <f t="shared" si="132"/>
        <v xml:space="preserve"> </v>
      </c>
      <c r="S143" s="188"/>
      <c r="T143" s="193"/>
      <c r="U143" s="72" t="str">
        <f t="shared" si="63"/>
        <v xml:space="preserve"> </v>
      </c>
      <c r="V143" s="188"/>
      <c r="X143" s="167">
        <v>5</v>
      </c>
      <c r="Y143" s="168">
        <f>IF(Y140=0.2,VLOOKUP(X143,Служебный!$H$33:$Q$46,2,FALSE),IF(Y140=0.3,VLOOKUP(X143,Служебный!$H$33:$Q$46,3,FALSE),IF(Y140=0.4,VLOOKUP(X143,Служебный!$H$33:$Q$46,4,FALSE),IF(Y140=0.5,VLOOKUP(X143,Служебный!$H$33:$Q$46,5,FALSE),IF(Y140=0.6,VLOOKUP(X143,Служебный!$H$33:$Q$46,6,FALSE),IF(Y140=0.7,VLOOKUP(X143,Служебный!$H$33:$Q$46,7,FALSE),IF(Y140=0.8,VLOOKUP(X143,Служебный!$H$33:$Q$46,8,FALSE),IF(Y140=0.9,VLOOKUP(X143,Служебный!$H$33:$Q$46,9,FALSE),IF(Y140=1,VLOOKUP(X143,Служебный!$H$33:$Q$46,10,FALSE),0)))))))))</f>
        <v>56</v>
      </c>
      <c r="Z143" s="169" t="e">
        <f t="shared" ref="Z143" si="142">(AA143-Y143)/(AA140-Y140)*(Z140-Y140)+Y143</f>
        <v>#VALUE!</v>
      </c>
      <c r="AA143" s="170">
        <f>IF(AA140=0.2,VLOOKUP(X143,Служебный!$H$33:$Q$46,2,FALSE),IF(AA140=0.3,VLOOKUP(X143,Служебный!$H$33:$Q$46,3,FALSE),IF(AA140=0.4,VLOOKUP(X143,Служебный!$H$33:$Q$46,4,FALSE),IF(AA140=0.5,VLOOKUP(X143,Служебный!$H$33:$Q$46,5,FALSE),IF(AA140=0.6,VLOOKUP(X143,Служебный!$H$33:$Q$46,6,FALSE),IF(AA140=0.7,VLOOKUP(X143,Служебный!$H$33:$Q$46,7,FALSE),IF(AA140=0.8,VLOOKUP(X143,Служебный!$H$33:$Q$46,8,FALSE),IF(AA140=0.9,VLOOKUP(X143,Служебный!$H$33:$Q$46,9,FALSE),IF(AA140=1,VLOOKUP(X143,Служебный!$H$33:$Q$46,10,FALSE),0)))))))))</f>
        <v>40</v>
      </c>
      <c r="AC143" s="167">
        <v>17</v>
      </c>
      <c r="AD143" s="155">
        <v>58</v>
      </c>
      <c r="AN143" s="353"/>
      <c r="AO143" s="353"/>
      <c r="AP143" s="397"/>
      <c r="AQ143" s="353"/>
      <c r="AR143" s="353"/>
      <c r="AS143" s="397"/>
      <c r="AT143" s="353"/>
      <c r="AU143" s="353"/>
      <c r="AV143" s="397"/>
      <c r="AW143" s="353"/>
      <c r="AX143" s="353"/>
      <c r="AY143" s="397"/>
    </row>
    <row r="144" spans="6:51">
      <c r="F144" s="361"/>
      <c r="G144" s="361"/>
      <c r="H144" s="364"/>
      <c r="I144" s="367"/>
      <c r="J144" s="370"/>
      <c r="K144" s="373"/>
      <c r="L144" s="356"/>
      <c r="M144" s="376"/>
      <c r="N144" s="267" t="str">
        <f t="shared" si="137"/>
        <v xml:space="preserve"> </v>
      </c>
      <c r="O144" s="28" t="str">
        <f t="shared" si="131"/>
        <v xml:space="preserve"> </v>
      </c>
      <c r="P144" s="28" t="str">
        <f>IF(N144&lt;&gt;" ",MAX($P$9:P143)+O144/2," ")</f>
        <v xml:space="preserve"> </v>
      </c>
      <c r="Q144" s="28" t="str" cm="1">
        <f t="array" ref="Q144">IF(Скважина!$L$21=Служебный!$K$2,IF(O144&lt;&gt;" ",IF('Несущая способность по грунту 1'!P144&gt;1,Interpol(9,14,Служебный!$H$33:$H$46,Служебный!$I$32:$Q$32,Служебный!$I$33:$Q$46,'Несущая способность по грунту 1'!P144,IF($I$139&lt;=0.2,0.2,$I$139)),0)," "),0)</f>
        <v xml:space="preserve"> </v>
      </c>
      <c r="R144" s="68" t="str">
        <f t="shared" si="132"/>
        <v xml:space="preserve"> </v>
      </c>
      <c r="S144" s="188"/>
      <c r="T144" s="193"/>
      <c r="U144" s="72" t="str">
        <f t="shared" si="63"/>
        <v xml:space="preserve"> </v>
      </c>
      <c r="V144" s="188"/>
      <c r="X144" t="str">
        <f t="shared" ref="X144" si="143">H139</f>
        <v xml:space="preserve"> </v>
      </c>
      <c r="AN144" s="353"/>
      <c r="AO144" s="353"/>
      <c r="AP144" s="397"/>
      <c r="AQ144" s="353"/>
      <c r="AR144" s="353"/>
      <c r="AS144" s="397"/>
      <c r="AT144" s="353"/>
      <c r="AU144" s="353"/>
      <c r="AV144" s="397"/>
      <c r="AW144" s="353"/>
      <c r="AX144" s="353"/>
      <c r="AY144" s="397"/>
    </row>
    <row r="145" spans="6:51">
      <c r="F145" s="361"/>
      <c r="G145" s="361"/>
      <c r="H145" s="364"/>
      <c r="I145" s="367"/>
      <c r="J145" s="370"/>
      <c r="K145" s="373"/>
      <c r="L145" s="356"/>
      <c r="M145" s="376"/>
      <c r="N145" s="267" t="str">
        <f t="shared" si="137"/>
        <v xml:space="preserve"> </v>
      </c>
      <c r="O145" s="28" t="str">
        <f t="shared" si="131"/>
        <v xml:space="preserve"> </v>
      </c>
      <c r="P145" s="28" t="str">
        <f>IF(N145&lt;&gt;" ",MAX($P$9:P144)+O145/2," ")</f>
        <v xml:space="preserve"> </v>
      </c>
      <c r="Q145" s="28" t="str" cm="1">
        <f t="array" ref="Q145">IF(Скважина!$L$21=Служебный!$K$2,IF(O145&lt;&gt;" ",IF('Несущая способность по грунту 1'!P145&gt;1,Interpol(9,14,Служебный!$H$33:$H$46,Служебный!$I$32:$Q$32,Служебный!$I$33:$Q$46,'Несущая способность по грунту 1'!P145,IF($I$139&lt;=0.2,0.2,$I$139)),0)," "),0)</f>
        <v xml:space="preserve"> </v>
      </c>
      <c r="R145" s="68" t="str">
        <f t="shared" si="132"/>
        <v xml:space="preserve"> </v>
      </c>
      <c r="S145" s="188"/>
      <c r="T145" s="193"/>
      <c r="U145" s="72" t="str">
        <f t="shared" si="63"/>
        <v xml:space="preserve"> </v>
      </c>
      <c r="V145" s="188"/>
      <c r="AN145" s="353"/>
      <c r="AO145" s="353"/>
      <c r="AP145" s="397"/>
      <c r="AQ145" s="353"/>
      <c r="AR145" s="353"/>
      <c r="AS145" s="397"/>
      <c r="AT145" s="353"/>
      <c r="AU145" s="353"/>
      <c r="AV145" s="397"/>
      <c r="AW145" s="353"/>
      <c r="AX145" s="353"/>
      <c r="AY145" s="397"/>
    </row>
    <row r="146" spans="6:51">
      <c r="F146" s="361"/>
      <c r="G146" s="361"/>
      <c r="H146" s="364"/>
      <c r="I146" s="367"/>
      <c r="J146" s="370"/>
      <c r="K146" s="373"/>
      <c r="L146" s="356"/>
      <c r="M146" s="376"/>
      <c r="N146" s="267" t="str">
        <f t="shared" si="137"/>
        <v xml:space="preserve"> </v>
      </c>
      <c r="O146" s="28" t="str">
        <f t="shared" si="131"/>
        <v xml:space="preserve"> </v>
      </c>
      <c r="P146" s="28" t="str">
        <f>IF(N146&lt;&gt;" ",MAX($P$9:P145)+O146/2," ")</f>
        <v xml:space="preserve"> </v>
      </c>
      <c r="Q146" s="28" t="str" cm="1">
        <f t="array" ref="Q146">IF(Скважина!$L$21=Служебный!$K$2,IF(O146&lt;&gt;" ",IF('Несущая способность по грунту 1'!P146&gt;1,Interpol(9,14,Служебный!$H$33:$H$46,Служебный!$I$32:$Q$32,Служебный!$I$33:$Q$46,'Несущая способность по грунту 1'!P146,IF($I$139&lt;=0.2,0.2,$I$139)),0)," "),0)</f>
        <v xml:space="preserve"> </v>
      </c>
      <c r="R146" s="68" t="str">
        <f t="shared" si="132"/>
        <v xml:space="preserve"> </v>
      </c>
      <c r="S146" s="188"/>
      <c r="T146" s="193"/>
      <c r="U146" s="72" t="str">
        <f t="shared" si="63"/>
        <v xml:space="preserve"> </v>
      </c>
      <c r="V146" s="188"/>
      <c r="AN146" s="353"/>
      <c r="AO146" s="353"/>
      <c r="AP146" s="397"/>
      <c r="AQ146" s="353"/>
      <c r="AR146" s="353"/>
      <c r="AS146" s="397"/>
      <c r="AT146" s="353"/>
      <c r="AU146" s="353"/>
      <c r="AV146" s="397"/>
      <c r="AW146" s="353"/>
      <c r="AX146" s="353"/>
      <c r="AY146" s="397"/>
    </row>
    <row r="147" spans="6:51">
      <c r="F147" s="361"/>
      <c r="G147" s="361"/>
      <c r="H147" s="364"/>
      <c r="I147" s="367"/>
      <c r="J147" s="370"/>
      <c r="K147" s="373"/>
      <c r="L147" s="356"/>
      <c r="M147" s="376"/>
      <c r="N147" s="267" t="str">
        <f>IF(N146=" "," ", IF(N146&lt;SUM(M$8:M$148),N146+1, " "))</f>
        <v xml:space="preserve"> </v>
      </c>
      <c r="O147" s="28" t="str">
        <f t="shared" si="131"/>
        <v xml:space="preserve"> </v>
      </c>
      <c r="P147" s="28" t="str">
        <f>IF(N147&lt;&gt;" ",MAX($P$9:P146)+O147/2," ")</f>
        <v xml:space="preserve"> </v>
      </c>
      <c r="Q147" s="28" t="str" cm="1">
        <f t="array" ref="Q147">IF(Скважина!$L$21=Служебный!$K$2,IF(O147&lt;&gt;" ",IF('Несущая способность по грунту 1'!P147&gt;1,Interpol(9,14,Служебный!$H$33:$H$46,Служебный!$I$32:$Q$32,Служебный!$I$33:$Q$46,'Несущая способность по грунту 1'!P147,IF($I$139&lt;=0.2,0.2,$I$139)),0)," "),0)</f>
        <v xml:space="preserve"> </v>
      </c>
      <c r="R147" s="68" t="str">
        <f t="shared" si="132"/>
        <v xml:space="preserve"> </v>
      </c>
      <c r="S147" s="188"/>
      <c r="T147" s="193"/>
      <c r="U147" s="72" t="str">
        <f t="shared" si="63"/>
        <v xml:space="preserve"> </v>
      </c>
      <c r="V147" s="188"/>
      <c r="AN147" s="353"/>
      <c r="AO147" s="353"/>
      <c r="AP147" s="397"/>
      <c r="AQ147" s="353"/>
      <c r="AR147" s="353"/>
      <c r="AS147" s="397"/>
      <c r="AT147" s="353"/>
      <c r="AU147" s="353"/>
      <c r="AV147" s="397"/>
      <c r="AW147" s="353"/>
      <c r="AX147" s="353"/>
      <c r="AY147" s="397"/>
    </row>
    <row r="148" spans="6:51" ht="15.75" thickBot="1">
      <c r="F148" s="362"/>
      <c r="G148" s="362"/>
      <c r="H148" s="365"/>
      <c r="I148" s="368"/>
      <c r="J148" s="371"/>
      <c r="K148" s="374"/>
      <c r="L148" s="357"/>
      <c r="M148" s="377"/>
      <c r="N148" s="274" t="str">
        <f>IF(N147=" "," ", IF(N147&lt;SUM(M$9:M$148),N147+1, " "))</f>
        <v xml:space="preserve"> </v>
      </c>
      <c r="O148" s="70" t="str">
        <f t="shared" si="131"/>
        <v xml:space="preserve"> </v>
      </c>
      <c r="P148" s="70" t="str">
        <f>IF(N148&lt;&gt;" ",MAX($P$9:P147)+O148/2," ")</f>
        <v xml:space="preserve"> </v>
      </c>
      <c r="Q148" s="70" t="str" cm="1">
        <f t="array" ref="Q148">IF(Скважина!$L$21=Служебный!$K$2,IF(O148&lt;&gt;" ",IF('Несущая способность по грунту 1'!P148&gt;1,Interpol(9,14,Служебный!$H$33:$H$46,Служебный!$I$32:$Q$32,Служебный!$I$33:$Q$46,'Несущая способность по грунту 1'!P148,IF($I$139&lt;=0.2,0.2,$I$139)),0)," "),0)</f>
        <v xml:space="preserve"> </v>
      </c>
      <c r="R148" s="71" t="str">
        <f t="shared" si="132"/>
        <v xml:space="preserve"> </v>
      </c>
      <c r="S148" s="188"/>
      <c r="T148" s="194"/>
      <c r="U148" s="195" t="str">
        <f t="shared" si="63"/>
        <v xml:space="preserve"> </v>
      </c>
      <c r="V148" s="188"/>
      <c r="AN148" s="353"/>
      <c r="AO148" s="353"/>
      <c r="AP148" s="397"/>
      <c r="AQ148" s="353"/>
      <c r="AR148" s="353"/>
      <c r="AS148" s="397"/>
      <c r="AT148" s="353"/>
      <c r="AU148" s="353"/>
      <c r="AV148" s="397"/>
      <c r="AW148" s="353"/>
      <c r="AX148" s="353"/>
      <c r="AY148" s="397"/>
    </row>
    <row r="149" spans="6:51" ht="18">
      <c r="F149" s="378">
        <f t="shared" ref="F149" si="144">F139+1</f>
        <v>15</v>
      </c>
      <c r="G149" s="378">
        <f>IF(F149&lt;21,IF(VLOOKUP(F149,Скважина!$E$8:$K$27,4,FALSE)&gt;Скважина!$C$8,VLOOKUP('Несущая способность по грунту 1'!F149,Скважина!$E$8:$K$27,2,FALSE),0),0)</f>
        <v>0</v>
      </c>
      <c r="H149" s="388" t="str">
        <f>IF(G149&lt;&gt;0,VLOOKUP('Несущая способность по грунту 1'!G149,Геология!$D$7:$BO$993,7,FALSE)," ")</f>
        <v xml:space="preserve"> </v>
      </c>
      <c r="I149" s="367" t="str">
        <f>IF(G149&lt;&gt;0,VLOOKUP('Несущая способность по грунту 1'!G149, Геология!$D$8:$BM$993, 22,FALSE)," ")</f>
        <v xml:space="preserve"> </v>
      </c>
      <c r="J149" s="390">
        <f>VLOOKUP(F149,Скважина!$E$8:$K$27,4,FALSE)</f>
        <v>0</v>
      </c>
      <c r="K149" s="373">
        <f>IF(VLOOKUP($F149,Скважина!$E$8:$K$27,5,FALSE)&gt;Скважина!$C$8,VLOOKUP($F149,Скважина!$E$8:$K$27,5,FALSE),Скважина!$C$8)</f>
        <v>120</v>
      </c>
      <c r="L149" s="356">
        <f t="shared" ref="L149" si="145">IF(IF(G149&lt;&gt;0,J149-K149,0)&lt;0,0,IF(G149&lt;&gt;0,J149-K149,0))</f>
        <v>0</v>
      </c>
      <c r="M149" s="392"/>
      <c r="N149" s="264" t="str">
        <f>IF(M149&lt;&gt;0,MAX(N$9:N$148)+1," ")</f>
        <v xml:space="preserve"> </v>
      </c>
      <c r="O149" s="34" t="str">
        <f t="shared" si="131"/>
        <v xml:space="preserve"> </v>
      </c>
      <c r="P149" s="34" t="str">
        <f>IF(N149&lt;&gt;" ",MAX($P$9:P148)+O149/2," ")</f>
        <v xml:space="preserve"> </v>
      </c>
      <c r="Q149" s="34" t="str" cm="1">
        <f t="array" ref="Q149">IF(Скважина!$L$22=Служебный!$K$2,IF(O149&lt;&gt;" ",IF('Несущая способность по грунту 1'!P149&gt;1,Interpol(9,14,Служебный!$H$33:$H$46,Служебный!$I$32:$Q$32,Служебный!$I$33:$Q$46,'Несущая способность по грунту 1'!P149,IF($I$149&lt;=0.2,0.2,$I$149)),0)," "),0)</f>
        <v xml:space="preserve"> </v>
      </c>
      <c r="R149" s="72" t="str">
        <f t="shared" si="132"/>
        <v xml:space="preserve"> </v>
      </c>
      <c r="S149" s="188"/>
      <c r="T149" s="192"/>
      <c r="U149" s="67" t="str">
        <f t="shared" si="63"/>
        <v xml:space="preserve"> </v>
      </c>
      <c r="V149" s="188"/>
      <c r="X149" s="159" t="s">
        <v>156</v>
      </c>
      <c r="Y149" s="160"/>
      <c r="Z149" s="161" t="s">
        <v>155</v>
      </c>
      <c r="AA149" s="162"/>
      <c r="AC149" s="283" t="s">
        <v>213</v>
      </c>
      <c r="AD149" s="284"/>
      <c r="AN149" s="353" t="str">
        <f>IF(OR(G149=0,F149&gt;20)," ",VLOOKUP('Несущая способность по грунту 1'!G149,Геология!$D$7:$BO$993,23,FALSE))</f>
        <v xml:space="preserve"> </v>
      </c>
      <c r="AO149" s="353" t="str">
        <f t="shared" ref="AO149" si="146">IF(AN149&lt;&gt;" ",AN149*L149," ")</f>
        <v xml:space="preserve"> </v>
      </c>
      <c r="AP149" s="397"/>
      <c r="AQ149" s="353" t="str">
        <f>IF(G149&lt;&gt;0,VLOOKUP('Несущая способность по грунту 1'!G149,Геология!$D$7:$BO$993,24,FALSE)," ")</f>
        <v xml:space="preserve"> </v>
      </c>
      <c r="AR149" s="353" t="str">
        <f t="shared" ref="AR149" si="147">IF(AQ149&lt;&gt;" ",AQ149*L149," ")</f>
        <v xml:space="preserve"> </v>
      </c>
      <c r="AS149" s="397"/>
      <c r="AT149" s="353" t="str">
        <f>IF(G149&lt;&gt;0,VLOOKUP('Несущая способность по грунту 1'!G149,Геология!$D$7:$BO$993,21,FALSE)," ")</f>
        <v xml:space="preserve"> </v>
      </c>
      <c r="AU149" s="353" t="str">
        <f t="shared" ref="AU149" si="148">IF(G149&lt;&gt;0,AT149*L149," ")</f>
        <v xml:space="preserve"> </v>
      </c>
      <c r="AV149" s="397"/>
      <c r="AW149" s="353" t="str">
        <f>IF(G149&lt;&gt;0,VLOOKUP('Несущая способность по грунту 1'!G149,Геология!$D$7:$BO$993,27,FALSE)," ")</f>
        <v xml:space="preserve"> </v>
      </c>
      <c r="AX149" s="353" t="str">
        <f t="shared" ref="AX149" si="149">IF(G149&lt;&gt;0,AW149*L149," ")</f>
        <v xml:space="preserve"> </v>
      </c>
      <c r="AY149" s="397"/>
    </row>
    <row r="150" spans="6:51">
      <c r="F150" s="361"/>
      <c r="G150" s="361"/>
      <c r="H150" s="364"/>
      <c r="I150" s="367"/>
      <c r="J150" s="370"/>
      <c r="K150" s="373"/>
      <c r="L150" s="356"/>
      <c r="M150" s="376"/>
      <c r="N150" s="257" t="str">
        <f>IF(N149=" "," ", IF(N149&lt;SUM(M$9:M$158),N149+1, " "))</f>
        <v xml:space="preserve"> </v>
      </c>
      <c r="O150" s="28" t="str">
        <f t="shared" si="131"/>
        <v xml:space="preserve"> </v>
      </c>
      <c r="P150" s="28" t="str">
        <f>IF(N150&lt;&gt;" ",MAX($P$9:P149)+O150/2," ")</f>
        <v xml:space="preserve"> </v>
      </c>
      <c r="Q150" s="28" t="str" cm="1">
        <f t="array" ref="Q150">IF(Скважина!$L$22=Служебный!$K$2,IF(O150&lt;&gt;" ",IF('Несущая способность по грунту 1'!P150&gt;1,Interpol(9,14,Служебный!$H$33:$H$46,Служебный!$I$32:$Q$32,Служебный!$I$33:$Q$46,'Несущая способность по грунту 1'!P150,IF($I$149&lt;=0.2,0.2,$I$149)),0)," "),0)</f>
        <v xml:space="preserve"> </v>
      </c>
      <c r="R150" s="68" t="str">
        <f t="shared" si="132"/>
        <v xml:space="preserve"> </v>
      </c>
      <c r="S150" s="188"/>
      <c r="T150" s="193"/>
      <c r="U150" s="72" t="str">
        <f t="shared" si="63"/>
        <v xml:space="preserve"> </v>
      </c>
      <c r="V150" s="188"/>
      <c r="X150" s="163" t="s">
        <v>39</v>
      </c>
      <c r="Y150" s="47">
        <v>4.2</v>
      </c>
      <c r="Z150" s="177" t="str">
        <f t="shared" ref="Z150" si="150">IF(I149&lt;=0.2,0.2,I149)</f>
        <v xml:space="preserve"> </v>
      </c>
      <c r="AA150" s="151">
        <v>4.3</v>
      </c>
      <c r="AC150" s="262" t="s">
        <v>39</v>
      </c>
      <c r="AD150" s="165" t="s">
        <v>214</v>
      </c>
      <c r="AN150" s="353"/>
      <c r="AO150" s="353"/>
      <c r="AP150" s="397"/>
      <c r="AQ150" s="353"/>
      <c r="AR150" s="353"/>
      <c r="AS150" s="397"/>
      <c r="AT150" s="353"/>
      <c r="AU150" s="353"/>
      <c r="AV150" s="397"/>
      <c r="AW150" s="353"/>
      <c r="AX150" s="353"/>
      <c r="AY150" s="397"/>
    </row>
    <row r="151" spans="6:51" ht="15.75" thickBot="1">
      <c r="F151" s="361"/>
      <c r="G151" s="361"/>
      <c r="H151" s="364"/>
      <c r="I151" s="367"/>
      <c r="J151" s="370"/>
      <c r="K151" s="373"/>
      <c r="L151" s="356"/>
      <c r="M151" s="376"/>
      <c r="N151" s="257" t="str">
        <f>IF(N150=" "," ", IF(N150&lt;SUM(M$9:M$158),N150+1, " "))</f>
        <v xml:space="preserve"> </v>
      </c>
      <c r="O151" s="28" t="str">
        <f t="shared" si="131"/>
        <v xml:space="preserve"> </v>
      </c>
      <c r="P151" s="28" t="str">
        <f>IF(N151&lt;&gt;" ",MAX($P$9:P150)+O151/2," ")</f>
        <v xml:space="preserve"> </v>
      </c>
      <c r="Q151" s="28" t="str" cm="1">
        <f t="array" ref="Q151">IF(Скважина!$L$22=Служебный!$K$2,IF(O151&lt;&gt;" ",IF('Несущая способность по грунту 1'!P151&gt;1,Interpol(9,14,Служебный!$H$33:$H$46,Служебный!$I$32:$Q$32,Служебный!$I$33:$Q$46,'Несущая способность по грунту 1'!P151,IF($I$149&lt;=0.2,0.2,$I$149)),0)," "),0)</f>
        <v xml:space="preserve"> </v>
      </c>
      <c r="R151" s="68" t="str">
        <f t="shared" si="132"/>
        <v xml:space="preserve"> </v>
      </c>
      <c r="S151" s="188"/>
      <c r="T151" s="193"/>
      <c r="U151" s="72" t="str">
        <f t="shared" si="63"/>
        <v xml:space="preserve"> </v>
      </c>
      <c r="V151" s="188"/>
      <c r="X151" s="164">
        <v>4</v>
      </c>
      <c r="Y151" s="109">
        <f>IF(Y150=0.2,VLOOKUP(X151,Служебный!$H$33:$Q$46,2,FALSE),IF(Y150=0.3,VLOOKUP(X151,Служебный!$H$33:$Q$46,3,FALSE),IF(Y150=0.4,VLOOKUP(X151,Служебный!$H$33:$Q$46,4,FALSE),IF(Y150=0.5,VLOOKUP(X151,Служебный!$H$33:$Q$46,5,FALSE),IF(Y150=0.6,VLOOKUP(X151,Служебный!$H$33:$Q$46,6,FALSE),IF(Y150=0.7,VLOOKUP(X151,Служебный!$H$33:$Q$46,7,FALSE),IF(Y150=0.8,VLOOKUP(X151,Служебный!$H$33:$Q$46,8,FALSE),IF(Y150=0.9,VLOOKUP(X151,Служебный!$H$33:$Q$46,9,FALSE),IF(Y150=1,VLOOKUP(X151,Служебный!$H$33:$Q$46,10,FALSE),0)))))))))</f>
        <v>0</v>
      </c>
      <c r="Z151" s="79" t="e">
        <f t="shared" ref="Z151" si="151">(AA151-Y151)/(AA150-Y150)*(Z150-Y150)+Y151</f>
        <v>#VALUE!</v>
      </c>
      <c r="AA151" s="165">
        <f>IF(AA150=0.2,VLOOKUP(X151,Служебный!$H$33:$Q$46,2,FALSE),IF(AA150=0.3,VLOOKUP(X151,Служебный!$H$33:$Q$46,3,FALSE),IF(AA150=0.4,VLOOKUP(X151,Служебный!$H$33:$Q$46,4,FALSE),IF(AA150=0.5,VLOOKUP(X151,Служебный!$H$33:$Q$46,5,FALSE),IF(AA150=0.6,VLOOKUP(X151,Служебный!$H$33:$Q$46,6,FALSE),IF(AA150=0.7,VLOOKUP(X151,Служебный!$H$33:$Q$46,7,FALSE),IF(AA150=0.8,VLOOKUP(X151,Служебный!$H$33:$Q$46,8,FALSE),IF(AA150=0.9,VLOOKUP(X151,Служебный!$H$33:$Q$46,9,FALSE),IF(AA150=1,VLOOKUP(X151,Служебный!$H$33:$Q$46,10,FALSE),0)))))))))</f>
        <v>0</v>
      </c>
      <c r="AC151" s="164">
        <v>18</v>
      </c>
      <c r="AD151" s="151">
        <v>55</v>
      </c>
      <c r="AN151" s="353"/>
      <c r="AO151" s="353"/>
      <c r="AP151" s="397"/>
      <c r="AQ151" s="353"/>
      <c r="AR151" s="353"/>
      <c r="AS151" s="397"/>
      <c r="AT151" s="353"/>
      <c r="AU151" s="353"/>
      <c r="AV151" s="397"/>
      <c r="AW151" s="353"/>
      <c r="AX151" s="353"/>
      <c r="AY151" s="397"/>
    </row>
    <row r="152" spans="6:51" ht="15.75" thickBot="1">
      <c r="F152" s="361"/>
      <c r="G152" s="361"/>
      <c r="H152" s="364"/>
      <c r="I152" s="367"/>
      <c r="J152" s="370"/>
      <c r="K152" s="373"/>
      <c r="L152" s="356"/>
      <c r="M152" s="376"/>
      <c r="N152" s="257" t="str">
        <f>IF(N151=" "," ", IF(N151&lt;SUM(M$9:M$158),N151+1, " "))</f>
        <v xml:space="preserve"> </v>
      </c>
      <c r="O152" s="28" t="str">
        <f t="shared" si="131"/>
        <v xml:space="preserve"> </v>
      </c>
      <c r="P152" s="28" t="str">
        <f>IF(N152&lt;&gt;" ",MAX($P$9:P151)+O152/2," ")</f>
        <v xml:space="preserve"> </v>
      </c>
      <c r="Q152" s="28" t="str" cm="1">
        <f t="array" ref="Q152">IF(Скважина!$L$22=Служебный!$K$2,IF(O152&lt;&gt;" ",IF('Несущая способность по грунту 1'!P152&gt;1,Interpol(9,14,Служебный!$H$33:$H$46,Служебный!$I$32:$Q$32,Служебный!$I$33:$Q$46,'Несущая способность по грунту 1'!P152,IF($I$149&lt;=0.2,0.2,$I$149)),0)," "),0)</f>
        <v xml:space="preserve"> </v>
      </c>
      <c r="R152" s="68" t="str">
        <f t="shared" si="132"/>
        <v xml:space="preserve"> </v>
      </c>
      <c r="S152" s="188"/>
      <c r="T152" s="193"/>
      <c r="U152" s="72" t="str">
        <f t="shared" si="63"/>
        <v xml:space="preserve"> </v>
      </c>
      <c r="V152" s="188"/>
      <c r="X152" s="164">
        <v>4.75</v>
      </c>
      <c r="Y152" s="78"/>
      <c r="Z152" s="77" t="e">
        <f t="shared" ref="Z152" si="152">(Z153-Z151)/(X153-X151)*(X152-X151)+Z151</f>
        <v>#VALUE!</v>
      </c>
      <c r="AA152" s="166"/>
      <c r="AC152" s="164">
        <v>19</v>
      </c>
      <c r="AD152" s="285">
        <f t="shared" ref="AD152" si="153">(AD153-AD151)/(AC153-AC151)*(AC152-AC151)+AD151</f>
        <v>56.5</v>
      </c>
      <c r="AN152" s="353"/>
      <c r="AO152" s="353"/>
      <c r="AP152" s="397"/>
      <c r="AQ152" s="353"/>
      <c r="AR152" s="353"/>
      <c r="AS152" s="397"/>
      <c r="AT152" s="353"/>
      <c r="AU152" s="353"/>
      <c r="AV152" s="397"/>
      <c r="AW152" s="353"/>
      <c r="AX152" s="353"/>
      <c r="AY152" s="397"/>
    </row>
    <row r="153" spans="6:51" ht="15.75" thickBot="1">
      <c r="F153" s="361"/>
      <c r="G153" s="361"/>
      <c r="H153" s="364"/>
      <c r="I153" s="367"/>
      <c r="J153" s="370"/>
      <c r="K153" s="373"/>
      <c r="L153" s="356"/>
      <c r="M153" s="376"/>
      <c r="N153" s="257" t="str">
        <f t="shared" ref="N153:N158" si="154">IF(N152=" "," ", IF(N152&lt;SUM(M$9:M$168),N152+1, " "))</f>
        <v xml:space="preserve"> </v>
      </c>
      <c r="O153" s="28" t="str">
        <f t="shared" si="131"/>
        <v xml:space="preserve"> </v>
      </c>
      <c r="P153" s="28" t="str">
        <f>IF(N153&lt;&gt;" ",MAX($P$9:P152)+O153/2," ")</f>
        <v xml:space="preserve"> </v>
      </c>
      <c r="Q153" s="28" t="str" cm="1">
        <f t="array" ref="Q153">IF(Скважина!$L$22=Служебный!$K$2,IF(O153&lt;&gt;" ",IF('Несущая способность по грунту 1'!P153&gt;1,Interpol(9,14,Служебный!$H$33:$H$46,Служебный!$I$32:$Q$32,Служебный!$I$33:$Q$46,'Несущая способность по грунту 1'!P153,IF($I$149&lt;=0.2,0.2,$I$149)),0)," "),0)</f>
        <v xml:space="preserve"> </v>
      </c>
      <c r="R153" s="68" t="str">
        <f t="shared" si="132"/>
        <v xml:space="preserve"> </v>
      </c>
      <c r="S153" s="188"/>
      <c r="T153" s="193"/>
      <c r="U153" s="72" t="str">
        <f t="shared" ref="U153:U208" si="155">IF(N153&lt;&gt;" ",O153*T153," ")</f>
        <v xml:space="preserve"> </v>
      </c>
      <c r="V153" s="188"/>
      <c r="X153" s="167">
        <v>5</v>
      </c>
      <c r="Y153" s="168">
        <f>IF(Y150=0.2,VLOOKUP(X153,Служебный!$H$33:$Q$46,2,FALSE),IF(Y150=0.3,VLOOKUP(X153,Служебный!$H$33:$Q$46,3,FALSE),IF(Y150=0.4,VLOOKUP(X153,Служебный!$H$33:$Q$46,4,FALSE),IF(Y150=0.5,VLOOKUP(X153,Служебный!$H$33:$Q$46,5,FALSE),IF(Y150=0.6,VLOOKUP(X153,Служебный!$H$33:$Q$46,6,FALSE),IF(Y150=0.7,VLOOKUP(X153,Служебный!$H$33:$Q$46,7,FALSE),IF(Y150=0.8,VLOOKUP(X153,Служебный!$H$33:$Q$46,8,FALSE),IF(Y150=0.9,VLOOKUP(X153,Служебный!$H$33:$Q$46,9,FALSE),IF(Y150=1,VLOOKUP(X153,Служебный!$H$33:$Q$46,10,FALSE),0)))))))))</f>
        <v>0</v>
      </c>
      <c r="Z153" s="169" t="e">
        <f t="shared" ref="Z153" si="156">(AA153-Y153)/(AA150-Y150)*(Z150-Y150)+Y153</f>
        <v>#VALUE!</v>
      </c>
      <c r="AA153" s="170">
        <f>IF(AA150=0.2,VLOOKUP(X153,Служебный!$H$33:$Q$46,2,FALSE),IF(AA150=0.3,VLOOKUP(X153,Служебный!$H$33:$Q$46,3,FALSE),IF(AA150=0.4,VLOOKUP(X153,Служебный!$H$33:$Q$46,4,FALSE),IF(AA150=0.5,VLOOKUP(X153,Служебный!$H$33:$Q$46,5,FALSE),IF(AA150=0.6,VLOOKUP(X153,Служебный!$H$33:$Q$46,6,FALSE),IF(AA150=0.7,VLOOKUP(X153,Служебный!$H$33:$Q$46,7,FALSE),IF(AA150=0.8,VLOOKUP(X153,Служебный!$H$33:$Q$46,8,FALSE),IF(AA150=0.9,VLOOKUP(X153,Служебный!$H$33:$Q$46,9,FALSE),IF(AA150=1,VLOOKUP(X153,Служебный!$H$33:$Q$46,10,FALSE),0)))))))))</f>
        <v>0</v>
      </c>
      <c r="AC153" s="167">
        <v>20</v>
      </c>
      <c r="AD153" s="155">
        <v>58</v>
      </c>
      <c r="AN153" s="353"/>
      <c r="AO153" s="353"/>
      <c r="AP153" s="397"/>
      <c r="AQ153" s="353"/>
      <c r="AR153" s="353"/>
      <c r="AS153" s="397"/>
      <c r="AT153" s="353"/>
      <c r="AU153" s="353"/>
      <c r="AV153" s="397"/>
      <c r="AW153" s="353"/>
      <c r="AX153" s="353"/>
      <c r="AY153" s="397"/>
    </row>
    <row r="154" spans="6:51">
      <c r="F154" s="361"/>
      <c r="G154" s="361"/>
      <c r="H154" s="364"/>
      <c r="I154" s="367"/>
      <c r="J154" s="370"/>
      <c r="K154" s="373"/>
      <c r="L154" s="356"/>
      <c r="M154" s="376"/>
      <c r="N154" s="257" t="str">
        <f t="shared" si="154"/>
        <v xml:space="preserve"> </v>
      </c>
      <c r="O154" s="28" t="str">
        <f t="shared" si="131"/>
        <v xml:space="preserve"> </v>
      </c>
      <c r="P154" s="28" t="str">
        <f>IF(N154&lt;&gt;" ",MAX($P$9:P153)+O154/2," ")</f>
        <v xml:space="preserve"> </v>
      </c>
      <c r="Q154" s="28" t="str" cm="1">
        <f t="array" ref="Q154">IF(Скважина!$L$22=Служебный!$K$2,IF(O154&lt;&gt;" ",IF('Несущая способность по грунту 1'!P154&gt;1,Interpol(9,14,Служебный!$H$33:$H$46,Служебный!$I$32:$Q$32,Служебный!$I$33:$Q$46,'Несущая способность по грунту 1'!P154,IF($I$149&lt;=0.2,0.2,$I$149)),0)," "),0)</f>
        <v xml:space="preserve"> </v>
      </c>
      <c r="R154" s="68" t="str">
        <f t="shared" si="132"/>
        <v xml:space="preserve"> </v>
      </c>
      <c r="S154" s="188"/>
      <c r="T154" s="193"/>
      <c r="U154" s="72" t="str">
        <f t="shared" si="155"/>
        <v xml:space="preserve"> </v>
      </c>
      <c r="V154" s="188"/>
      <c r="X154" t="str">
        <f t="shared" ref="X154" si="157">H149</f>
        <v xml:space="preserve"> </v>
      </c>
      <c r="AN154" s="353"/>
      <c r="AO154" s="353"/>
      <c r="AP154" s="397"/>
      <c r="AQ154" s="353"/>
      <c r="AR154" s="353"/>
      <c r="AS154" s="397"/>
      <c r="AT154" s="353"/>
      <c r="AU154" s="353"/>
      <c r="AV154" s="397"/>
      <c r="AW154" s="353"/>
      <c r="AX154" s="353"/>
      <c r="AY154" s="397"/>
    </row>
    <row r="155" spans="6:51">
      <c r="F155" s="361"/>
      <c r="G155" s="361"/>
      <c r="H155" s="364"/>
      <c r="I155" s="367"/>
      <c r="J155" s="370"/>
      <c r="K155" s="373"/>
      <c r="L155" s="356"/>
      <c r="M155" s="376"/>
      <c r="N155" s="257" t="str">
        <f t="shared" si="154"/>
        <v xml:space="preserve"> </v>
      </c>
      <c r="O155" s="28" t="str">
        <f t="shared" si="131"/>
        <v xml:space="preserve"> </v>
      </c>
      <c r="P155" s="28" t="str">
        <f>IF(N155&lt;&gt;" ",MAX($P$9:P154)+O155/2," ")</f>
        <v xml:space="preserve"> </v>
      </c>
      <c r="Q155" s="28" t="str" cm="1">
        <f t="array" ref="Q155">IF(Скважина!$L$22=Служебный!$K$2,IF(O155&lt;&gt;" ",IF('Несущая способность по грунту 1'!P155&gt;1,Interpol(9,14,Служебный!$H$33:$H$46,Служебный!$I$32:$Q$32,Служебный!$I$33:$Q$46,'Несущая способность по грунту 1'!P155,IF($I$149&lt;=0.2,0.2,$I$149)),0)," "),0)</f>
        <v xml:space="preserve"> </v>
      </c>
      <c r="R155" s="68" t="str">
        <f t="shared" si="132"/>
        <v xml:space="preserve"> </v>
      </c>
      <c r="S155" s="188"/>
      <c r="T155" s="193"/>
      <c r="U155" s="72" t="str">
        <f t="shared" si="155"/>
        <v xml:space="preserve"> </v>
      </c>
      <c r="V155" s="188"/>
      <c r="AN155" s="353"/>
      <c r="AO155" s="353"/>
      <c r="AP155" s="397"/>
      <c r="AQ155" s="353"/>
      <c r="AR155" s="353"/>
      <c r="AS155" s="397"/>
      <c r="AT155" s="353"/>
      <c r="AU155" s="353"/>
      <c r="AV155" s="397"/>
      <c r="AW155" s="353"/>
      <c r="AX155" s="353"/>
      <c r="AY155" s="397"/>
    </row>
    <row r="156" spans="6:51">
      <c r="F156" s="361"/>
      <c r="G156" s="361"/>
      <c r="H156" s="364"/>
      <c r="I156" s="367"/>
      <c r="J156" s="370"/>
      <c r="K156" s="373"/>
      <c r="L156" s="356"/>
      <c r="M156" s="376"/>
      <c r="N156" s="257" t="str">
        <f t="shared" si="154"/>
        <v xml:space="preserve"> </v>
      </c>
      <c r="O156" s="28" t="str">
        <f t="shared" si="131"/>
        <v xml:space="preserve"> </v>
      </c>
      <c r="P156" s="28" t="str">
        <f>IF(N156&lt;&gt;" ",MAX($P$9:P155)+O156/2," ")</f>
        <v xml:space="preserve"> </v>
      </c>
      <c r="Q156" s="28" t="str" cm="1">
        <f t="array" ref="Q156">IF(Скважина!$L$22=Служебный!$K$2,IF(O156&lt;&gt;" ",IF('Несущая способность по грунту 1'!P156&gt;1,Interpol(9,14,Служебный!$H$33:$H$46,Служебный!$I$32:$Q$32,Служебный!$I$33:$Q$46,'Несущая способность по грунту 1'!P156,IF($I$149&lt;=0.2,0.2,$I$149)),0)," "),0)</f>
        <v xml:space="preserve"> </v>
      </c>
      <c r="R156" s="68" t="str">
        <f t="shared" si="132"/>
        <v xml:space="preserve"> </v>
      </c>
      <c r="S156" s="188"/>
      <c r="T156" s="193"/>
      <c r="U156" s="72" t="str">
        <f t="shared" si="155"/>
        <v xml:space="preserve"> </v>
      </c>
      <c r="V156" s="188"/>
      <c r="AN156" s="353"/>
      <c r="AO156" s="353"/>
      <c r="AP156" s="397"/>
      <c r="AQ156" s="353"/>
      <c r="AR156" s="353"/>
      <c r="AS156" s="397"/>
      <c r="AT156" s="353"/>
      <c r="AU156" s="353"/>
      <c r="AV156" s="397"/>
      <c r="AW156" s="353"/>
      <c r="AX156" s="353"/>
      <c r="AY156" s="397"/>
    </row>
    <row r="157" spans="6:51">
      <c r="F157" s="361"/>
      <c r="G157" s="361"/>
      <c r="H157" s="364"/>
      <c r="I157" s="367"/>
      <c r="J157" s="370"/>
      <c r="K157" s="373"/>
      <c r="L157" s="356"/>
      <c r="M157" s="376"/>
      <c r="N157" s="257" t="str">
        <f t="shared" si="154"/>
        <v xml:space="preserve"> </v>
      </c>
      <c r="O157" s="28" t="str">
        <f t="shared" si="131"/>
        <v xml:space="preserve"> </v>
      </c>
      <c r="P157" s="28" t="str">
        <f>IF(N157&lt;&gt;" ",MAX($P$9:P156)+O157/2," ")</f>
        <v xml:space="preserve"> </v>
      </c>
      <c r="Q157" s="28" t="str" cm="1">
        <f t="array" ref="Q157">IF(Скважина!$L$22=Служебный!$K$2,IF(O157&lt;&gt;" ",IF('Несущая способность по грунту 1'!P157&gt;1,Interpol(9,14,Служебный!$H$33:$H$46,Служебный!$I$32:$Q$32,Служебный!$I$33:$Q$46,'Несущая способность по грунту 1'!P157,IF($I$149&lt;=0.2,0.2,$I$149)),0)," "),0)</f>
        <v xml:space="preserve"> </v>
      </c>
      <c r="R157" s="68" t="str">
        <f t="shared" si="132"/>
        <v xml:space="preserve"> </v>
      </c>
      <c r="S157" s="188"/>
      <c r="T157" s="193"/>
      <c r="U157" s="72" t="str">
        <f t="shared" si="155"/>
        <v xml:space="preserve"> </v>
      </c>
      <c r="V157" s="188"/>
      <c r="AN157" s="353"/>
      <c r="AO157" s="353"/>
      <c r="AP157" s="397"/>
      <c r="AQ157" s="353"/>
      <c r="AR157" s="353"/>
      <c r="AS157" s="397"/>
      <c r="AT157" s="353"/>
      <c r="AU157" s="353"/>
      <c r="AV157" s="397"/>
      <c r="AW157" s="353"/>
      <c r="AX157" s="353"/>
      <c r="AY157" s="397"/>
    </row>
    <row r="158" spans="6:51" ht="15.75" thickBot="1">
      <c r="F158" s="379"/>
      <c r="G158" s="379"/>
      <c r="H158" s="389"/>
      <c r="I158" s="367"/>
      <c r="J158" s="391"/>
      <c r="K158" s="373"/>
      <c r="L158" s="356"/>
      <c r="M158" s="393"/>
      <c r="N158" s="266" t="str">
        <f t="shared" si="154"/>
        <v xml:space="preserve"> </v>
      </c>
      <c r="O158" s="190" t="str">
        <f t="shared" si="131"/>
        <v xml:space="preserve"> </v>
      </c>
      <c r="P158" s="190" t="str">
        <f>IF(N158&lt;&gt;" ",MAX($P$9:P157)+O158/2," ")</f>
        <v xml:space="preserve"> </v>
      </c>
      <c r="Q158" s="190" t="str" cm="1">
        <f t="array" ref="Q158">IF(Скважина!$L$22=Служебный!$K$2,IF(O158&lt;&gt;" ",IF('Несущая способность по грунту 1'!P158&gt;1,Interpol(9,14,Служебный!$H$33:$H$46,Служебный!$I$32:$Q$32,Служебный!$I$33:$Q$46,'Несущая способность по грунту 1'!P158,IF($I$149&lt;=0.2,0.2,$I$149)),0)," "),0)</f>
        <v xml:space="preserve"> </v>
      </c>
      <c r="R158" s="280" t="str">
        <f t="shared" si="132"/>
        <v xml:space="preserve"> </v>
      </c>
      <c r="S158" s="188"/>
      <c r="T158" s="194"/>
      <c r="U158" s="195" t="str">
        <f t="shared" si="155"/>
        <v xml:space="preserve"> </v>
      </c>
      <c r="V158" s="188"/>
      <c r="AN158" s="353"/>
      <c r="AO158" s="353"/>
      <c r="AP158" s="397"/>
      <c r="AQ158" s="353"/>
      <c r="AR158" s="353"/>
      <c r="AS158" s="397"/>
      <c r="AT158" s="353"/>
      <c r="AU158" s="353"/>
      <c r="AV158" s="397"/>
      <c r="AW158" s="353"/>
      <c r="AX158" s="353"/>
      <c r="AY158" s="397"/>
    </row>
    <row r="159" spans="6:51" ht="18">
      <c r="F159" s="360">
        <f t="shared" ref="F159" si="158">F149+1</f>
        <v>16</v>
      </c>
      <c r="G159" s="360">
        <f>IF(F159&lt;21,IF(VLOOKUP(F159,Скважина!$E$8:$K$27,4,FALSE)&gt;Скважина!$C$8,VLOOKUP('Несущая способность по грунту 1'!F159,Скважина!$E$8:$K$27,2,FALSE),0),0)</f>
        <v>0</v>
      </c>
      <c r="H159" s="363" t="str">
        <f>IF(G159&lt;&gt;0,VLOOKUP('Несущая способность по грунту 1'!G159,Геология!$D$7:$BO$993,7,FALSE)," ")</f>
        <v xml:space="preserve"> </v>
      </c>
      <c r="I159" s="366" t="str">
        <f>IF(G159&lt;&gt;0,VLOOKUP('Несущая способность по грунту 1'!G159, Геология!$D$8:$BM$993, 22,FALSE)," ")</f>
        <v xml:space="preserve"> </v>
      </c>
      <c r="J159" s="369">
        <f>VLOOKUP(F159,Скважина!$E$8:$K$27,4,FALSE)</f>
        <v>0</v>
      </c>
      <c r="K159" s="372">
        <f>IF(VLOOKUP($F159,Скважина!$E$8:$K$27,5,FALSE)&gt;Скважина!$C$8,VLOOKUP($F159,Скважина!$E$8:$K$27,5,FALSE),Скважина!$C$8)</f>
        <v>120</v>
      </c>
      <c r="L159" s="355">
        <f t="shared" ref="L159" si="159">IF(IF(G159&lt;&gt;0,J159-K159,0)&lt;0,0,IF(G159&lt;&gt;0,J159-K159,0))</f>
        <v>0</v>
      </c>
      <c r="M159" s="375"/>
      <c r="N159" s="275" t="str">
        <f>IF(M159&lt;&gt;0,MAX(N$9:N$168)+1," ")</f>
        <v xml:space="preserve"> </v>
      </c>
      <c r="O159" s="66" t="str">
        <f t="shared" si="131"/>
        <v xml:space="preserve"> </v>
      </c>
      <c r="P159" s="66" t="str">
        <f>IF(N159&lt;&gt;" ",MAX($P$9:P158)+O159/2," ")</f>
        <v xml:space="preserve"> </v>
      </c>
      <c r="Q159" s="66" t="str" cm="1">
        <f t="array" ref="Q159">IF(Скважина!$L$23=Служебный!$K$2,IF(O159&lt;&gt;" ",IF('Несущая способность по грунту 1'!P159&gt;1,Interpol(9,14,Служебный!$H$33:$H$46,Служебный!$I$32:$Q$32,Служебный!$I$33:$Q$46,'Несущая способность по грунту 1'!P159,IF($I$159&lt;=0.2,0.2,$I$159)),0)," "),0)</f>
        <v xml:space="preserve"> </v>
      </c>
      <c r="R159" s="67" t="str">
        <f t="shared" si="132"/>
        <v xml:space="preserve"> </v>
      </c>
      <c r="S159" s="188"/>
      <c r="T159" s="192"/>
      <c r="U159" s="67" t="str">
        <f t="shared" si="155"/>
        <v xml:space="preserve"> </v>
      </c>
      <c r="V159" s="188"/>
      <c r="X159" s="159" t="s">
        <v>156</v>
      </c>
      <c r="Y159" s="160"/>
      <c r="Z159" s="161" t="s">
        <v>155</v>
      </c>
      <c r="AA159" s="162"/>
      <c r="AC159" s="283" t="s">
        <v>213</v>
      </c>
      <c r="AD159" s="284"/>
      <c r="AN159" s="353" t="str">
        <f>IF(OR(G159=0,F159&gt;20)," ",VLOOKUP('Несущая способность по грунту 1'!G159,Геология!$D$7:$BO$993,23,FALSE))</f>
        <v xml:space="preserve"> </v>
      </c>
      <c r="AO159" s="353" t="str">
        <f t="shared" ref="AO159" si="160">IF(AN159&lt;&gt;" ",AN159*L159," ")</f>
        <v xml:space="preserve"> </v>
      </c>
      <c r="AP159" s="397"/>
      <c r="AQ159" s="353" t="str">
        <f>IF(G159&lt;&gt;0,VLOOKUP('Несущая способность по грунту 1'!G159,Геология!$D$7:$BO$993,24,FALSE)," ")</f>
        <v xml:space="preserve"> </v>
      </c>
      <c r="AR159" s="353" t="str">
        <f t="shared" ref="AR159" si="161">IF(AQ159&lt;&gt;" ",AQ159*L159," ")</f>
        <v xml:space="preserve"> </v>
      </c>
      <c r="AS159" s="397"/>
      <c r="AT159" s="353" t="str">
        <f>IF(G159&lt;&gt;0,VLOOKUP('Несущая способность по грунту 1'!G159,Геология!$D$7:$BO$993,21,FALSE)," ")</f>
        <v xml:space="preserve"> </v>
      </c>
      <c r="AU159" s="353" t="str">
        <f t="shared" ref="AU159" si="162">IF(G159&lt;&gt;0,AT159*L159," ")</f>
        <v xml:space="preserve"> </v>
      </c>
      <c r="AV159" s="397"/>
      <c r="AW159" s="353" t="str">
        <f>IF(G159&lt;&gt;0,VLOOKUP('Несущая способность по грунту 1'!G159,Геология!$D$7:$BO$993,27,FALSE)," ")</f>
        <v xml:space="preserve"> </v>
      </c>
      <c r="AX159" s="353" t="str">
        <f t="shared" ref="AX159" si="163">IF(G159&lt;&gt;0,AW159*L159," ")</f>
        <v xml:space="preserve"> </v>
      </c>
      <c r="AY159" s="397"/>
    </row>
    <row r="160" spans="6:51">
      <c r="F160" s="361"/>
      <c r="G160" s="361"/>
      <c r="H160" s="364"/>
      <c r="I160" s="367"/>
      <c r="J160" s="370"/>
      <c r="K160" s="373"/>
      <c r="L160" s="356"/>
      <c r="M160" s="376"/>
      <c r="N160" s="267" t="str">
        <f t="shared" ref="N160:N168" si="164">IF(N159=" "," ", IF(N159&lt;SUM(M$9:M$178),N159+1, " "))</f>
        <v xml:space="preserve"> </v>
      </c>
      <c r="O160" s="28" t="str">
        <f t="shared" si="131"/>
        <v xml:space="preserve"> </v>
      </c>
      <c r="P160" s="28" t="str">
        <f>IF(N160&lt;&gt;" ",MAX($P$9:P159)+O160/2," ")</f>
        <v xml:space="preserve"> </v>
      </c>
      <c r="Q160" s="28" t="str" cm="1">
        <f t="array" ref="Q160">IF(Скважина!$L$23=Служебный!$K$2,IF(O160&lt;&gt;" ",IF('Несущая способность по грунту 1'!P160&gt;1,Interpol(9,14,Служебный!$H$33:$H$46,Служебный!$I$32:$Q$32,Служебный!$I$33:$Q$46,'Несущая способность по грунту 1'!P160,IF($I$159&lt;=0.2,0.2,$I$159)),0)," "),0)</f>
        <v xml:space="preserve"> </v>
      </c>
      <c r="R160" s="68" t="str">
        <f t="shared" si="132"/>
        <v xml:space="preserve"> </v>
      </c>
      <c r="S160" s="188"/>
      <c r="T160" s="193"/>
      <c r="U160" s="72" t="str">
        <f t="shared" si="155"/>
        <v xml:space="preserve"> </v>
      </c>
      <c r="V160" s="188"/>
      <c r="X160" s="163" t="s">
        <v>39</v>
      </c>
      <c r="Y160" s="47">
        <v>0.2</v>
      </c>
      <c r="Z160" s="177" t="str">
        <f t="shared" ref="Z160" si="165">IF(I159&lt;=0.2,0.2,I159)</f>
        <v xml:space="preserve"> </v>
      </c>
      <c r="AA160" s="151">
        <v>0.3</v>
      </c>
      <c r="AC160" s="262" t="s">
        <v>39</v>
      </c>
      <c r="AD160" s="165" t="s">
        <v>214</v>
      </c>
      <c r="AN160" s="353"/>
      <c r="AO160" s="353"/>
      <c r="AP160" s="397"/>
      <c r="AQ160" s="353"/>
      <c r="AR160" s="353"/>
      <c r="AS160" s="397"/>
      <c r="AT160" s="353"/>
      <c r="AU160" s="353"/>
      <c r="AV160" s="397"/>
      <c r="AW160" s="353"/>
      <c r="AX160" s="353"/>
      <c r="AY160" s="397"/>
    </row>
    <row r="161" spans="6:51" ht="15.75" thickBot="1">
      <c r="F161" s="361"/>
      <c r="G161" s="361"/>
      <c r="H161" s="364"/>
      <c r="I161" s="367"/>
      <c r="J161" s="370"/>
      <c r="K161" s="373"/>
      <c r="L161" s="356"/>
      <c r="M161" s="376"/>
      <c r="N161" s="267" t="str">
        <f t="shared" si="164"/>
        <v xml:space="preserve"> </v>
      </c>
      <c r="O161" s="28" t="str">
        <f t="shared" si="131"/>
        <v xml:space="preserve"> </v>
      </c>
      <c r="P161" s="28" t="str">
        <f>IF(N161&lt;&gt;" ",MAX($P$9:P160)+O161/2," ")</f>
        <v xml:space="preserve"> </v>
      </c>
      <c r="Q161" s="28" t="str" cm="1">
        <f t="array" ref="Q161">IF(Скважина!$L$23=Служебный!$K$2,IF(O161&lt;&gt;" ",IF('Несущая способность по грунту 1'!P161&gt;1,Interpol(9,14,Служебный!$H$33:$H$46,Служебный!$I$32:$Q$32,Служебный!$I$33:$Q$46,'Несущая способность по грунту 1'!P161,IF($I$159&lt;=0.2,0.2,$I$159)),0)," "),0)</f>
        <v xml:space="preserve"> </v>
      </c>
      <c r="R161" s="68" t="str">
        <f t="shared" si="132"/>
        <v xml:space="preserve"> </v>
      </c>
      <c r="S161" s="188"/>
      <c r="T161" s="193"/>
      <c r="U161" s="72" t="str">
        <f t="shared" si="155"/>
        <v xml:space="preserve"> </v>
      </c>
      <c r="V161" s="188"/>
      <c r="X161" s="164">
        <v>4</v>
      </c>
      <c r="Y161" s="109">
        <f>IF(Y160=0.2,VLOOKUP(X161,Служебный!$H$33:$Q$46,2,FALSE),IF(Y160=0.3,VLOOKUP(X161,Служебный!$H$33:$Q$46,3,FALSE),IF(Y160=0.4,VLOOKUP(X161,Служебный!$H$33:$Q$46,4,FALSE),IF(Y160=0.5,VLOOKUP(X161,Служебный!$H$33:$Q$46,5,FALSE),IF(Y160=0.6,VLOOKUP(X161,Служебный!$H$33:$Q$46,6,FALSE),IF(Y160=0.7,VLOOKUP(X161,Служебный!$H$33:$Q$46,7,FALSE),IF(Y160=0.8,VLOOKUP(X161,Служебный!$H$33:$Q$46,8,FALSE),IF(Y160=0.9,VLOOKUP(X161,Служебный!$H$33:$Q$46,9,FALSE),IF(Y160=1,VLOOKUP(X161,Служебный!$H$33:$Q$46,10,FALSE),0)))))))))</f>
        <v>53</v>
      </c>
      <c r="Z161" s="79" t="e">
        <f t="shared" ref="Z161" si="166">(AA161-Y161)/(AA160-Y160)*(Z160-Y160)+Y161</f>
        <v>#VALUE!</v>
      </c>
      <c r="AA161" s="165">
        <f>IF(AA160=0.2,VLOOKUP(X161,Служебный!$H$33:$Q$46,2,FALSE),IF(AA160=0.3,VLOOKUP(X161,Служебный!$H$33:$Q$46,3,FALSE),IF(AA160=0.4,VLOOKUP(X161,Служебный!$H$33:$Q$46,4,FALSE),IF(AA160=0.5,VLOOKUP(X161,Служебный!$H$33:$Q$46,5,FALSE),IF(AA160=0.6,VLOOKUP(X161,Служебный!$H$33:$Q$46,6,FALSE),IF(AA160=0.7,VLOOKUP(X161,Служебный!$H$33:$Q$46,7,FALSE),IF(AA160=0.8,VLOOKUP(X161,Служебный!$H$33:$Q$46,8,FALSE),IF(AA160=0.9,VLOOKUP(X161,Служебный!$H$33:$Q$46,9,FALSE),IF(AA160=1,VLOOKUP(X161,Служебный!$H$33:$Q$46,10,FALSE),0)))))))))</f>
        <v>38</v>
      </c>
      <c r="AC161" s="164">
        <v>18</v>
      </c>
      <c r="AD161" s="151">
        <v>55</v>
      </c>
      <c r="AN161" s="353"/>
      <c r="AO161" s="353"/>
      <c r="AP161" s="397"/>
      <c r="AQ161" s="353"/>
      <c r="AR161" s="353"/>
      <c r="AS161" s="397"/>
      <c r="AT161" s="353"/>
      <c r="AU161" s="353"/>
      <c r="AV161" s="397"/>
      <c r="AW161" s="353"/>
      <c r="AX161" s="353"/>
      <c r="AY161" s="397"/>
    </row>
    <row r="162" spans="6:51" ht="15.75" thickBot="1">
      <c r="F162" s="361"/>
      <c r="G162" s="361"/>
      <c r="H162" s="364"/>
      <c r="I162" s="367"/>
      <c r="J162" s="370"/>
      <c r="K162" s="373"/>
      <c r="L162" s="356"/>
      <c r="M162" s="376"/>
      <c r="N162" s="267" t="str">
        <f t="shared" si="164"/>
        <v xml:space="preserve"> </v>
      </c>
      <c r="O162" s="28" t="str">
        <f t="shared" si="131"/>
        <v xml:space="preserve"> </v>
      </c>
      <c r="P162" s="28" t="str">
        <f>IF(N162&lt;&gt;" ",MAX($P$9:P161)+O162/2," ")</f>
        <v xml:space="preserve"> </v>
      </c>
      <c r="Q162" s="28" t="str" cm="1">
        <f t="array" ref="Q162">IF(Скважина!$L$23=Служебный!$K$2,IF(O162&lt;&gt;" ",IF('Несущая способность по грунту 1'!P162&gt;1,Interpol(9,14,Служебный!$H$33:$H$46,Служебный!$I$32:$Q$32,Служебный!$I$33:$Q$46,'Несущая способность по грунту 1'!P162,IF($I$159&lt;=0.2,0.2,$I$159)),0)," "),0)</f>
        <v xml:space="preserve"> </v>
      </c>
      <c r="R162" s="68" t="str">
        <f t="shared" si="132"/>
        <v xml:space="preserve"> </v>
      </c>
      <c r="S162" s="188"/>
      <c r="T162" s="193"/>
      <c r="U162" s="72" t="str">
        <f t="shared" si="155"/>
        <v xml:space="preserve"> </v>
      </c>
      <c r="V162" s="188"/>
      <c r="X162" s="164">
        <v>4.75</v>
      </c>
      <c r="Y162" s="78"/>
      <c r="Z162" s="77" t="e">
        <f t="shared" ref="Z162" si="167">(Z163-Z161)/(X163-X161)*(X162-X161)+Z161</f>
        <v>#VALUE!</v>
      </c>
      <c r="AA162" s="166"/>
      <c r="AC162" s="164">
        <v>19</v>
      </c>
      <c r="AD162" s="285">
        <f t="shared" ref="AD162" si="168">(AD163-AD161)/(AC163-AC161)*(AC162-AC161)+AD161</f>
        <v>56.5</v>
      </c>
      <c r="AN162" s="353"/>
      <c r="AO162" s="353"/>
      <c r="AP162" s="397"/>
      <c r="AQ162" s="353"/>
      <c r="AR162" s="353"/>
      <c r="AS162" s="397"/>
      <c r="AT162" s="353"/>
      <c r="AU162" s="353"/>
      <c r="AV162" s="397"/>
      <c r="AW162" s="353"/>
      <c r="AX162" s="353"/>
      <c r="AY162" s="397"/>
    </row>
    <row r="163" spans="6:51" ht="15.75" thickBot="1">
      <c r="F163" s="361"/>
      <c r="G163" s="361"/>
      <c r="H163" s="364"/>
      <c r="I163" s="367"/>
      <c r="J163" s="370"/>
      <c r="K163" s="373"/>
      <c r="L163" s="356"/>
      <c r="M163" s="376"/>
      <c r="N163" s="267" t="str">
        <f t="shared" si="164"/>
        <v xml:space="preserve"> </v>
      </c>
      <c r="O163" s="28" t="str">
        <f t="shared" si="131"/>
        <v xml:space="preserve"> </v>
      </c>
      <c r="P163" s="28" t="str">
        <f>IF(N163&lt;&gt;" ",MAX($P$9:P162)+O163/2," ")</f>
        <v xml:space="preserve"> </v>
      </c>
      <c r="Q163" s="28" t="str" cm="1">
        <f t="array" ref="Q163">IF(Скважина!$L$23=Служебный!$K$2,IF(O163&lt;&gt;" ",IF('Несущая способность по грунту 1'!P163&gt;1,Interpol(9,14,Служебный!$H$33:$H$46,Служебный!$I$32:$Q$32,Служебный!$I$33:$Q$46,'Несущая способность по грунту 1'!P163,IF($I$159&lt;=0.2,0.2,$I$159)),0)," "),0)</f>
        <v xml:space="preserve"> </v>
      </c>
      <c r="R163" s="68" t="str">
        <f t="shared" si="132"/>
        <v xml:space="preserve"> </v>
      </c>
      <c r="S163" s="188"/>
      <c r="T163" s="193"/>
      <c r="U163" s="72" t="str">
        <f t="shared" si="155"/>
        <v xml:space="preserve"> </v>
      </c>
      <c r="V163" s="188"/>
      <c r="X163" s="167">
        <v>5</v>
      </c>
      <c r="Y163" s="168">
        <f>IF(Y160=0.2,VLOOKUP(X163,Служебный!$H$33:$Q$46,2,FALSE),IF(Y160=0.3,VLOOKUP(X163,Служебный!$H$33:$Q$46,3,FALSE),IF(Y160=0.4,VLOOKUP(X163,Служебный!$H$33:$Q$46,4,FALSE),IF(Y160=0.5,VLOOKUP(X163,Служебный!$H$33:$Q$46,5,FALSE),IF(Y160=0.6,VLOOKUP(X163,Служебный!$H$33:$Q$46,6,FALSE),IF(Y160=0.7,VLOOKUP(X163,Служебный!$H$33:$Q$46,7,FALSE),IF(Y160=0.8,VLOOKUP(X163,Служебный!$H$33:$Q$46,8,FALSE),IF(Y160=0.9,VLOOKUP(X163,Служебный!$H$33:$Q$46,9,FALSE),IF(Y160=1,VLOOKUP(X163,Служебный!$H$33:$Q$46,10,FALSE),0)))))))))</f>
        <v>56</v>
      </c>
      <c r="Z163" s="169" t="e">
        <f t="shared" ref="Z163" si="169">(AA163-Y163)/(AA160-Y160)*(Z160-Y160)+Y163</f>
        <v>#VALUE!</v>
      </c>
      <c r="AA163" s="170">
        <f>IF(AA160=0.2,VLOOKUP(X163,Служебный!$H$33:$Q$46,2,FALSE),IF(AA160=0.3,VLOOKUP(X163,Служебный!$H$33:$Q$46,3,FALSE),IF(AA160=0.4,VLOOKUP(X163,Служебный!$H$33:$Q$46,4,FALSE),IF(AA160=0.5,VLOOKUP(X163,Служебный!$H$33:$Q$46,5,FALSE),IF(AA160=0.6,VLOOKUP(X163,Служебный!$H$33:$Q$46,6,FALSE),IF(AA160=0.7,VLOOKUP(X163,Служебный!$H$33:$Q$46,7,FALSE),IF(AA160=0.8,VLOOKUP(X163,Служебный!$H$33:$Q$46,8,FALSE),IF(AA160=0.9,VLOOKUP(X163,Служебный!$H$33:$Q$46,9,FALSE),IF(AA160=1,VLOOKUP(X163,Служебный!$H$33:$Q$46,10,FALSE),0)))))))))</f>
        <v>40</v>
      </c>
      <c r="AC163" s="167">
        <v>20</v>
      </c>
      <c r="AD163" s="155">
        <v>58</v>
      </c>
      <c r="AN163" s="353"/>
      <c r="AO163" s="353"/>
      <c r="AP163" s="397"/>
      <c r="AQ163" s="353"/>
      <c r="AR163" s="353"/>
      <c r="AS163" s="397"/>
      <c r="AT163" s="353"/>
      <c r="AU163" s="353"/>
      <c r="AV163" s="397"/>
      <c r="AW163" s="353"/>
      <c r="AX163" s="353"/>
      <c r="AY163" s="397"/>
    </row>
    <row r="164" spans="6:51">
      <c r="F164" s="361"/>
      <c r="G164" s="361"/>
      <c r="H164" s="364"/>
      <c r="I164" s="367"/>
      <c r="J164" s="370"/>
      <c r="K164" s="373"/>
      <c r="L164" s="356"/>
      <c r="M164" s="376"/>
      <c r="N164" s="267" t="str">
        <f t="shared" si="164"/>
        <v xml:space="preserve"> </v>
      </c>
      <c r="O164" s="28" t="str">
        <f t="shared" si="131"/>
        <v xml:space="preserve"> </v>
      </c>
      <c r="P164" s="28" t="str">
        <f>IF(N164&lt;&gt;" ",MAX($P$9:P163)+O164/2," ")</f>
        <v xml:space="preserve"> </v>
      </c>
      <c r="Q164" s="28" t="str" cm="1">
        <f t="array" ref="Q164">IF(Скважина!$L$23=Служебный!$K$2,IF(O164&lt;&gt;" ",IF('Несущая способность по грунту 1'!P164&gt;1,Interpol(9,14,Служебный!$H$33:$H$46,Служебный!$I$32:$Q$32,Служебный!$I$33:$Q$46,'Несущая способность по грунту 1'!P164,IF($I$159&lt;=0.2,0.2,$I$159)),0)," "),0)</f>
        <v xml:space="preserve"> </v>
      </c>
      <c r="R164" s="68" t="str">
        <f t="shared" si="132"/>
        <v xml:space="preserve"> </v>
      </c>
      <c r="S164" s="188"/>
      <c r="T164" s="193"/>
      <c r="U164" s="72" t="str">
        <f t="shared" si="155"/>
        <v xml:space="preserve"> </v>
      </c>
      <c r="V164" s="188"/>
      <c r="X164" t="str">
        <f t="shared" ref="X164" si="170">H159</f>
        <v xml:space="preserve"> </v>
      </c>
      <c r="AN164" s="353"/>
      <c r="AO164" s="353"/>
      <c r="AP164" s="397"/>
      <c r="AQ164" s="353"/>
      <c r="AR164" s="353"/>
      <c r="AS164" s="397"/>
      <c r="AT164" s="353"/>
      <c r="AU164" s="353"/>
      <c r="AV164" s="397"/>
      <c r="AW164" s="353"/>
      <c r="AX164" s="353"/>
      <c r="AY164" s="397"/>
    </row>
    <row r="165" spans="6:51">
      <c r="F165" s="361"/>
      <c r="G165" s="361"/>
      <c r="H165" s="364"/>
      <c r="I165" s="367"/>
      <c r="J165" s="370"/>
      <c r="K165" s="373"/>
      <c r="L165" s="356"/>
      <c r="M165" s="376"/>
      <c r="N165" s="267" t="str">
        <f t="shared" si="164"/>
        <v xml:space="preserve"> </v>
      </c>
      <c r="O165" s="28" t="str">
        <f t="shared" si="131"/>
        <v xml:space="preserve"> </v>
      </c>
      <c r="P165" s="28" t="str">
        <f>IF(N165&lt;&gt;" ",MAX($P$9:P164)+O165/2," ")</f>
        <v xml:space="preserve"> </v>
      </c>
      <c r="Q165" s="28" t="str" cm="1">
        <f t="array" ref="Q165">IF(Скважина!$L$23=Служебный!$K$2,IF(O165&lt;&gt;" ",IF('Несущая способность по грунту 1'!P165&gt;1,Interpol(9,14,Служебный!$H$33:$H$46,Служебный!$I$32:$Q$32,Служебный!$I$33:$Q$46,'Несущая способность по грунту 1'!P165,IF($I$159&lt;=0.2,0.2,$I$159)),0)," "),0)</f>
        <v xml:space="preserve"> </v>
      </c>
      <c r="R165" s="68" t="str">
        <f t="shared" si="132"/>
        <v xml:space="preserve"> </v>
      </c>
      <c r="S165" s="188"/>
      <c r="T165" s="193"/>
      <c r="U165" s="72" t="str">
        <f t="shared" si="155"/>
        <v xml:space="preserve"> </v>
      </c>
      <c r="V165" s="188"/>
      <c r="AN165" s="353"/>
      <c r="AO165" s="353"/>
      <c r="AP165" s="397"/>
      <c r="AQ165" s="353"/>
      <c r="AR165" s="353"/>
      <c r="AS165" s="397"/>
      <c r="AT165" s="353"/>
      <c r="AU165" s="353"/>
      <c r="AV165" s="397"/>
      <c r="AW165" s="353"/>
      <c r="AX165" s="353"/>
      <c r="AY165" s="397"/>
    </row>
    <row r="166" spans="6:51">
      <c r="F166" s="361"/>
      <c r="G166" s="361"/>
      <c r="H166" s="364"/>
      <c r="I166" s="367"/>
      <c r="J166" s="370"/>
      <c r="K166" s="373"/>
      <c r="L166" s="356"/>
      <c r="M166" s="376"/>
      <c r="N166" s="267" t="str">
        <f t="shared" si="164"/>
        <v xml:space="preserve"> </v>
      </c>
      <c r="O166" s="28" t="str">
        <f t="shared" si="131"/>
        <v xml:space="preserve"> </v>
      </c>
      <c r="P166" s="28" t="str">
        <f>IF(N166&lt;&gt;" ",MAX($P$9:P165)+O166/2," ")</f>
        <v xml:space="preserve"> </v>
      </c>
      <c r="Q166" s="28" t="str" cm="1">
        <f t="array" ref="Q166">IF(Скважина!$L$23=Служебный!$K$2,IF(O166&lt;&gt;" ",IF('Несущая способность по грунту 1'!P166&gt;1,Interpol(9,14,Служебный!$H$33:$H$46,Служебный!$I$32:$Q$32,Служебный!$I$33:$Q$46,'Несущая способность по грунту 1'!P166,IF($I$159&lt;=0.2,0.2,$I$159)),0)," "),0)</f>
        <v xml:space="preserve"> </v>
      </c>
      <c r="R166" s="68" t="str">
        <f t="shared" si="132"/>
        <v xml:space="preserve"> </v>
      </c>
      <c r="S166" s="188"/>
      <c r="T166" s="193"/>
      <c r="U166" s="72" t="str">
        <f t="shared" si="155"/>
        <v xml:space="preserve"> </v>
      </c>
      <c r="V166" s="188"/>
      <c r="AN166" s="353"/>
      <c r="AO166" s="353"/>
      <c r="AP166" s="397"/>
      <c r="AQ166" s="353"/>
      <c r="AR166" s="353"/>
      <c r="AS166" s="397"/>
      <c r="AT166" s="353"/>
      <c r="AU166" s="353"/>
      <c r="AV166" s="397"/>
      <c r="AW166" s="353"/>
      <c r="AX166" s="353"/>
      <c r="AY166" s="397"/>
    </row>
    <row r="167" spans="6:51">
      <c r="F167" s="361"/>
      <c r="G167" s="361"/>
      <c r="H167" s="364"/>
      <c r="I167" s="367"/>
      <c r="J167" s="370"/>
      <c r="K167" s="373"/>
      <c r="L167" s="356"/>
      <c r="M167" s="376"/>
      <c r="N167" s="267" t="str">
        <f t="shared" si="164"/>
        <v xml:space="preserve"> </v>
      </c>
      <c r="O167" s="28" t="str">
        <f t="shared" si="131"/>
        <v xml:space="preserve"> </v>
      </c>
      <c r="P167" s="28" t="str">
        <f>IF(N167&lt;&gt;" ",MAX($P$9:P166)+O167/2," ")</f>
        <v xml:space="preserve"> </v>
      </c>
      <c r="Q167" s="28" t="str" cm="1">
        <f t="array" ref="Q167">IF(Скважина!$L$23=Служебный!$K$2,IF(O167&lt;&gt;" ",IF('Несущая способность по грунту 1'!P167&gt;1,Interpol(9,14,Служебный!$H$33:$H$46,Служебный!$I$32:$Q$32,Служебный!$I$33:$Q$46,'Несущая способность по грунту 1'!P167,IF($I$159&lt;=0.2,0.2,$I$159)),0)," "),0)</f>
        <v xml:space="preserve"> </v>
      </c>
      <c r="R167" s="68" t="str">
        <f t="shared" si="132"/>
        <v xml:space="preserve"> </v>
      </c>
      <c r="S167" s="188"/>
      <c r="T167" s="193"/>
      <c r="U167" s="72" t="str">
        <f t="shared" si="155"/>
        <v xml:space="preserve"> </v>
      </c>
      <c r="V167" s="188"/>
      <c r="AN167" s="353"/>
      <c r="AO167" s="353"/>
      <c r="AP167" s="397"/>
      <c r="AQ167" s="353"/>
      <c r="AR167" s="353"/>
      <c r="AS167" s="397"/>
      <c r="AT167" s="353"/>
      <c r="AU167" s="353"/>
      <c r="AV167" s="397"/>
      <c r="AW167" s="353"/>
      <c r="AX167" s="353"/>
      <c r="AY167" s="397"/>
    </row>
    <row r="168" spans="6:51" ht="15.75" thickBot="1">
      <c r="F168" s="362"/>
      <c r="G168" s="362"/>
      <c r="H168" s="365"/>
      <c r="I168" s="368"/>
      <c r="J168" s="371"/>
      <c r="K168" s="374"/>
      <c r="L168" s="357"/>
      <c r="M168" s="377"/>
      <c r="N168" s="274" t="str">
        <f t="shared" si="164"/>
        <v xml:space="preserve"> </v>
      </c>
      <c r="O168" s="70" t="str">
        <f t="shared" si="131"/>
        <v xml:space="preserve"> </v>
      </c>
      <c r="P168" s="70" t="str">
        <f>IF(N168&lt;&gt;" ",MAX($P$9:P167)+O168/2," ")</f>
        <v xml:space="preserve"> </v>
      </c>
      <c r="Q168" s="70" t="str" cm="1">
        <f t="array" ref="Q168">IF(Скважина!$L$23=Служебный!$K$2,IF(O168&lt;&gt;" ",IF('Несущая способность по грунту 1'!P168&gt;1,Interpol(9,14,Служебный!$H$33:$H$46,Служебный!$I$32:$Q$32,Служебный!$I$33:$Q$46,'Несущая способность по грунту 1'!P168,IF($I$159&lt;=0.2,0.2,$I$159)),0)," "),0)</f>
        <v xml:space="preserve"> </v>
      </c>
      <c r="R168" s="71" t="str">
        <f t="shared" si="132"/>
        <v xml:space="preserve"> </v>
      </c>
      <c r="S168" s="188"/>
      <c r="T168" s="194"/>
      <c r="U168" s="195" t="str">
        <f t="shared" si="155"/>
        <v xml:space="preserve"> </v>
      </c>
      <c r="V168" s="188"/>
      <c r="AN168" s="353"/>
      <c r="AO168" s="353"/>
      <c r="AP168" s="397"/>
      <c r="AQ168" s="353"/>
      <c r="AR168" s="353"/>
      <c r="AS168" s="397"/>
      <c r="AT168" s="353"/>
      <c r="AU168" s="353"/>
      <c r="AV168" s="397"/>
      <c r="AW168" s="353"/>
      <c r="AX168" s="353"/>
      <c r="AY168" s="397"/>
    </row>
    <row r="169" spans="6:51" ht="18">
      <c r="F169" s="378">
        <f t="shared" ref="F169" si="171">F159+1</f>
        <v>17</v>
      </c>
      <c r="G169" s="378">
        <f>IF(F169&lt;21,IF(VLOOKUP(F169,Скважина!$E$8:$K$27,4,FALSE)&gt;Скважина!$C$8,VLOOKUP('Несущая способность по грунту 1'!F169,Скважина!$E$8:$K$27,2,FALSE),0),0)</f>
        <v>0</v>
      </c>
      <c r="H169" s="388" t="str">
        <f>IF(G169&lt;&gt;0,VLOOKUP('Несущая способность по грунту 1'!G169,Геология!$D$7:$BO$993,7,FALSE)," ")</f>
        <v xml:space="preserve"> </v>
      </c>
      <c r="I169" s="367" t="str">
        <f>IF(G169&lt;&gt;0,VLOOKUP('Несущая способность по грунту 1'!G169, Геология!$D$8:$BM$993, 22,FALSE)," ")</f>
        <v xml:space="preserve"> </v>
      </c>
      <c r="J169" s="390">
        <f>VLOOKUP(F169,Скважина!$E$8:$K$27,4,FALSE)</f>
        <v>0</v>
      </c>
      <c r="K169" s="373">
        <f>IF(VLOOKUP($F169,Скважина!$E$8:$K$27,5,FALSE)&gt;Скважина!$C$8,VLOOKUP($F169,Скважина!$E$8:$K$27,5,FALSE),Скважина!$C$8)</f>
        <v>120</v>
      </c>
      <c r="L169" s="356">
        <f t="shared" ref="L169" si="172">IF(IF(G169&lt;&gt;0,J169-K169,0)&lt;0,0,IF(G169&lt;&gt;0,J169-K169,0))</f>
        <v>0</v>
      </c>
      <c r="M169" s="392"/>
      <c r="N169" s="264" t="str">
        <f>IF(M169&lt;&gt;0,MAX(N$9:N$178)+1," ")</f>
        <v xml:space="preserve"> </v>
      </c>
      <c r="O169" s="34" t="str">
        <f t="shared" si="131"/>
        <v xml:space="preserve"> </v>
      </c>
      <c r="P169" s="34" t="str">
        <f>IF(N169&lt;&gt;" ",MAX($P$9:P168)+O169/2," ")</f>
        <v xml:space="preserve"> </v>
      </c>
      <c r="Q169" s="34" t="str" cm="1">
        <f t="array" ref="Q169">IF(Скважина!$L$24=Служебный!$K$2,IF(O169&lt;&gt;" ",IF('Несущая способность по грунту 1'!P169&gt;1,Interpol(9,14,Служебный!$H$33:$H$46,Служебный!$I$32:$Q$32,Служебный!$I$33:$Q$46,'Несущая способность по грунту 1'!P169,IF($I$169&lt;=0.2,0.2,$I$169)),0)," "),0)</f>
        <v xml:space="preserve"> </v>
      </c>
      <c r="R169" s="72" t="str">
        <f t="shared" si="132"/>
        <v xml:space="preserve"> </v>
      </c>
      <c r="S169" s="188"/>
      <c r="T169" s="192"/>
      <c r="U169" s="67" t="str">
        <f t="shared" si="155"/>
        <v xml:space="preserve"> </v>
      </c>
      <c r="V169" s="188"/>
      <c r="X169" s="159" t="s">
        <v>156</v>
      </c>
      <c r="Y169" s="160"/>
      <c r="Z169" s="161" t="s">
        <v>155</v>
      </c>
      <c r="AA169" s="162"/>
      <c r="AC169" s="283" t="s">
        <v>213</v>
      </c>
      <c r="AD169" s="284"/>
      <c r="AN169" s="353" t="str">
        <f>IF(OR(G169=0,F169&gt;20)," ",VLOOKUP('Несущая способность по грунту 1'!G169,Геология!$D$7:$BO$993,23,FALSE))</f>
        <v xml:space="preserve"> </v>
      </c>
      <c r="AO169" s="353" t="str">
        <f t="shared" ref="AO169" si="173">IF(AN169&lt;&gt;" ",AN169*L169," ")</f>
        <v xml:space="preserve"> </v>
      </c>
      <c r="AP169" s="397"/>
      <c r="AQ169" s="353" t="str">
        <f>IF(G169&lt;&gt;0,VLOOKUP('Несущая способность по грунту 1'!G169,Геология!$D$7:$BO$993,24,FALSE)," ")</f>
        <v xml:space="preserve"> </v>
      </c>
      <c r="AR169" s="353" t="str">
        <f t="shared" ref="AR169" si="174">IF(AQ169&lt;&gt;" ",AQ169*L169," ")</f>
        <v xml:space="preserve"> </v>
      </c>
      <c r="AS169" s="397"/>
      <c r="AT169" s="353" t="str">
        <f>IF(G169&lt;&gt;0,VLOOKUP('Несущая способность по грунту 1'!G169,Геология!$D$7:$BO$993,21,FALSE)," ")</f>
        <v xml:space="preserve"> </v>
      </c>
      <c r="AU169" s="353" t="str">
        <f t="shared" ref="AU169" si="175">IF(G169&lt;&gt;0,AT169*L169," ")</f>
        <v xml:space="preserve"> </v>
      </c>
      <c r="AV169" s="397"/>
      <c r="AW169" s="353" t="str">
        <f>IF(G169&lt;&gt;0,VLOOKUP('Несущая способность по грунту 1'!G169,Геология!$D$7:$BO$993,27,FALSE)," ")</f>
        <v xml:space="preserve"> </v>
      </c>
      <c r="AX169" s="353" t="str">
        <f t="shared" ref="AX169" si="176">IF(G169&lt;&gt;0,AW169*L169," ")</f>
        <v xml:space="preserve"> </v>
      </c>
      <c r="AY169" s="397"/>
    </row>
    <row r="170" spans="6:51">
      <c r="F170" s="361"/>
      <c r="G170" s="361"/>
      <c r="H170" s="364"/>
      <c r="I170" s="367"/>
      <c r="J170" s="370"/>
      <c r="K170" s="373"/>
      <c r="L170" s="356"/>
      <c r="M170" s="376"/>
      <c r="N170" s="257" t="str">
        <f t="shared" ref="N170:N178" si="177">IF(N169=" "," ", IF(N169&lt;SUM(M$9:M$188),N169+1, " "))</f>
        <v xml:space="preserve"> </v>
      </c>
      <c r="O170" s="28" t="str">
        <f t="shared" si="131"/>
        <v xml:space="preserve"> </v>
      </c>
      <c r="P170" s="28" t="str">
        <f>IF(N170&lt;&gt;" ",MAX($P$9:P169)+O170/2," ")</f>
        <v xml:space="preserve"> </v>
      </c>
      <c r="Q170" s="28" t="str" cm="1">
        <f t="array" ref="Q170">IF(Скважина!$L$24=Служебный!$K$2,IF(O170&lt;&gt;" ",IF('Несущая способность по грунту 1'!P170&gt;1,Interpol(9,14,Служебный!$H$33:$H$46,Служебный!$I$32:$Q$32,Служебный!$I$33:$Q$46,'Несущая способность по грунту 1'!P170,IF($I$169&lt;=0.2,0.2,$I$169)),0)," "),0)</f>
        <v xml:space="preserve"> </v>
      </c>
      <c r="R170" s="68" t="str">
        <f t="shared" si="132"/>
        <v xml:space="preserve"> </v>
      </c>
      <c r="S170" s="188"/>
      <c r="T170" s="193"/>
      <c r="U170" s="72" t="str">
        <f t="shared" si="155"/>
        <v xml:space="preserve"> </v>
      </c>
      <c r="V170" s="188"/>
      <c r="X170" s="163" t="s">
        <v>39</v>
      </c>
      <c r="Y170" s="47">
        <v>5.2</v>
      </c>
      <c r="Z170" s="177" t="str">
        <f t="shared" ref="Z170" si="178">IF(I169&lt;=0.2,0.2,I169)</f>
        <v xml:space="preserve"> </v>
      </c>
      <c r="AA170" s="151">
        <v>5.3</v>
      </c>
      <c r="AC170" s="262" t="s">
        <v>39</v>
      </c>
      <c r="AD170" s="165" t="s">
        <v>214</v>
      </c>
      <c r="AN170" s="353"/>
      <c r="AO170" s="353"/>
      <c r="AP170" s="397"/>
      <c r="AQ170" s="353"/>
      <c r="AR170" s="353"/>
      <c r="AS170" s="397"/>
      <c r="AT170" s="353"/>
      <c r="AU170" s="353"/>
      <c r="AV170" s="397"/>
      <c r="AW170" s="353"/>
      <c r="AX170" s="353"/>
      <c r="AY170" s="397"/>
    </row>
    <row r="171" spans="6:51" ht="15.75" thickBot="1">
      <c r="F171" s="361"/>
      <c r="G171" s="361"/>
      <c r="H171" s="364"/>
      <c r="I171" s="367"/>
      <c r="J171" s="370"/>
      <c r="K171" s="373"/>
      <c r="L171" s="356"/>
      <c r="M171" s="376"/>
      <c r="N171" s="257" t="str">
        <f t="shared" si="177"/>
        <v xml:space="preserve"> </v>
      </c>
      <c r="O171" s="28" t="str">
        <f t="shared" si="131"/>
        <v xml:space="preserve"> </v>
      </c>
      <c r="P171" s="28" t="str">
        <f>IF(N171&lt;&gt;" ",MAX($P$9:P170)+O171/2," ")</f>
        <v xml:space="preserve"> </v>
      </c>
      <c r="Q171" s="28" t="str" cm="1">
        <f t="array" ref="Q171">IF(Скважина!$L$24=Служебный!$K$2,IF(O171&lt;&gt;" ",IF('Несущая способность по грунту 1'!P171&gt;1,Interpol(9,14,Служебный!$H$33:$H$46,Служебный!$I$32:$Q$32,Служебный!$I$33:$Q$46,'Несущая способность по грунту 1'!P171,IF($I$169&lt;=0.2,0.2,$I$169)),0)," "),0)</f>
        <v xml:space="preserve"> </v>
      </c>
      <c r="R171" s="68" t="str">
        <f t="shared" si="132"/>
        <v xml:space="preserve"> </v>
      </c>
      <c r="S171" s="188"/>
      <c r="T171" s="193"/>
      <c r="U171" s="72" t="str">
        <f t="shared" si="155"/>
        <v xml:space="preserve"> </v>
      </c>
      <c r="V171" s="188"/>
      <c r="X171" s="164">
        <v>4</v>
      </c>
      <c r="Y171" s="109">
        <f>IF(Y170=0.2,VLOOKUP(X171,Служебный!$H$33:$Q$46,2,FALSE),IF(Y170=0.3,VLOOKUP(X171,Служебный!$H$33:$Q$46,3,FALSE),IF(Y170=0.4,VLOOKUP(X171,Служебный!$H$33:$Q$46,4,FALSE),IF(Y170=0.5,VLOOKUP(X171,Служебный!$H$33:$Q$46,5,FALSE),IF(Y170=0.6,VLOOKUP(X171,Служебный!$H$33:$Q$46,6,FALSE),IF(Y170=0.7,VLOOKUP(X171,Служебный!$H$33:$Q$46,7,FALSE),IF(Y170=0.8,VLOOKUP(X171,Служебный!$H$33:$Q$46,8,FALSE),IF(Y170=0.9,VLOOKUP(X171,Служебный!$H$33:$Q$46,9,FALSE),IF(Y170=1,VLOOKUP(X171,Служебный!$H$33:$Q$46,10,FALSE),0)))))))))</f>
        <v>0</v>
      </c>
      <c r="Z171" s="79" t="e">
        <f t="shared" ref="Z171" si="179">(AA171-Y171)/(AA170-Y170)*(Z170-Y170)+Y171</f>
        <v>#VALUE!</v>
      </c>
      <c r="AA171" s="165">
        <f>IF(AA170=0.2,VLOOKUP(X171,Служебный!$H$33:$Q$46,2,FALSE),IF(AA170=0.3,VLOOKUP(X171,Служебный!$H$33:$Q$46,3,FALSE),IF(AA170=0.4,VLOOKUP(X171,Служебный!$H$33:$Q$46,4,FALSE),IF(AA170=0.5,VLOOKUP(X171,Служебный!$H$33:$Q$46,5,FALSE),IF(AA170=0.6,VLOOKUP(X171,Служебный!$H$33:$Q$46,6,FALSE),IF(AA170=0.7,VLOOKUP(X171,Служебный!$H$33:$Q$46,7,FALSE),IF(AA170=0.8,VLOOKUP(X171,Служебный!$H$33:$Q$46,8,FALSE),IF(AA170=0.9,VLOOKUP(X171,Служебный!$H$33:$Q$46,9,FALSE),IF(AA170=1,VLOOKUP(X171,Служебный!$H$33:$Q$46,10,FALSE),0)))))))))</f>
        <v>0</v>
      </c>
      <c r="AC171" s="164">
        <v>21</v>
      </c>
      <c r="AD171" s="151">
        <v>55</v>
      </c>
      <c r="AN171" s="353"/>
      <c r="AO171" s="353"/>
      <c r="AP171" s="397"/>
      <c r="AQ171" s="353"/>
      <c r="AR171" s="353"/>
      <c r="AS171" s="397"/>
      <c r="AT171" s="353"/>
      <c r="AU171" s="353"/>
      <c r="AV171" s="397"/>
      <c r="AW171" s="353"/>
      <c r="AX171" s="353"/>
      <c r="AY171" s="397"/>
    </row>
    <row r="172" spans="6:51" ht="15.75" thickBot="1">
      <c r="F172" s="361"/>
      <c r="G172" s="361"/>
      <c r="H172" s="364"/>
      <c r="I172" s="367"/>
      <c r="J172" s="370"/>
      <c r="K172" s="373"/>
      <c r="L172" s="356"/>
      <c r="M172" s="376"/>
      <c r="N172" s="257" t="str">
        <f t="shared" si="177"/>
        <v xml:space="preserve"> </v>
      </c>
      <c r="O172" s="28" t="str">
        <f t="shared" si="131"/>
        <v xml:space="preserve"> </v>
      </c>
      <c r="P172" s="28" t="str">
        <f>IF(N172&lt;&gt;" ",MAX($P$9:P171)+O172/2," ")</f>
        <v xml:space="preserve"> </v>
      </c>
      <c r="Q172" s="28" t="str" cm="1">
        <f t="array" ref="Q172">IF(Скважина!$L$24=Служебный!$K$2,IF(O172&lt;&gt;" ",IF('Несущая способность по грунту 1'!P172&gt;1,Interpol(9,14,Служебный!$H$33:$H$46,Служебный!$I$32:$Q$32,Служебный!$I$33:$Q$46,'Несущая способность по грунту 1'!P172,IF($I$169&lt;=0.2,0.2,$I$169)),0)," "),0)</f>
        <v xml:space="preserve"> </v>
      </c>
      <c r="R172" s="68" t="str">
        <f t="shared" si="132"/>
        <v xml:space="preserve"> </v>
      </c>
      <c r="S172" s="188"/>
      <c r="T172" s="193"/>
      <c r="U172" s="72" t="str">
        <f t="shared" si="155"/>
        <v xml:space="preserve"> </v>
      </c>
      <c r="V172" s="188"/>
      <c r="X172" s="164">
        <v>4.75</v>
      </c>
      <c r="Y172" s="78"/>
      <c r="Z172" s="77" t="e">
        <f t="shared" ref="Z172" si="180">(Z173-Z171)/(X173-X171)*(X172-X171)+Z171</f>
        <v>#VALUE!</v>
      </c>
      <c r="AA172" s="166"/>
      <c r="AC172" s="164">
        <v>22</v>
      </c>
      <c r="AD172" s="285">
        <f t="shared" ref="AD172" si="181">(AD173-AD171)/(AC173-AC171)*(AC172-AC171)+AD171</f>
        <v>56.5</v>
      </c>
      <c r="AN172" s="353"/>
      <c r="AO172" s="353"/>
      <c r="AP172" s="397"/>
      <c r="AQ172" s="353"/>
      <c r="AR172" s="353"/>
      <c r="AS172" s="397"/>
      <c r="AT172" s="353"/>
      <c r="AU172" s="353"/>
      <c r="AV172" s="397"/>
      <c r="AW172" s="353"/>
      <c r="AX172" s="353"/>
      <c r="AY172" s="397"/>
    </row>
    <row r="173" spans="6:51" ht="15.75" thickBot="1">
      <c r="F173" s="361"/>
      <c r="G173" s="361"/>
      <c r="H173" s="364"/>
      <c r="I173" s="367"/>
      <c r="J173" s="370"/>
      <c r="K173" s="373"/>
      <c r="L173" s="356"/>
      <c r="M173" s="376"/>
      <c r="N173" s="257" t="str">
        <f t="shared" si="177"/>
        <v xml:space="preserve"> </v>
      </c>
      <c r="O173" s="28" t="str">
        <f t="shared" si="131"/>
        <v xml:space="preserve"> </v>
      </c>
      <c r="P173" s="28" t="str">
        <f>IF(N173&lt;&gt;" ",MAX($P$9:P172)+O173/2," ")</f>
        <v xml:space="preserve"> </v>
      </c>
      <c r="Q173" s="28" t="str" cm="1">
        <f t="array" ref="Q173">IF(Скважина!$L$24=Служебный!$K$2,IF(O173&lt;&gt;" ",IF('Несущая способность по грунту 1'!P173&gt;1,Interpol(9,14,Служебный!$H$33:$H$46,Служебный!$I$32:$Q$32,Служебный!$I$33:$Q$46,'Несущая способность по грунту 1'!P173,IF($I$169&lt;=0.2,0.2,$I$169)),0)," "),0)</f>
        <v xml:space="preserve"> </v>
      </c>
      <c r="R173" s="68" t="str">
        <f t="shared" si="132"/>
        <v xml:space="preserve"> </v>
      </c>
      <c r="S173" s="188"/>
      <c r="T173" s="193"/>
      <c r="U173" s="72" t="str">
        <f t="shared" si="155"/>
        <v xml:space="preserve"> </v>
      </c>
      <c r="V173" s="188"/>
      <c r="X173" s="167">
        <v>5</v>
      </c>
      <c r="Y173" s="168">
        <f>IF(Y170=0.2,VLOOKUP(X173,Служебный!$H$33:$Q$46,2,FALSE),IF(Y170=0.3,VLOOKUP(X173,Служебный!$H$33:$Q$46,3,FALSE),IF(Y170=0.4,VLOOKUP(X173,Служебный!$H$33:$Q$46,4,FALSE),IF(Y170=0.5,VLOOKUP(X173,Служебный!$H$33:$Q$46,5,FALSE),IF(Y170=0.6,VLOOKUP(X173,Служебный!$H$33:$Q$46,6,FALSE),IF(Y170=0.7,VLOOKUP(X173,Служебный!$H$33:$Q$46,7,FALSE),IF(Y170=0.8,VLOOKUP(X173,Служебный!$H$33:$Q$46,8,FALSE),IF(Y170=0.9,VLOOKUP(X173,Служебный!$H$33:$Q$46,9,FALSE),IF(Y170=1,VLOOKUP(X173,Служебный!$H$33:$Q$46,10,FALSE),0)))))))))</f>
        <v>0</v>
      </c>
      <c r="Z173" s="169" t="e">
        <f t="shared" ref="Z173" si="182">(AA173-Y173)/(AA170-Y170)*(Z170-Y170)+Y173</f>
        <v>#VALUE!</v>
      </c>
      <c r="AA173" s="170">
        <f>IF(AA170=0.2,VLOOKUP(X173,Служебный!$H$33:$Q$46,2,FALSE),IF(AA170=0.3,VLOOKUP(X173,Служебный!$H$33:$Q$46,3,FALSE),IF(AA170=0.4,VLOOKUP(X173,Служебный!$H$33:$Q$46,4,FALSE),IF(AA170=0.5,VLOOKUP(X173,Служебный!$H$33:$Q$46,5,FALSE),IF(AA170=0.6,VLOOKUP(X173,Служебный!$H$33:$Q$46,6,FALSE),IF(AA170=0.7,VLOOKUP(X173,Служебный!$H$33:$Q$46,7,FALSE),IF(AA170=0.8,VLOOKUP(X173,Служебный!$H$33:$Q$46,8,FALSE),IF(AA170=0.9,VLOOKUP(X173,Служебный!$H$33:$Q$46,9,FALSE),IF(AA170=1,VLOOKUP(X173,Служебный!$H$33:$Q$46,10,FALSE),0)))))))))</f>
        <v>0</v>
      </c>
      <c r="AC173" s="167">
        <v>23</v>
      </c>
      <c r="AD173" s="155">
        <v>58</v>
      </c>
      <c r="AN173" s="353"/>
      <c r="AO173" s="353"/>
      <c r="AP173" s="397"/>
      <c r="AQ173" s="353"/>
      <c r="AR173" s="353"/>
      <c r="AS173" s="397"/>
      <c r="AT173" s="353"/>
      <c r="AU173" s="353"/>
      <c r="AV173" s="397"/>
      <c r="AW173" s="353"/>
      <c r="AX173" s="353"/>
      <c r="AY173" s="397"/>
    </row>
    <row r="174" spans="6:51">
      <c r="F174" s="361"/>
      <c r="G174" s="361"/>
      <c r="H174" s="364"/>
      <c r="I174" s="367"/>
      <c r="J174" s="370"/>
      <c r="K174" s="373"/>
      <c r="L174" s="356"/>
      <c r="M174" s="376"/>
      <c r="N174" s="257" t="str">
        <f t="shared" si="177"/>
        <v xml:space="preserve"> </v>
      </c>
      <c r="O174" s="28" t="str">
        <f t="shared" si="131"/>
        <v xml:space="preserve"> </v>
      </c>
      <c r="P174" s="28" t="str">
        <f>IF(N174&lt;&gt;" ",MAX($P$9:P173)+O174/2," ")</f>
        <v xml:space="preserve"> </v>
      </c>
      <c r="Q174" s="28" t="str" cm="1">
        <f t="array" ref="Q174">IF(Скважина!$L$24=Служебный!$K$2,IF(O174&lt;&gt;" ",IF('Несущая способность по грунту 1'!P174&gt;1,Interpol(9,14,Служебный!$H$33:$H$46,Служебный!$I$32:$Q$32,Служебный!$I$33:$Q$46,'Несущая способность по грунту 1'!P174,IF($I$169&lt;=0.2,0.2,$I$169)),0)," "),0)</f>
        <v xml:space="preserve"> </v>
      </c>
      <c r="R174" s="68" t="str">
        <f t="shared" si="132"/>
        <v xml:space="preserve"> </v>
      </c>
      <c r="S174" s="188"/>
      <c r="T174" s="193"/>
      <c r="U174" s="72" t="str">
        <f t="shared" si="155"/>
        <v xml:space="preserve"> </v>
      </c>
      <c r="V174" s="188"/>
      <c r="X174" t="str">
        <f t="shared" ref="X174" si="183">H169</f>
        <v xml:space="preserve"> </v>
      </c>
      <c r="AN174" s="353"/>
      <c r="AO174" s="353"/>
      <c r="AP174" s="397"/>
      <c r="AQ174" s="353"/>
      <c r="AR174" s="353"/>
      <c r="AS174" s="397"/>
      <c r="AT174" s="353"/>
      <c r="AU174" s="353"/>
      <c r="AV174" s="397"/>
      <c r="AW174" s="353"/>
      <c r="AX174" s="353"/>
      <c r="AY174" s="397"/>
    </row>
    <row r="175" spans="6:51">
      <c r="F175" s="361"/>
      <c r="G175" s="361"/>
      <c r="H175" s="364"/>
      <c r="I175" s="367"/>
      <c r="J175" s="370"/>
      <c r="K175" s="373"/>
      <c r="L175" s="356"/>
      <c r="M175" s="376"/>
      <c r="N175" s="257" t="str">
        <f t="shared" si="177"/>
        <v xml:space="preserve"> </v>
      </c>
      <c r="O175" s="28" t="str">
        <f t="shared" si="131"/>
        <v xml:space="preserve"> </v>
      </c>
      <c r="P175" s="28" t="str">
        <f>IF(N175&lt;&gt;" ",MAX($P$9:P174)+O175/2," ")</f>
        <v xml:space="preserve"> </v>
      </c>
      <c r="Q175" s="28" t="str" cm="1">
        <f t="array" ref="Q175">IF(Скважина!$L$24=Служебный!$K$2,IF(O175&lt;&gt;" ",IF('Несущая способность по грунту 1'!P175&gt;1,Interpol(9,14,Служебный!$H$33:$H$46,Служебный!$I$32:$Q$32,Служебный!$I$33:$Q$46,'Несущая способность по грунту 1'!P175,IF($I$169&lt;=0.2,0.2,$I$169)),0)," "),0)</f>
        <v xml:space="preserve"> </v>
      </c>
      <c r="R175" s="68" t="str">
        <f t="shared" si="132"/>
        <v xml:space="preserve"> </v>
      </c>
      <c r="S175" s="188"/>
      <c r="T175" s="193"/>
      <c r="U175" s="72" t="str">
        <f t="shared" si="155"/>
        <v xml:space="preserve"> </v>
      </c>
      <c r="V175" s="188"/>
      <c r="AN175" s="353"/>
      <c r="AO175" s="353"/>
      <c r="AP175" s="397"/>
      <c r="AQ175" s="353"/>
      <c r="AR175" s="353"/>
      <c r="AS175" s="397"/>
      <c r="AT175" s="353"/>
      <c r="AU175" s="353"/>
      <c r="AV175" s="397"/>
      <c r="AW175" s="353"/>
      <c r="AX175" s="353"/>
      <c r="AY175" s="397"/>
    </row>
    <row r="176" spans="6:51">
      <c r="F176" s="361"/>
      <c r="G176" s="361"/>
      <c r="H176" s="364"/>
      <c r="I176" s="367"/>
      <c r="J176" s="370"/>
      <c r="K176" s="373"/>
      <c r="L176" s="356"/>
      <c r="M176" s="376"/>
      <c r="N176" s="257" t="str">
        <f t="shared" si="177"/>
        <v xml:space="preserve"> </v>
      </c>
      <c r="O176" s="28" t="str">
        <f t="shared" si="131"/>
        <v xml:space="preserve"> </v>
      </c>
      <c r="P176" s="28" t="str">
        <f>IF(N176&lt;&gt;" ",MAX($P$9:P175)+O176/2," ")</f>
        <v xml:space="preserve"> </v>
      </c>
      <c r="Q176" s="28" t="str" cm="1">
        <f t="array" ref="Q176">IF(Скважина!$L$24=Служебный!$K$2,IF(O176&lt;&gt;" ",IF('Несущая способность по грунту 1'!P176&gt;1,Interpol(9,14,Служебный!$H$33:$H$46,Служебный!$I$32:$Q$32,Служебный!$I$33:$Q$46,'Несущая способность по грунту 1'!P176,IF($I$169&lt;=0.2,0.2,$I$169)),0)," "),0)</f>
        <v xml:space="preserve"> </v>
      </c>
      <c r="R176" s="68" t="str">
        <f t="shared" si="132"/>
        <v xml:space="preserve"> </v>
      </c>
      <c r="S176" s="188"/>
      <c r="T176" s="193"/>
      <c r="U176" s="72" t="str">
        <f t="shared" si="155"/>
        <v xml:space="preserve"> </v>
      </c>
      <c r="V176" s="188"/>
      <c r="AN176" s="353"/>
      <c r="AO176" s="353"/>
      <c r="AP176" s="397"/>
      <c r="AQ176" s="353"/>
      <c r="AR176" s="353"/>
      <c r="AS176" s="397"/>
      <c r="AT176" s="353"/>
      <c r="AU176" s="353"/>
      <c r="AV176" s="397"/>
      <c r="AW176" s="353"/>
      <c r="AX176" s="353"/>
      <c r="AY176" s="397"/>
    </row>
    <row r="177" spans="6:51">
      <c r="F177" s="361"/>
      <c r="G177" s="361"/>
      <c r="H177" s="364"/>
      <c r="I177" s="367"/>
      <c r="J177" s="370"/>
      <c r="K177" s="373"/>
      <c r="L177" s="356"/>
      <c r="M177" s="376"/>
      <c r="N177" s="257" t="str">
        <f t="shared" si="177"/>
        <v xml:space="preserve"> </v>
      </c>
      <c r="O177" s="28" t="str">
        <f t="shared" si="131"/>
        <v xml:space="preserve"> </v>
      </c>
      <c r="P177" s="28" t="str">
        <f>IF(N177&lt;&gt;" ",MAX($P$9:P176)+O177/2," ")</f>
        <v xml:space="preserve"> </v>
      </c>
      <c r="Q177" s="28" t="str" cm="1">
        <f t="array" ref="Q177">IF(Скважина!$L$24=Служебный!$K$2,IF(O177&lt;&gt;" ",IF('Несущая способность по грунту 1'!P177&gt;1,Interpol(9,14,Служебный!$H$33:$H$46,Служебный!$I$32:$Q$32,Служебный!$I$33:$Q$46,'Несущая способность по грунту 1'!P177,IF($I$169&lt;=0.2,0.2,$I$169)),0)," "),0)</f>
        <v xml:space="preserve"> </v>
      </c>
      <c r="R177" s="68" t="str">
        <f t="shared" si="132"/>
        <v xml:space="preserve"> </v>
      </c>
      <c r="S177" s="188"/>
      <c r="T177" s="193"/>
      <c r="U177" s="72" t="str">
        <f t="shared" si="155"/>
        <v xml:space="preserve"> </v>
      </c>
      <c r="V177" s="188"/>
      <c r="AN177" s="353"/>
      <c r="AO177" s="353"/>
      <c r="AP177" s="397"/>
      <c r="AQ177" s="353"/>
      <c r="AR177" s="353"/>
      <c r="AS177" s="397"/>
      <c r="AT177" s="353"/>
      <c r="AU177" s="353"/>
      <c r="AV177" s="397"/>
      <c r="AW177" s="353"/>
      <c r="AX177" s="353"/>
      <c r="AY177" s="397"/>
    </row>
    <row r="178" spans="6:51" ht="15.75" thickBot="1">
      <c r="F178" s="379"/>
      <c r="G178" s="379"/>
      <c r="H178" s="389"/>
      <c r="I178" s="367"/>
      <c r="J178" s="391"/>
      <c r="K178" s="373"/>
      <c r="L178" s="356"/>
      <c r="M178" s="393"/>
      <c r="N178" s="266" t="str">
        <f t="shared" si="177"/>
        <v xml:space="preserve"> </v>
      </c>
      <c r="O178" s="190" t="str">
        <f t="shared" si="131"/>
        <v xml:space="preserve"> </v>
      </c>
      <c r="P178" s="190" t="str">
        <f>IF(N178&lt;&gt;" ",MAX($P$9:P177)+O178/2," ")</f>
        <v xml:space="preserve"> </v>
      </c>
      <c r="Q178" s="190" t="str" cm="1">
        <f t="array" ref="Q178">IF(Скважина!$L$24=Служебный!$K$2,IF(O178&lt;&gt;" ",IF('Несущая способность по грунту 1'!P178&gt;1,Interpol(9,14,Служебный!$H$33:$H$46,Служебный!$I$32:$Q$32,Служебный!$I$33:$Q$46,'Несущая способность по грунту 1'!P178,IF($I$169&lt;=0.2,0.2,$I$169)),0)," "),0)</f>
        <v xml:space="preserve"> </v>
      </c>
      <c r="R178" s="280" t="str">
        <f t="shared" si="132"/>
        <v xml:space="preserve"> </v>
      </c>
      <c r="S178" s="188"/>
      <c r="T178" s="194"/>
      <c r="U178" s="195" t="str">
        <f t="shared" si="155"/>
        <v xml:space="preserve"> </v>
      </c>
      <c r="V178" s="188"/>
      <c r="AN178" s="353"/>
      <c r="AO178" s="353"/>
      <c r="AP178" s="397"/>
      <c r="AQ178" s="353"/>
      <c r="AR178" s="353"/>
      <c r="AS178" s="397"/>
      <c r="AT178" s="353"/>
      <c r="AU178" s="353"/>
      <c r="AV178" s="397"/>
      <c r="AW178" s="353"/>
      <c r="AX178" s="353"/>
      <c r="AY178" s="397"/>
    </row>
    <row r="179" spans="6:51" ht="18">
      <c r="F179" s="360">
        <f t="shared" ref="F179" si="184">F169+1</f>
        <v>18</v>
      </c>
      <c r="G179" s="360">
        <f>IF(F179&lt;21,IF(VLOOKUP(F179,Скважина!$E$8:$K$27,4,FALSE)&gt;Скважина!$C$8,VLOOKUP('Несущая способность по грунту 1'!F179,Скважина!$E$8:$K$27,2,FALSE),0),0)</f>
        <v>0</v>
      </c>
      <c r="H179" s="363" t="str">
        <f>IF(G179&lt;&gt;0,VLOOKUP('Несущая способность по грунту 1'!G179,Геология!$D$7:$BO$993,7,FALSE)," ")</f>
        <v xml:space="preserve"> </v>
      </c>
      <c r="I179" s="366" t="str">
        <f>IF(G179&lt;&gt;0,VLOOKUP('Несущая способность по грунту 1'!G179, Геология!$D$8:$BM$993, 22,FALSE)," ")</f>
        <v xml:space="preserve"> </v>
      </c>
      <c r="J179" s="369">
        <f>VLOOKUP(F179,Скважина!$E$8:$K$27,4,FALSE)</f>
        <v>0</v>
      </c>
      <c r="K179" s="372">
        <f>IF(VLOOKUP($F179,Скважина!$E$8:$K$27,5,FALSE)&gt;Скважина!$C$8,VLOOKUP($F179,Скважина!$E$8:$K$27,5,FALSE),Скважина!$C$8)</f>
        <v>120</v>
      </c>
      <c r="L179" s="355">
        <f t="shared" ref="L179" si="185">IF(IF(G179&lt;&gt;0,J179-K179,0)&lt;0,0,IF(G179&lt;&gt;0,J179-K179,0))</f>
        <v>0</v>
      </c>
      <c r="M179" s="375"/>
      <c r="N179" s="275" t="str">
        <f>IF(M179&lt;&gt;0,MAX(N$9:N$188)+1," ")</f>
        <v xml:space="preserve"> </v>
      </c>
      <c r="O179" s="66" t="str">
        <f t="shared" si="131"/>
        <v xml:space="preserve"> </v>
      </c>
      <c r="P179" s="66" t="str">
        <f>IF(N179&lt;&gt;" ",MAX($P$9:P178)+O179/2," ")</f>
        <v xml:space="preserve"> </v>
      </c>
      <c r="Q179" s="66" t="str" cm="1">
        <f t="array" ref="Q179">IF(Скважина!$L$25=Служебный!$K$2,IF(O179&lt;&gt;" ",IF('Несущая способность по грунту 1'!P179&gt;1,Interpol(9,14,Служебный!$H$33:$H$46,Служебный!$I$32:$Q$32,Служебный!$I$33:$Q$46,'Несущая способность по грунту 1'!P179,IF($I$179&lt;=0.2,0.2,$I$179)),0)," "),0)</f>
        <v xml:space="preserve"> </v>
      </c>
      <c r="R179" s="67" t="str">
        <f t="shared" si="132"/>
        <v xml:space="preserve"> </v>
      </c>
      <c r="S179" s="188"/>
      <c r="T179" s="192"/>
      <c r="U179" s="67" t="str">
        <f t="shared" si="155"/>
        <v xml:space="preserve"> </v>
      </c>
      <c r="V179" s="188"/>
      <c r="X179" s="159" t="s">
        <v>156</v>
      </c>
      <c r="Y179" s="160"/>
      <c r="Z179" s="161" t="s">
        <v>155</v>
      </c>
      <c r="AA179" s="162"/>
      <c r="AC179" s="283" t="s">
        <v>213</v>
      </c>
      <c r="AD179" s="284"/>
      <c r="AN179" s="353" t="str">
        <f>IF(OR(G179=0,F179&gt;20)," ",VLOOKUP('Несущая способность по грунту 1'!G179,Геология!$D$7:$BO$993,23,FALSE))</f>
        <v xml:space="preserve"> </v>
      </c>
      <c r="AO179" s="353" t="str">
        <f t="shared" ref="AO179" si="186">IF(AN179&lt;&gt;" ",AN179*L179," ")</f>
        <v xml:space="preserve"> </v>
      </c>
      <c r="AP179" s="397"/>
      <c r="AQ179" s="353" t="str">
        <f>IF(G179&lt;&gt;0,VLOOKUP('Несущая способность по грунту 1'!G179,Геология!$D$7:$BO$993,24,FALSE)," ")</f>
        <v xml:space="preserve"> </v>
      </c>
      <c r="AR179" s="353" t="str">
        <f t="shared" ref="AR179" si="187">IF(AQ179&lt;&gt;" ",AQ179*L179," ")</f>
        <v xml:space="preserve"> </v>
      </c>
      <c r="AS179" s="397"/>
      <c r="AT179" s="353" t="str">
        <f>IF(G179&lt;&gt;0,VLOOKUP('Несущая способность по грунту 1'!G179,Геология!$D$7:$BO$993,21,FALSE)," ")</f>
        <v xml:space="preserve"> </v>
      </c>
      <c r="AU179" s="353" t="str">
        <f t="shared" ref="AU179" si="188">IF(G179&lt;&gt;0,AT179*L179," ")</f>
        <v xml:space="preserve"> </v>
      </c>
      <c r="AV179" s="397"/>
      <c r="AW179" s="353" t="str">
        <f>IF(G179&lt;&gt;0,VLOOKUP('Несущая способность по грунту 1'!G179,Геология!$D$7:$BO$993,27,FALSE)," ")</f>
        <v xml:space="preserve"> </v>
      </c>
      <c r="AX179" s="353" t="str">
        <f t="shared" ref="AX179" si="189">IF(G179&lt;&gt;0,AW179*L179," ")</f>
        <v xml:space="preserve"> </v>
      </c>
      <c r="AY179" s="397"/>
    </row>
    <row r="180" spans="6:51">
      <c r="F180" s="361"/>
      <c r="G180" s="361"/>
      <c r="H180" s="364"/>
      <c r="I180" s="367"/>
      <c r="J180" s="370"/>
      <c r="K180" s="373"/>
      <c r="L180" s="356"/>
      <c r="M180" s="376"/>
      <c r="N180" s="267" t="str">
        <f t="shared" ref="N180:N188" si="190">IF(N179=" "," ", IF(N179&lt;SUM(M$9:M$198),N179+1, " "))</f>
        <v xml:space="preserve"> </v>
      </c>
      <c r="O180" s="28" t="str">
        <f t="shared" si="131"/>
        <v xml:space="preserve"> </v>
      </c>
      <c r="P180" s="28" t="str">
        <f>IF(N180&lt;&gt;" ",MAX($P$9:P179)+O180/2," ")</f>
        <v xml:space="preserve"> </v>
      </c>
      <c r="Q180" s="28" t="str" cm="1">
        <f t="array" ref="Q180">IF(Скважина!$L$25=Служебный!$K$2,IF(O180&lt;&gt;" ",IF('Несущая способность по грунту 1'!P180&gt;1,Interpol(9,14,Служебный!$H$33:$H$46,Служебный!$I$32:$Q$32,Служебный!$I$33:$Q$46,'Несущая способность по грунту 1'!P180,IF($I$179&lt;=0.2,0.2,$I$179)),0)," "),0)</f>
        <v xml:space="preserve"> </v>
      </c>
      <c r="R180" s="68" t="str">
        <f t="shared" si="132"/>
        <v xml:space="preserve"> </v>
      </c>
      <c r="S180" s="188"/>
      <c r="T180" s="193"/>
      <c r="U180" s="72" t="str">
        <f t="shared" si="155"/>
        <v xml:space="preserve"> </v>
      </c>
      <c r="V180" s="188"/>
      <c r="X180" s="163" t="s">
        <v>39</v>
      </c>
      <c r="Y180" s="47">
        <v>0.2</v>
      </c>
      <c r="Z180" s="177" t="str">
        <f t="shared" ref="Z180" si="191">IF(I179&lt;=0.2,0.2,I179)</f>
        <v xml:space="preserve"> </v>
      </c>
      <c r="AA180" s="151">
        <v>0.3</v>
      </c>
      <c r="AC180" s="262" t="s">
        <v>39</v>
      </c>
      <c r="AD180" s="165" t="s">
        <v>214</v>
      </c>
      <c r="AN180" s="353"/>
      <c r="AO180" s="353"/>
      <c r="AP180" s="397"/>
      <c r="AQ180" s="353"/>
      <c r="AR180" s="353"/>
      <c r="AS180" s="397"/>
      <c r="AT180" s="353"/>
      <c r="AU180" s="353"/>
      <c r="AV180" s="397"/>
      <c r="AW180" s="353"/>
      <c r="AX180" s="353"/>
      <c r="AY180" s="397"/>
    </row>
    <row r="181" spans="6:51" ht="15.75" thickBot="1">
      <c r="F181" s="361"/>
      <c r="G181" s="361"/>
      <c r="H181" s="364"/>
      <c r="I181" s="367"/>
      <c r="J181" s="370"/>
      <c r="K181" s="373"/>
      <c r="L181" s="356"/>
      <c r="M181" s="376"/>
      <c r="N181" s="267" t="str">
        <f t="shared" si="190"/>
        <v xml:space="preserve"> </v>
      </c>
      <c r="O181" s="28" t="str">
        <f t="shared" si="131"/>
        <v xml:space="preserve"> </v>
      </c>
      <c r="P181" s="28" t="str">
        <f>IF(N181&lt;&gt;" ",MAX($P$9:P180)+O181/2," ")</f>
        <v xml:space="preserve"> </v>
      </c>
      <c r="Q181" s="28" t="str" cm="1">
        <f t="array" ref="Q181">IF(Скважина!$L$25=Служебный!$K$2,IF(O181&lt;&gt;" ",IF('Несущая способность по грунту 1'!P181&gt;1,Interpol(9,14,Служебный!$H$33:$H$46,Служебный!$I$32:$Q$32,Служебный!$I$33:$Q$46,'Несущая способность по грунту 1'!P181,IF($I$179&lt;=0.2,0.2,$I$179)),0)," "),0)</f>
        <v xml:space="preserve"> </v>
      </c>
      <c r="R181" s="68" t="str">
        <f t="shared" si="132"/>
        <v xml:space="preserve"> </v>
      </c>
      <c r="S181" s="188"/>
      <c r="T181" s="193"/>
      <c r="U181" s="72" t="str">
        <f t="shared" si="155"/>
        <v xml:space="preserve"> </v>
      </c>
      <c r="V181" s="188"/>
      <c r="X181" s="164">
        <v>4</v>
      </c>
      <c r="Y181" s="109">
        <f>IF(Y180=0.2,VLOOKUP(X181,Служебный!$H$33:$Q$46,2,FALSE),IF(Y180=0.3,VLOOKUP(X181,Служебный!$H$33:$Q$46,3,FALSE),IF(Y180=0.4,VLOOKUP(X181,Служебный!$H$33:$Q$46,4,FALSE),IF(Y180=0.5,VLOOKUP(X181,Служебный!$H$33:$Q$46,5,FALSE),IF(Y180=0.6,VLOOKUP(X181,Служебный!$H$33:$Q$46,6,FALSE),IF(Y180=0.7,VLOOKUP(X181,Служебный!$H$33:$Q$46,7,FALSE),IF(Y180=0.8,VLOOKUP(X181,Служебный!$H$33:$Q$46,8,FALSE),IF(Y180=0.9,VLOOKUP(X181,Служебный!$H$33:$Q$46,9,FALSE),IF(Y180=1,VLOOKUP(X181,Служебный!$H$33:$Q$46,10,FALSE),0)))))))))</f>
        <v>53</v>
      </c>
      <c r="Z181" s="79" t="e">
        <f t="shared" ref="Z181" si="192">(AA181-Y181)/(AA180-Y180)*(Z180-Y180)+Y181</f>
        <v>#VALUE!</v>
      </c>
      <c r="AA181" s="165">
        <f>IF(AA180=0.2,VLOOKUP(X181,Служебный!$H$33:$Q$46,2,FALSE),IF(AA180=0.3,VLOOKUP(X181,Служебный!$H$33:$Q$46,3,FALSE),IF(AA180=0.4,VLOOKUP(X181,Служебный!$H$33:$Q$46,4,FALSE),IF(AA180=0.5,VLOOKUP(X181,Служебный!$H$33:$Q$46,5,FALSE),IF(AA180=0.6,VLOOKUP(X181,Служебный!$H$33:$Q$46,6,FALSE),IF(AA180=0.7,VLOOKUP(X181,Служебный!$H$33:$Q$46,7,FALSE),IF(AA180=0.8,VLOOKUP(X181,Служебный!$H$33:$Q$46,8,FALSE),IF(AA180=0.9,VLOOKUP(X181,Служебный!$H$33:$Q$46,9,FALSE),IF(AA180=1,VLOOKUP(X181,Служебный!$H$33:$Q$46,10,FALSE),0)))))))))</f>
        <v>38</v>
      </c>
      <c r="AC181" s="164">
        <v>21</v>
      </c>
      <c r="AD181" s="151">
        <v>55</v>
      </c>
      <c r="AN181" s="353"/>
      <c r="AO181" s="353"/>
      <c r="AP181" s="397"/>
      <c r="AQ181" s="353"/>
      <c r="AR181" s="353"/>
      <c r="AS181" s="397"/>
      <c r="AT181" s="353"/>
      <c r="AU181" s="353"/>
      <c r="AV181" s="397"/>
      <c r="AW181" s="353"/>
      <c r="AX181" s="353"/>
      <c r="AY181" s="397"/>
    </row>
    <row r="182" spans="6:51" ht="15.75" thickBot="1">
      <c r="F182" s="361"/>
      <c r="G182" s="361"/>
      <c r="H182" s="364"/>
      <c r="I182" s="367"/>
      <c r="J182" s="370"/>
      <c r="K182" s="373"/>
      <c r="L182" s="356"/>
      <c r="M182" s="376"/>
      <c r="N182" s="267" t="str">
        <f t="shared" si="190"/>
        <v xml:space="preserve"> </v>
      </c>
      <c r="O182" s="28" t="str">
        <f t="shared" si="131"/>
        <v xml:space="preserve"> </v>
      </c>
      <c r="P182" s="28" t="str">
        <f>IF(N182&lt;&gt;" ",MAX($P$9:P181)+O182/2," ")</f>
        <v xml:space="preserve"> </v>
      </c>
      <c r="Q182" s="28" t="str" cm="1">
        <f t="array" ref="Q182">IF(Скважина!$L$25=Служебный!$K$2,IF(O182&lt;&gt;" ",IF('Несущая способность по грунту 1'!P182&gt;1,Interpol(9,14,Служебный!$H$33:$H$46,Служебный!$I$32:$Q$32,Служебный!$I$33:$Q$46,'Несущая способность по грунту 1'!P182,IF($I$179&lt;=0.2,0.2,$I$179)),0)," "),0)</f>
        <v xml:space="preserve"> </v>
      </c>
      <c r="R182" s="68" t="str">
        <f t="shared" si="132"/>
        <v xml:space="preserve"> </v>
      </c>
      <c r="S182" s="188"/>
      <c r="T182" s="193"/>
      <c r="U182" s="72" t="str">
        <f t="shared" si="155"/>
        <v xml:space="preserve"> </v>
      </c>
      <c r="V182" s="188"/>
      <c r="X182" s="164">
        <v>4.75</v>
      </c>
      <c r="Y182" s="78"/>
      <c r="Z182" s="77" t="e">
        <f t="shared" ref="Z182" si="193">(Z183-Z181)/(X183-X181)*(X182-X181)+Z181</f>
        <v>#VALUE!</v>
      </c>
      <c r="AA182" s="166"/>
      <c r="AC182" s="164">
        <v>22</v>
      </c>
      <c r="AD182" s="285">
        <f t="shared" ref="AD182" si="194">(AD183-AD181)/(AC183-AC181)*(AC182-AC181)+AD181</f>
        <v>56.5</v>
      </c>
      <c r="AN182" s="353"/>
      <c r="AO182" s="353"/>
      <c r="AP182" s="397"/>
      <c r="AQ182" s="353"/>
      <c r="AR182" s="353"/>
      <c r="AS182" s="397"/>
      <c r="AT182" s="353"/>
      <c r="AU182" s="353"/>
      <c r="AV182" s="397"/>
      <c r="AW182" s="353"/>
      <c r="AX182" s="353"/>
      <c r="AY182" s="397"/>
    </row>
    <row r="183" spans="6:51" ht="15.75" thickBot="1">
      <c r="F183" s="361"/>
      <c r="G183" s="361"/>
      <c r="H183" s="364"/>
      <c r="I183" s="367"/>
      <c r="J183" s="370"/>
      <c r="K183" s="373"/>
      <c r="L183" s="356"/>
      <c r="M183" s="376"/>
      <c r="N183" s="267" t="str">
        <f t="shared" si="190"/>
        <v xml:space="preserve"> </v>
      </c>
      <c r="O183" s="28" t="str">
        <f t="shared" si="131"/>
        <v xml:space="preserve"> </v>
      </c>
      <c r="P183" s="28" t="str">
        <f>IF(N183&lt;&gt;" ",MAX($P$9:P182)+O183/2," ")</f>
        <v xml:space="preserve"> </v>
      </c>
      <c r="Q183" s="28" t="str" cm="1">
        <f t="array" ref="Q183">IF(Скважина!$L$25=Служебный!$K$2,IF(O183&lt;&gt;" ",IF('Несущая способность по грунту 1'!P183&gt;1,Interpol(9,14,Служебный!$H$33:$H$46,Служебный!$I$32:$Q$32,Служебный!$I$33:$Q$46,'Несущая способность по грунту 1'!P183,IF($I$179&lt;=0.2,0.2,$I$179)),0)," "),0)</f>
        <v xml:space="preserve"> </v>
      </c>
      <c r="R183" s="68" t="str">
        <f t="shared" si="132"/>
        <v xml:space="preserve"> </v>
      </c>
      <c r="S183" s="188"/>
      <c r="T183" s="193"/>
      <c r="U183" s="72" t="str">
        <f t="shared" si="155"/>
        <v xml:space="preserve"> </v>
      </c>
      <c r="V183" s="188"/>
      <c r="X183" s="167">
        <v>5</v>
      </c>
      <c r="Y183" s="168">
        <f>IF(Y180=0.2,VLOOKUP(X183,Служебный!$H$33:$Q$46,2,FALSE),IF(Y180=0.3,VLOOKUP(X183,Служебный!$H$33:$Q$46,3,FALSE),IF(Y180=0.4,VLOOKUP(X183,Служебный!$H$33:$Q$46,4,FALSE),IF(Y180=0.5,VLOOKUP(X183,Служебный!$H$33:$Q$46,5,FALSE),IF(Y180=0.6,VLOOKUP(X183,Служебный!$H$33:$Q$46,6,FALSE),IF(Y180=0.7,VLOOKUP(X183,Служебный!$H$33:$Q$46,7,FALSE),IF(Y180=0.8,VLOOKUP(X183,Служебный!$H$33:$Q$46,8,FALSE),IF(Y180=0.9,VLOOKUP(X183,Служебный!$H$33:$Q$46,9,FALSE),IF(Y180=1,VLOOKUP(X183,Служебный!$H$33:$Q$46,10,FALSE),0)))))))))</f>
        <v>56</v>
      </c>
      <c r="Z183" s="169" t="e">
        <f t="shared" ref="Z183" si="195">(AA183-Y183)/(AA180-Y180)*(Z180-Y180)+Y183</f>
        <v>#VALUE!</v>
      </c>
      <c r="AA183" s="170">
        <f>IF(AA180=0.2,VLOOKUP(X183,Служебный!$H$33:$Q$46,2,FALSE),IF(AA180=0.3,VLOOKUP(X183,Служебный!$H$33:$Q$46,3,FALSE),IF(AA180=0.4,VLOOKUP(X183,Служебный!$H$33:$Q$46,4,FALSE),IF(AA180=0.5,VLOOKUP(X183,Служебный!$H$33:$Q$46,5,FALSE),IF(AA180=0.6,VLOOKUP(X183,Служебный!$H$33:$Q$46,6,FALSE),IF(AA180=0.7,VLOOKUP(X183,Служебный!$H$33:$Q$46,7,FALSE),IF(AA180=0.8,VLOOKUP(X183,Служебный!$H$33:$Q$46,8,FALSE),IF(AA180=0.9,VLOOKUP(X183,Служебный!$H$33:$Q$46,9,FALSE),IF(AA180=1,VLOOKUP(X183,Служебный!$H$33:$Q$46,10,FALSE),0)))))))))</f>
        <v>40</v>
      </c>
      <c r="AC183" s="167">
        <v>23</v>
      </c>
      <c r="AD183" s="155">
        <v>58</v>
      </c>
      <c r="AN183" s="353"/>
      <c r="AO183" s="353"/>
      <c r="AP183" s="397"/>
      <c r="AQ183" s="353"/>
      <c r="AR183" s="353"/>
      <c r="AS183" s="397"/>
      <c r="AT183" s="353"/>
      <c r="AU183" s="353"/>
      <c r="AV183" s="397"/>
      <c r="AW183" s="353"/>
      <c r="AX183" s="353"/>
      <c r="AY183" s="397"/>
    </row>
    <row r="184" spans="6:51">
      <c r="F184" s="361"/>
      <c r="G184" s="361"/>
      <c r="H184" s="364"/>
      <c r="I184" s="367"/>
      <c r="J184" s="370"/>
      <c r="K184" s="373"/>
      <c r="L184" s="356"/>
      <c r="M184" s="376"/>
      <c r="N184" s="267" t="str">
        <f t="shared" si="190"/>
        <v xml:space="preserve"> </v>
      </c>
      <c r="O184" s="28" t="str">
        <f t="shared" si="131"/>
        <v xml:space="preserve"> </v>
      </c>
      <c r="P184" s="28" t="str">
        <f>IF(N184&lt;&gt;" ",MAX($P$9:P183)+O184/2," ")</f>
        <v xml:space="preserve"> </v>
      </c>
      <c r="Q184" s="28" t="str" cm="1">
        <f t="array" ref="Q184">IF(Скважина!$L$25=Служебный!$K$2,IF(O184&lt;&gt;" ",IF('Несущая способность по грунту 1'!P184&gt;1,Interpol(9,14,Служебный!$H$33:$H$46,Служебный!$I$32:$Q$32,Служебный!$I$33:$Q$46,'Несущая способность по грунту 1'!P184,IF($I$179&lt;=0.2,0.2,$I$179)),0)," "),0)</f>
        <v xml:space="preserve"> </v>
      </c>
      <c r="R184" s="68" t="str">
        <f t="shared" si="132"/>
        <v xml:space="preserve"> </v>
      </c>
      <c r="S184" s="188"/>
      <c r="T184" s="193"/>
      <c r="U184" s="72" t="str">
        <f t="shared" si="155"/>
        <v xml:space="preserve"> </v>
      </c>
      <c r="V184" s="188"/>
      <c r="X184" t="str">
        <f t="shared" ref="X184" si="196">H179</f>
        <v xml:space="preserve"> </v>
      </c>
      <c r="AN184" s="353"/>
      <c r="AO184" s="353"/>
      <c r="AP184" s="397"/>
      <c r="AQ184" s="353"/>
      <c r="AR184" s="353"/>
      <c r="AS184" s="397"/>
      <c r="AT184" s="353"/>
      <c r="AU184" s="353"/>
      <c r="AV184" s="397"/>
      <c r="AW184" s="353"/>
      <c r="AX184" s="353"/>
      <c r="AY184" s="397"/>
    </row>
    <row r="185" spans="6:51">
      <c r="F185" s="361"/>
      <c r="G185" s="361"/>
      <c r="H185" s="364"/>
      <c r="I185" s="367"/>
      <c r="J185" s="370"/>
      <c r="K185" s="373"/>
      <c r="L185" s="356"/>
      <c r="M185" s="376"/>
      <c r="N185" s="267" t="str">
        <f t="shared" si="190"/>
        <v xml:space="preserve"> </v>
      </c>
      <c r="O185" s="28" t="str">
        <f t="shared" si="131"/>
        <v xml:space="preserve"> </v>
      </c>
      <c r="P185" s="28" t="str">
        <f>IF(N185&lt;&gt;" ",MAX($P$9:P184)+O185/2," ")</f>
        <v xml:space="preserve"> </v>
      </c>
      <c r="Q185" s="28" t="str" cm="1">
        <f t="array" ref="Q185">IF(Скважина!$L$25=Служебный!$K$2,IF(O185&lt;&gt;" ",IF('Несущая способность по грунту 1'!P185&gt;1,Interpol(9,14,Служебный!$H$33:$H$46,Служебный!$I$32:$Q$32,Служебный!$I$33:$Q$46,'Несущая способность по грунту 1'!P185,IF($I$179&lt;=0.2,0.2,$I$179)),0)," "),0)</f>
        <v xml:space="preserve"> </v>
      </c>
      <c r="R185" s="68" t="str">
        <f t="shared" si="132"/>
        <v xml:space="preserve"> </v>
      </c>
      <c r="S185" s="188"/>
      <c r="T185" s="193"/>
      <c r="U185" s="72" t="str">
        <f t="shared" si="155"/>
        <v xml:space="preserve"> </v>
      </c>
      <c r="V185" s="188"/>
      <c r="AN185" s="353"/>
      <c r="AO185" s="353"/>
      <c r="AP185" s="397"/>
      <c r="AQ185" s="353"/>
      <c r="AR185" s="353"/>
      <c r="AS185" s="397"/>
      <c r="AT185" s="353"/>
      <c r="AU185" s="353"/>
      <c r="AV185" s="397"/>
      <c r="AW185" s="353"/>
      <c r="AX185" s="353"/>
      <c r="AY185" s="397"/>
    </row>
    <row r="186" spans="6:51">
      <c r="F186" s="361"/>
      <c r="G186" s="361"/>
      <c r="H186" s="364"/>
      <c r="I186" s="367"/>
      <c r="J186" s="370"/>
      <c r="K186" s="373"/>
      <c r="L186" s="356"/>
      <c r="M186" s="376"/>
      <c r="N186" s="267" t="str">
        <f t="shared" si="190"/>
        <v xml:space="preserve"> </v>
      </c>
      <c r="O186" s="28" t="str">
        <f t="shared" si="131"/>
        <v xml:space="preserve"> </v>
      </c>
      <c r="P186" s="28" t="str">
        <f>IF(N186&lt;&gt;" ",MAX($P$9:P185)+O186/2," ")</f>
        <v xml:space="preserve"> </v>
      </c>
      <c r="Q186" s="28" t="str" cm="1">
        <f t="array" ref="Q186">IF(Скважина!$L$25=Служебный!$K$2,IF(O186&lt;&gt;" ",IF('Несущая способность по грунту 1'!P186&gt;1,Interpol(9,14,Служебный!$H$33:$H$46,Служебный!$I$32:$Q$32,Служебный!$I$33:$Q$46,'Несущая способность по грунту 1'!P186,IF($I$179&lt;=0.2,0.2,$I$179)),0)," "),0)</f>
        <v xml:space="preserve"> </v>
      </c>
      <c r="R186" s="68" t="str">
        <f t="shared" si="132"/>
        <v xml:space="preserve"> </v>
      </c>
      <c r="S186" s="188"/>
      <c r="T186" s="193"/>
      <c r="U186" s="72" t="str">
        <f t="shared" si="155"/>
        <v xml:space="preserve"> </v>
      </c>
      <c r="V186" s="188"/>
      <c r="AN186" s="353"/>
      <c r="AO186" s="353"/>
      <c r="AP186" s="397"/>
      <c r="AQ186" s="353"/>
      <c r="AR186" s="353"/>
      <c r="AS186" s="397"/>
      <c r="AT186" s="353"/>
      <c r="AU186" s="353"/>
      <c r="AV186" s="397"/>
      <c r="AW186" s="353"/>
      <c r="AX186" s="353"/>
      <c r="AY186" s="397"/>
    </row>
    <row r="187" spans="6:51">
      <c r="F187" s="361"/>
      <c r="G187" s="361"/>
      <c r="H187" s="364"/>
      <c r="I187" s="367"/>
      <c r="J187" s="370"/>
      <c r="K187" s="373"/>
      <c r="L187" s="356"/>
      <c r="M187" s="376"/>
      <c r="N187" s="267" t="str">
        <f t="shared" si="190"/>
        <v xml:space="preserve"> </v>
      </c>
      <c r="O187" s="28" t="str">
        <f t="shared" si="131"/>
        <v xml:space="preserve"> </v>
      </c>
      <c r="P187" s="28" t="str">
        <f>IF(N187&lt;&gt;" ",MAX($P$9:P186)+O187/2," ")</f>
        <v xml:space="preserve"> </v>
      </c>
      <c r="Q187" s="28" t="str" cm="1">
        <f t="array" ref="Q187">IF(Скважина!$L$25=Служебный!$K$2,IF(O187&lt;&gt;" ",IF('Несущая способность по грунту 1'!P187&gt;1,Interpol(9,14,Служебный!$H$33:$H$46,Служебный!$I$32:$Q$32,Служебный!$I$33:$Q$46,'Несущая способность по грунту 1'!P187,IF($I$179&lt;=0.2,0.2,$I$179)),0)," "),0)</f>
        <v xml:space="preserve"> </v>
      </c>
      <c r="R187" s="68" t="str">
        <f t="shared" si="132"/>
        <v xml:space="preserve"> </v>
      </c>
      <c r="S187" s="188"/>
      <c r="T187" s="193"/>
      <c r="U187" s="72" t="str">
        <f t="shared" si="155"/>
        <v xml:space="preserve"> </v>
      </c>
      <c r="V187" s="188"/>
      <c r="AN187" s="353"/>
      <c r="AO187" s="353"/>
      <c r="AP187" s="397"/>
      <c r="AQ187" s="353"/>
      <c r="AR187" s="353"/>
      <c r="AS187" s="397"/>
      <c r="AT187" s="353"/>
      <c r="AU187" s="353"/>
      <c r="AV187" s="397"/>
      <c r="AW187" s="353"/>
      <c r="AX187" s="353"/>
      <c r="AY187" s="397"/>
    </row>
    <row r="188" spans="6:51" ht="15.75" thickBot="1">
      <c r="F188" s="362"/>
      <c r="G188" s="362"/>
      <c r="H188" s="365"/>
      <c r="I188" s="368"/>
      <c r="J188" s="371"/>
      <c r="K188" s="374"/>
      <c r="L188" s="357"/>
      <c r="M188" s="377"/>
      <c r="N188" s="274" t="str">
        <f t="shared" si="190"/>
        <v xml:space="preserve"> </v>
      </c>
      <c r="O188" s="70" t="str">
        <f t="shared" si="131"/>
        <v xml:space="preserve"> </v>
      </c>
      <c r="P188" s="70" t="str">
        <f>IF(N188&lt;&gt;" ",MAX($P$9:P187)+O188/2," ")</f>
        <v xml:space="preserve"> </v>
      </c>
      <c r="Q188" s="70" t="str" cm="1">
        <f t="array" ref="Q188">IF(Скважина!$L$25=Служебный!$K$2,IF(O188&lt;&gt;" ",IF('Несущая способность по грунту 1'!P188&gt;1,Interpol(9,14,Служебный!$H$33:$H$46,Служебный!$I$32:$Q$32,Служебный!$I$33:$Q$46,'Несущая способность по грунту 1'!P188,IF($I$179&lt;=0.2,0.2,$I$179)),0)," "),0)</f>
        <v xml:space="preserve"> </v>
      </c>
      <c r="R188" s="71" t="str">
        <f t="shared" si="132"/>
        <v xml:space="preserve"> </v>
      </c>
      <c r="S188" s="188"/>
      <c r="T188" s="194"/>
      <c r="U188" s="195" t="str">
        <f t="shared" si="155"/>
        <v xml:space="preserve"> </v>
      </c>
      <c r="V188" s="188"/>
      <c r="AN188" s="353"/>
      <c r="AO188" s="353"/>
      <c r="AP188" s="397"/>
      <c r="AQ188" s="353"/>
      <c r="AR188" s="353"/>
      <c r="AS188" s="397"/>
      <c r="AT188" s="353"/>
      <c r="AU188" s="353"/>
      <c r="AV188" s="397"/>
      <c r="AW188" s="353"/>
      <c r="AX188" s="353"/>
      <c r="AY188" s="397"/>
    </row>
    <row r="189" spans="6:51" ht="18">
      <c r="F189" s="360">
        <f t="shared" ref="F189" si="197">F179+1</f>
        <v>19</v>
      </c>
      <c r="G189" s="378">
        <f>IF(F189&lt;21,IF(VLOOKUP(F189,Скважина!$E$8:$K$27,4,FALSE)&gt;Скважина!$C$8,VLOOKUP('Несущая способность по грунту 1'!F189,Скважина!$E$8:$K$27,2,FALSE),0),0)</f>
        <v>0</v>
      </c>
      <c r="H189" s="388" t="str">
        <f>IF(G189&lt;&gt;0,VLOOKUP('Несущая способность по грунту 1'!G189,Геология!$D$7:$BO$993,7,FALSE)," ")</f>
        <v xml:space="preserve"> </v>
      </c>
      <c r="I189" s="367" t="str">
        <f>IF(G189&lt;&gt;0,VLOOKUP('Несущая способность по грунту 1'!G189, Геология!$D$8:$BM$993, 22,FALSE)," ")</f>
        <v xml:space="preserve"> </v>
      </c>
      <c r="J189" s="390">
        <f>VLOOKUP(F189,Скважина!$E$8:$K$27,4,FALSE)</f>
        <v>0</v>
      </c>
      <c r="K189" s="373">
        <f>IF(VLOOKUP($F189,Скважина!$E$8:$K$27,5,FALSE)&gt;Скважина!$C$8,VLOOKUP($F189,Скважина!$E$8:$K$27,5,FALSE),Скважина!$C$8)</f>
        <v>120</v>
      </c>
      <c r="L189" s="356">
        <f t="shared" ref="L189" si="198">IF(IF(G189&lt;&gt;0,J189-K189,0)&lt;0,0,IF(G189&lt;&gt;0,J189-K189,0))</f>
        <v>0</v>
      </c>
      <c r="M189" s="392"/>
      <c r="N189" s="277" t="str">
        <f>IF(M189&lt;&gt;0,MAX(N$9:N$198)+1," ")</f>
        <v xml:space="preserve"> </v>
      </c>
      <c r="O189" s="34" t="str">
        <f t="shared" si="131"/>
        <v xml:space="preserve"> </v>
      </c>
      <c r="P189" s="34" t="str">
        <f>IF(N189&lt;&gt;" ",MAX($P$9:P188)+O189/2," ")</f>
        <v xml:space="preserve"> </v>
      </c>
      <c r="Q189" s="34" t="str" cm="1">
        <f t="array" ref="Q189">IF(Скважина!$L$26=Служебный!$K$2,IF(O189&lt;&gt;" ",IF('Несущая способность по грунту 1'!P189&gt;1,Interpol(9,14,Служебный!$H$33:$H$46,Служебный!$I$32:$Q$32,Служебный!$I$33:$Q$46,'Несущая способность по грунту 1'!P189,IF($I$189&lt;=0.2,0.2,$I$189)),0)," "),0)</f>
        <v xml:space="preserve"> </v>
      </c>
      <c r="R189" s="72" t="str">
        <f t="shared" si="132"/>
        <v xml:space="preserve"> </v>
      </c>
      <c r="S189" s="188"/>
      <c r="T189" s="192"/>
      <c r="U189" s="67" t="str">
        <f t="shared" si="155"/>
        <v xml:space="preserve"> </v>
      </c>
      <c r="V189" s="188"/>
      <c r="X189" s="159" t="s">
        <v>156</v>
      </c>
      <c r="Y189" s="160"/>
      <c r="Z189" s="161" t="s">
        <v>155</v>
      </c>
      <c r="AA189" s="162"/>
      <c r="AC189" s="283" t="s">
        <v>213</v>
      </c>
      <c r="AD189" s="284"/>
      <c r="AN189" s="353" t="str">
        <f>IF(OR(G189=0,F189&gt;20)," ",VLOOKUP('Несущая способность по грунту 1'!G189,Геология!$D$7:$BO$993,23,FALSE))</f>
        <v xml:space="preserve"> </v>
      </c>
      <c r="AO189" s="353" t="str">
        <f t="shared" ref="AO189" si="199">IF(AN189&lt;&gt;" ",AN189*L189," ")</f>
        <v xml:space="preserve"> </v>
      </c>
      <c r="AP189" s="397"/>
      <c r="AQ189" s="353" t="str">
        <f>IF(G189&lt;&gt;0,VLOOKUP('Несущая способность по грунту 1'!G189,Геология!$D$7:$BO$993,24,FALSE)," ")</f>
        <v xml:space="preserve"> </v>
      </c>
      <c r="AR189" s="353" t="str">
        <f t="shared" ref="AR189" si="200">IF(AQ189&lt;&gt;" ",AQ189*L189," ")</f>
        <v xml:space="preserve"> </v>
      </c>
      <c r="AS189" s="397"/>
      <c r="AT189" s="353" t="str">
        <f>IF(G189&lt;&gt;0,VLOOKUP('Несущая способность по грунту 1'!G189,Геология!$D$7:$BO$993,21,FALSE)," ")</f>
        <v xml:space="preserve"> </v>
      </c>
      <c r="AU189" s="353" t="str">
        <f t="shared" ref="AU189" si="201">IF(G189&lt;&gt;0,AT189*L189," ")</f>
        <v xml:space="preserve"> </v>
      </c>
      <c r="AV189" s="397"/>
      <c r="AW189" s="353" t="str">
        <f>IF(G189&lt;&gt;0,VLOOKUP('Несущая способность по грунту 1'!G189,Геология!$D$7:$BO$993,27,FALSE)," ")</f>
        <v xml:space="preserve"> </v>
      </c>
      <c r="AX189" s="353" t="str">
        <f t="shared" ref="AX189" si="202">IF(G189&lt;&gt;0,AW189*L189," ")</f>
        <v xml:space="preserve"> </v>
      </c>
      <c r="AY189" s="397"/>
    </row>
    <row r="190" spans="6:51">
      <c r="F190" s="361"/>
      <c r="G190" s="361"/>
      <c r="H190" s="364"/>
      <c r="I190" s="367"/>
      <c r="J190" s="370"/>
      <c r="K190" s="373"/>
      <c r="L190" s="356"/>
      <c r="M190" s="376"/>
      <c r="N190" s="257" t="str">
        <f t="shared" ref="N190:N198" si="203">IF(N189=" "," ", IF(N189&lt;SUM(M$9:M$208),N189+1, " "))</f>
        <v xml:space="preserve"> </v>
      </c>
      <c r="O190" s="28" t="str">
        <f t="shared" si="131"/>
        <v xml:space="preserve"> </v>
      </c>
      <c r="P190" s="28" t="str">
        <f>IF(N190&lt;&gt;" ",MAX($P$9:P189)+O190/2," ")</f>
        <v xml:space="preserve"> </v>
      </c>
      <c r="Q190" s="28" t="str" cm="1">
        <f t="array" ref="Q190">IF(Скважина!$L$26=Служебный!$K$2,IF(O190&lt;&gt;" ",IF('Несущая способность по грунту 1'!P190&gt;1,Interpol(9,14,Служебный!$H$33:$H$46,Служебный!$I$32:$Q$32,Служебный!$I$33:$Q$46,'Несущая способность по грунту 1'!P190,IF($I$189&lt;=0.2,0.2,$I$189)),0)," "),0)</f>
        <v xml:space="preserve"> </v>
      </c>
      <c r="R190" s="68" t="str">
        <f t="shared" si="132"/>
        <v xml:space="preserve"> </v>
      </c>
      <c r="S190" s="188"/>
      <c r="T190" s="193"/>
      <c r="U190" s="72" t="str">
        <f t="shared" si="155"/>
        <v xml:space="preserve"> </v>
      </c>
      <c r="V190" s="188"/>
      <c r="X190" s="163" t="s">
        <v>39</v>
      </c>
      <c r="Y190" s="47">
        <v>6.2</v>
      </c>
      <c r="Z190" s="177" t="str">
        <f t="shared" ref="Z190" si="204">IF(I189&lt;=0.2,0.2,I189)</f>
        <v xml:space="preserve"> </v>
      </c>
      <c r="AA190" s="151">
        <v>6.3</v>
      </c>
      <c r="AC190" s="262" t="s">
        <v>39</v>
      </c>
      <c r="AD190" s="165" t="s">
        <v>214</v>
      </c>
      <c r="AN190" s="353"/>
      <c r="AO190" s="353"/>
      <c r="AP190" s="397"/>
      <c r="AQ190" s="353"/>
      <c r="AR190" s="353"/>
      <c r="AS190" s="397"/>
      <c r="AT190" s="353"/>
      <c r="AU190" s="353"/>
      <c r="AV190" s="397"/>
      <c r="AW190" s="353"/>
      <c r="AX190" s="353"/>
      <c r="AY190" s="397"/>
    </row>
    <row r="191" spans="6:51" ht="15.75" thickBot="1">
      <c r="F191" s="361"/>
      <c r="G191" s="361"/>
      <c r="H191" s="364"/>
      <c r="I191" s="367"/>
      <c r="J191" s="370"/>
      <c r="K191" s="373"/>
      <c r="L191" s="356"/>
      <c r="M191" s="376"/>
      <c r="N191" s="257" t="str">
        <f t="shared" si="203"/>
        <v xml:space="preserve"> </v>
      </c>
      <c r="O191" s="28" t="str">
        <f t="shared" si="131"/>
        <v xml:space="preserve"> </v>
      </c>
      <c r="P191" s="28" t="str">
        <f>IF(N191&lt;&gt;" ",MAX($P$9:P190)+O191/2," ")</f>
        <v xml:space="preserve"> </v>
      </c>
      <c r="Q191" s="28" t="str" cm="1">
        <f t="array" ref="Q191">IF(Скважина!$L$26=Служебный!$K$2,IF(O191&lt;&gt;" ",IF('Несущая способность по грунту 1'!P191&gt;1,Interpol(9,14,Служебный!$H$33:$H$46,Служебный!$I$32:$Q$32,Служебный!$I$33:$Q$46,'Несущая способность по грунту 1'!P191,IF($I$189&lt;=0.2,0.2,$I$189)),0)," "),0)</f>
        <v xml:space="preserve"> </v>
      </c>
      <c r="R191" s="68" t="str">
        <f t="shared" si="132"/>
        <v xml:space="preserve"> </v>
      </c>
      <c r="S191" s="188"/>
      <c r="T191" s="193"/>
      <c r="U191" s="72" t="str">
        <f t="shared" si="155"/>
        <v xml:space="preserve"> </v>
      </c>
      <c r="V191" s="188"/>
      <c r="X191" s="164">
        <v>4</v>
      </c>
      <c r="Y191" s="109">
        <f>IF(Y190=0.2,VLOOKUP(X191,Служебный!$H$33:$Q$46,2,FALSE),IF(Y190=0.3,VLOOKUP(X191,Служебный!$H$33:$Q$46,3,FALSE),IF(Y190=0.4,VLOOKUP(X191,Служебный!$H$33:$Q$46,4,FALSE),IF(Y190=0.5,VLOOKUP(X191,Служебный!$H$33:$Q$46,5,FALSE),IF(Y190=0.6,VLOOKUP(X191,Служебный!$H$33:$Q$46,6,FALSE),IF(Y190=0.7,VLOOKUP(X191,Служебный!$H$33:$Q$46,7,FALSE),IF(Y190=0.8,VLOOKUP(X191,Служебный!$H$33:$Q$46,8,FALSE),IF(Y190=0.9,VLOOKUP(X191,Служебный!$H$33:$Q$46,9,FALSE),IF(Y190=1,VLOOKUP(X191,Служебный!$H$33:$Q$46,10,FALSE),0)))))))))</f>
        <v>0</v>
      </c>
      <c r="Z191" s="79" t="e">
        <f t="shared" ref="Z191" si="205">(AA191-Y191)/(AA190-Y190)*(Z190-Y190)+Y191</f>
        <v>#VALUE!</v>
      </c>
      <c r="AA191" s="165">
        <f>IF(AA190=0.2,VLOOKUP(X191,Служебный!$H$33:$Q$46,2,FALSE),IF(AA190=0.3,VLOOKUP(X191,Служебный!$H$33:$Q$46,3,FALSE),IF(AA190=0.4,VLOOKUP(X191,Служебный!$H$33:$Q$46,4,FALSE),IF(AA190=0.5,VLOOKUP(X191,Служебный!$H$33:$Q$46,5,FALSE),IF(AA190=0.6,VLOOKUP(X191,Служебный!$H$33:$Q$46,6,FALSE),IF(AA190=0.7,VLOOKUP(X191,Служебный!$H$33:$Q$46,7,FALSE),IF(AA190=0.8,VLOOKUP(X191,Служебный!$H$33:$Q$46,8,FALSE),IF(AA190=0.9,VLOOKUP(X191,Служебный!$H$33:$Q$46,9,FALSE),IF(AA190=1,VLOOKUP(X191,Служебный!$H$33:$Q$46,10,FALSE),0)))))))))</f>
        <v>0</v>
      </c>
      <c r="AC191" s="164">
        <v>24</v>
      </c>
      <c r="AD191" s="151">
        <v>55</v>
      </c>
      <c r="AN191" s="353"/>
      <c r="AO191" s="353"/>
      <c r="AP191" s="397"/>
      <c r="AQ191" s="353"/>
      <c r="AR191" s="353"/>
      <c r="AS191" s="397"/>
      <c r="AT191" s="353"/>
      <c r="AU191" s="353"/>
      <c r="AV191" s="397"/>
      <c r="AW191" s="353"/>
      <c r="AX191" s="353"/>
      <c r="AY191" s="397"/>
    </row>
    <row r="192" spans="6:51" ht="15.75" thickBot="1">
      <c r="F192" s="361"/>
      <c r="G192" s="361"/>
      <c r="H192" s="364"/>
      <c r="I192" s="367"/>
      <c r="J192" s="370"/>
      <c r="K192" s="373"/>
      <c r="L192" s="356"/>
      <c r="M192" s="376"/>
      <c r="N192" s="257" t="str">
        <f t="shared" si="203"/>
        <v xml:space="preserve"> </v>
      </c>
      <c r="O192" s="28" t="str">
        <f t="shared" si="131"/>
        <v xml:space="preserve"> </v>
      </c>
      <c r="P192" s="28" t="str">
        <f>IF(N192&lt;&gt;" ",MAX($P$9:P191)+O192/2," ")</f>
        <v xml:space="preserve"> </v>
      </c>
      <c r="Q192" s="28" t="str" cm="1">
        <f t="array" ref="Q192">IF(Скважина!$L$26=Служебный!$K$2,IF(O192&lt;&gt;" ",IF('Несущая способность по грунту 1'!P192&gt;1,Interpol(9,14,Служебный!$H$33:$H$46,Служебный!$I$32:$Q$32,Служебный!$I$33:$Q$46,'Несущая способность по грунту 1'!P192,IF($I$189&lt;=0.2,0.2,$I$189)),0)," "),0)</f>
        <v xml:space="preserve"> </v>
      </c>
      <c r="R192" s="68" t="str">
        <f t="shared" si="132"/>
        <v xml:space="preserve"> </v>
      </c>
      <c r="S192" s="188"/>
      <c r="T192" s="193"/>
      <c r="U192" s="72" t="str">
        <f t="shared" si="155"/>
        <v xml:space="preserve"> </v>
      </c>
      <c r="V192" s="188"/>
      <c r="X192" s="164">
        <v>4.75</v>
      </c>
      <c r="Y192" s="78"/>
      <c r="Z192" s="77" t="e">
        <f t="shared" ref="Z192" si="206">(Z193-Z191)/(X193-X191)*(X192-X191)+Z191</f>
        <v>#VALUE!</v>
      </c>
      <c r="AA192" s="166"/>
      <c r="AC192" s="164">
        <v>25</v>
      </c>
      <c r="AD192" s="285">
        <f t="shared" ref="AD192" si="207">(AD193-AD191)/(AC193-AC191)*(AC192-AC191)+AD191</f>
        <v>56.5</v>
      </c>
      <c r="AN192" s="353"/>
      <c r="AO192" s="353"/>
      <c r="AP192" s="397"/>
      <c r="AQ192" s="353"/>
      <c r="AR192" s="353"/>
      <c r="AS192" s="397"/>
      <c r="AT192" s="353"/>
      <c r="AU192" s="353"/>
      <c r="AV192" s="397"/>
      <c r="AW192" s="353"/>
      <c r="AX192" s="353"/>
      <c r="AY192" s="397"/>
    </row>
    <row r="193" spans="6:51" ht="15.75" thickBot="1">
      <c r="F193" s="361"/>
      <c r="G193" s="361"/>
      <c r="H193" s="364"/>
      <c r="I193" s="367"/>
      <c r="J193" s="370"/>
      <c r="K193" s="373"/>
      <c r="L193" s="356"/>
      <c r="M193" s="376"/>
      <c r="N193" s="257" t="str">
        <f t="shared" si="203"/>
        <v xml:space="preserve"> </v>
      </c>
      <c r="O193" s="28" t="str">
        <f t="shared" si="131"/>
        <v xml:space="preserve"> </v>
      </c>
      <c r="P193" s="28" t="str">
        <f>IF(N193&lt;&gt;" ",MAX($P$9:P192)+O193/2," ")</f>
        <v xml:space="preserve"> </v>
      </c>
      <c r="Q193" s="28" t="str" cm="1">
        <f t="array" ref="Q193">IF(Скважина!$L$26=Служебный!$K$2,IF(O193&lt;&gt;" ",IF('Несущая способность по грунту 1'!P193&gt;1,Interpol(9,14,Служебный!$H$33:$H$46,Служебный!$I$32:$Q$32,Служебный!$I$33:$Q$46,'Несущая способность по грунту 1'!P193,IF($I$189&lt;=0.2,0.2,$I$189)),0)," "),0)</f>
        <v xml:space="preserve"> </v>
      </c>
      <c r="R193" s="68" t="str">
        <f t="shared" si="132"/>
        <v xml:space="preserve"> </v>
      </c>
      <c r="S193" s="188"/>
      <c r="T193" s="193"/>
      <c r="U193" s="72" t="str">
        <f t="shared" si="155"/>
        <v xml:space="preserve"> </v>
      </c>
      <c r="V193" s="188"/>
      <c r="X193" s="167">
        <v>5</v>
      </c>
      <c r="Y193" s="168">
        <f>IF(Y190=0.2,VLOOKUP(X193,Служебный!$H$33:$Q$46,2,FALSE),IF(Y190=0.3,VLOOKUP(X193,Служебный!$H$33:$Q$46,3,FALSE),IF(Y190=0.4,VLOOKUP(X193,Служебный!$H$33:$Q$46,4,FALSE),IF(Y190=0.5,VLOOKUP(X193,Служебный!$H$33:$Q$46,5,FALSE),IF(Y190=0.6,VLOOKUP(X193,Служебный!$H$33:$Q$46,6,FALSE),IF(Y190=0.7,VLOOKUP(X193,Служебный!$H$33:$Q$46,7,FALSE),IF(Y190=0.8,VLOOKUP(X193,Служебный!$H$33:$Q$46,8,FALSE),IF(Y190=0.9,VLOOKUP(X193,Служебный!$H$33:$Q$46,9,FALSE),IF(Y190=1,VLOOKUP(X193,Служебный!$H$33:$Q$46,10,FALSE),0)))))))))</f>
        <v>0</v>
      </c>
      <c r="Z193" s="169" t="e">
        <f t="shared" ref="Z193" si="208">(AA193-Y193)/(AA190-Y190)*(Z190-Y190)+Y193</f>
        <v>#VALUE!</v>
      </c>
      <c r="AA193" s="170">
        <f>IF(AA190=0.2,VLOOKUP(X193,Служебный!$H$33:$Q$46,2,FALSE),IF(AA190=0.3,VLOOKUP(X193,Служебный!$H$33:$Q$46,3,FALSE),IF(AA190=0.4,VLOOKUP(X193,Служебный!$H$33:$Q$46,4,FALSE),IF(AA190=0.5,VLOOKUP(X193,Служебный!$H$33:$Q$46,5,FALSE),IF(AA190=0.6,VLOOKUP(X193,Служебный!$H$33:$Q$46,6,FALSE),IF(AA190=0.7,VLOOKUP(X193,Служебный!$H$33:$Q$46,7,FALSE),IF(AA190=0.8,VLOOKUP(X193,Служебный!$H$33:$Q$46,8,FALSE),IF(AA190=0.9,VLOOKUP(X193,Служебный!$H$33:$Q$46,9,FALSE),IF(AA190=1,VLOOKUP(X193,Служебный!$H$33:$Q$46,10,FALSE),0)))))))))</f>
        <v>0</v>
      </c>
      <c r="AC193" s="167">
        <v>26</v>
      </c>
      <c r="AD193" s="155">
        <v>58</v>
      </c>
      <c r="AN193" s="353"/>
      <c r="AO193" s="353"/>
      <c r="AP193" s="397"/>
      <c r="AQ193" s="353"/>
      <c r="AR193" s="353"/>
      <c r="AS193" s="397"/>
      <c r="AT193" s="353"/>
      <c r="AU193" s="353"/>
      <c r="AV193" s="397"/>
      <c r="AW193" s="353"/>
      <c r="AX193" s="353"/>
      <c r="AY193" s="397"/>
    </row>
    <row r="194" spans="6:51">
      <c r="F194" s="361"/>
      <c r="G194" s="361"/>
      <c r="H194" s="364"/>
      <c r="I194" s="367"/>
      <c r="J194" s="370"/>
      <c r="K194" s="373"/>
      <c r="L194" s="356"/>
      <c r="M194" s="376"/>
      <c r="N194" s="257" t="str">
        <f t="shared" si="203"/>
        <v xml:space="preserve"> </v>
      </c>
      <c r="O194" s="28" t="str">
        <f t="shared" si="131"/>
        <v xml:space="preserve"> </v>
      </c>
      <c r="P194" s="28" t="str">
        <f>IF(N194&lt;&gt;" ",MAX($P$9:P193)+O194/2," ")</f>
        <v xml:space="preserve"> </v>
      </c>
      <c r="Q194" s="28" t="str" cm="1">
        <f t="array" ref="Q194">IF(Скважина!$L$26=Служебный!$K$2,IF(O194&lt;&gt;" ",IF('Несущая способность по грунту 1'!P194&gt;1,Interpol(9,14,Служебный!$H$33:$H$46,Служебный!$I$32:$Q$32,Служебный!$I$33:$Q$46,'Несущая способность по грунту 1'!P194,IF($I$189&lt;=0.2,0.2,$I$189)),0)," "),0)</f>
        <v xml:space="preserve"> </v>
      </c>
      <c r="R194" s="68" t="str">
        <f t="shared" si="132"/>
        <v xml:space="preserve"> </v>
      </c>
      <c r="S194" s="188"/>
      <c r="T194" s="193"/>
      <c r="U194" s="72" t="str">
        <f t="shared" si="155"/>
        <v xml:space="preserve"> </v>
      </c>
      <c r="V194" s="188"/>
      <c r="X194" t="str">
        <f t="shared" ref="X194" si="209">H189</f>
        <v xml:space="preserve"> </v>
      </c>
      <c r="AN194" s="353"/>
      <c r="AO194" s="353"/>
      <c r="AP194" s="397"/>
      <c r="AQ194" s="353"/>
      <c r="AR194" s="353"/>
      <c r="AS194" s="397"/>
      <c r="AT194" s="353"/>
      <c r="AU194" s="353"/>
      <c r="AV194" s="397"/>
      <c r="AW194" s="353"/>
      <c r="AX194" s="353"/>
      <c r="AY194" s="397"/>
    </row>
    <row r="195" spans="6:51">
      <c r="F195" s="361"/>
      <c r="G195" s="361"/>
      <c r="H195" s="364"/>
      <c r="I195" s="367"/>
      <c r="J195" s="370"/>
      <c r="K195" s="373"/>
      <c r="L195" s="356"/>
      <c r="M195" s="376"/>
      <c r="N195" s="257" t="str">
        <f t="shared" si="203"/>
        <v xml:space="preserve"> </v>
      </c>
      <c r="O195" s="28" t="str">
        <f t="shared" si="131"/>
        <v xml:space="preserve"> </v>
      </c>
      <c r="P195" s="28" t="str">
        <f>IF(N195&lt;&gt;" ",MAX($P$9:P194)+O195/2," ")</f>
        <v xml:space="preserve"> </v>
      </c>
      <c r="Q195" s="28" t="str" cm="1">
        <f t="array" ref="Q195">IF(Скважина!$L$26=Служебный!$K$2,IF(O195&lt;&gt;" ",IF('Несущая способность по грунту 1'!P195&gt;1,Interpol(9,14,Служебный!$H$33:$H$46,Служебный!$I$32:$Q$32,Служебный!$I$33:$Q$46,'Несущая способность по грунту 1'!P195,IF($I$189&lt;=0.2,0.2,$I$189)),0)," "),0)</f>
        <v xml:space="preserve"> </v>
      </c>
      <c r="R195" s="68" t="str">
        <f t="shared" si="132"/>
        <v xml:space="preserve"> </v>
      </c>
      <c r="S195" s="188"/>
      <c r="T195" s="193"/>
      <c r="U195" s="72" t="str">
        <f t="shared" si="155"/>
        <v xml:space="preserve"> </v>
      </c>
      <c r="V195" s="188"/>
      <c r="AN195" s="353"/>
      <c r="AO195" s="353"/>
      <c r="AP195" s="397"/>
      <c r="AQ195" s="353"/>
      <c r="AR195" s="353"/>
      <c r="AS195" s="397"/>
      <c r="AT195" s="353"/>
      <c r="AU195" s="353"/>
      <c r="AV195" s="397"/>
      <c r="AW195" s="353"/>
      <c r="AX195" s="353"/>
      <c r="AY195" s="397"/>
    </row>
    <row r="196" spans="6:51">
      <c r="F196" s="361"/>
      <c r="G196" s="361"/>
      <c r="H196" s="364"/>
      <c r="I196" s="367"/>
      <c r="J196" s="370"/>
      <c r="K196" s="373"/>
      <c r="L196" s="356"/>
      <c r="M196" s="376"/>
      <c r="N196" s="257" t="str">
        <f t="shared" si="203"/>
        <v xml:space="preserve"> </v>
      </c>
      <c r="O196" s="28" t="str">
        <f t="shared" si="131"/>
        <v xml:space="preserve"> </v>
      </c>
      <c r="P196" s="28" t="str">
        <f>IF(N196&lt;&gt;" ",MAX($P$9:P195)+O196/2," ")</f>
        <v xml:space="preserve"> </v>
      </c>
      <c r="Q196" s="28" t="str" cm="1">
        <f t="array" ref="Q196">IF(Скважина!$L$26=Служебный!$K$2,IF(O196&lt;&gt;" ",IF('Несущая способность по грунту 1'!P196&gt;1,Interpol(9,14,Служебный!$H$33:$H$46,Служебный!$I$32:$Q$32,Служебный!$I$33:$Q$46,'Несущая способность по грунту 1'!P196,IF($I$189&lt;=0.2,0.2,$I$189)),0)," "),0)</f>
        <v xml:space="preserve"> </v>
      </c>
      <c r="R196" s="68" t="str">
        <f t="shared" si="132"/>
        <v xml:space="preserve"> </v>
      </c>
      <c r="S196" s="188"/>
      <c r="T196" s="193"/>
      <c r="U196" s="72" t="str">
        <f t="shared" si="155"/>
        <v xml:space="preserve"> </v>
      </c>
      <c r="V196" s="188"/>
      <c r="AN196" s="353"/>
      <c r="AO196" s="353"/>
      <c r="AP196" s="397"/>
      <c r="AQ196" s="353"/>
      <c r="AR196" s="353"/>
      <c r="AS196" s="397"/>
      <c r="AT196" s="353"/>
      <c r="AU196" s="353"/>
      <c r="AV196" s="397"/>
      <c r="AW196" s="353"/>
      <c r="AX196" s="353"/>
      <c r="AY196" s="397"/>
    </row>
    <row r="197" spans="6:51">
      <c r="F197" s="361"/>
      <c r="G197" s="361"/>
      <c r="H197" s="364"/>
      <c r="I197" s="367"/>
      <c r="J197" s="370"/>
      <c r="K197" s="373"/>
      <c r="L197" s="356"/>
      <c r="M197" s="376"/>
      <c r="N197" s="257" t="str">
        <f t="shared" si="203"/>
        <v xml:space="preserve"> </v>
      </c>
      <c r="O197" s="28" t="str">
        <f t="shared" si="131"/>
        <v xml:space="preserve"> </v>
      </c>
      <c r="P197" s="28" t="str">
        <f>IF(N197&lt;&gt;" ",MAX($P$9:P196)+O197/2," ")</f>
        <v xml:space="preserve"> </v>
      </c>
      <c r="Q197" s="28" t="str" cm="1">
        <f t="array" ref="Q197">IF(Скважина!$L$26=Служебный!$K$2,IF(O197&lt;&gt;" ",IF('Несущая способность по грунту 1'!P197&gt;1,Interpol(9,14,Служебный!$H$33:$H$46,Служебный!$I$32:$Q$32,Служебный!$I$33:$Q$46,'Несущая способность по грунту 1'!P197,IF($I$189&lt;=0.2,0.2,$I$189)),0)," "),0)</f>
        <v xml:space="preserve"> </v>
      </c>
      <c r="R197" s="68" t="str">
        <f t="shared" si="132"/>
        <v xml:space="preserve"> </v>
      </c>
      <c r="S197" s="188"/>
      <c r="T197" s="193"/>
      <c r="U197" s="72" t="str">
        <f t="shared" si="155"/>
        <v xml:space="preserve"> </v>
      </c>
      <c r="V197" s="188"/>
      <c r="AN197" s="353"/>
      <c r="AO197" s="353"/>
      <c r="AP197" s="397"/>
      <c r="AQ197" s="353"/>
      <c r="AR197" s="353"/>
      <c r="AS197" s="397"/>
      <c r="AT197" s="353"/>
      <c r="AU197" s="353"/>
      <c r="AV197" s="397"/>
      <c r="AW197" s="353"/>
      <c r="AX197" s="353"/>
      <c r="AY197" s="397"/>
    </row>
    <row r="198" spans="6:51" ht="15.75" thickBot="1">
      <c r="F198" s="362"/>
      <c r="G198" s="379"/>
      <c r="H198" s="389"/>
      <c r="I198" s="367"/>
      <c r="J198" s="391"/>
      <c r="K198" s="373"/>
      <c r="L198" s="356"/>
      <c r="M198" s="393"/>
      <c r="N198" s="276" t="str">
        <f t="shared" si="203"/>
        <v xml:space="preserve"> </v>
      </c>
      <c r="O198" s="190" t="str">
        <f t="shared" si="131"/>
        <v xml:space="preserve"> </v>
      </c>
      <c r="P198" s="190" t="str">
        <f>IF(N198&lt;&gt;" ",MAX($P$9:P197)+O198/2," ")</f>
        <v xml:space="preserve"> </v>
      </c>
      <c r="Q198" s="190" t="str" cm="1">
        <f t="array" ref="Q198">IF(Скважина!$L$26=Служебный!$K$2,IF(O198&lt;&gt;" ",IF('Несущая способность по грунту 1'!P198&gt;1,Interpol(9,14,Служебный!$H$33:$H$46,Служебный!$I$32:$Q$32,Служебный!$I$33:$Q$46,'Несущая способность по грунту 1'!P198,IF($I$189&lt;=0.2,0.2,$I$189)),0)," "),0)</f>
        <v xml:space="preserve"> </v>
      </c>
      <c r="R198" s="280" t="str">
        <f t="shared" si="132"/>
        <v xml:space="preserve"> </v>
      </c>
      <c r="S198" s="188"/>
      <c r="T198" s="194"/>
      <c r="U198" s="195" t="str">
        <f t="shared" si="155"/>
        <v xml:space="preserve"> </v>
      </c>
      <c r="V198" s="188"/>
      <c r="AN198" s="353"/>
      <c r="AO198" s="353"/>
      <c r="AP198" s="397"/>
      <c r="AQ198" s="353"/>
      <c r="AR198" s="353"/>
      <c r="AS198" s="397"/>
      <c r="AT198" s="353"/>
      <c r="AU198" s="353"/>
      <c r="AV198" s="397"/>
      <c r="AW198" s="353"/>
      <c r="AX198" s="353"/>
      <c r="AY198" s="397"/>
    </row>
    <row r="199" spans="6:51" ht="18">
      <c r="F199" s="360">
        <f t="shared" ref="F199" si="210">F189+1</f>
        <v>20</v>
      </c>
      <c r="G199" s="360">
        <f>IF(F199&lt;21,IF(VLOOKUP(F199,Скважина!$E$8:$K$27,4,FALSE)&gt;Скважина!$C$8,VLOOKUP('Несущая способность по грунту 1'!F199,Скважина!$E$8:$K$27,2,FALSE),0),0)</f>
        <v>0</v>
      </c>
      <c r="H199" s="363" t="str">
        <f>IF(G199&lt;&gt;0,VLOOKUP('Несущая способность по грунту 1'!G199,Геология!$D$7:$BO$993,7,FALSE)," ")</f>
        <v xml:space="preserve"> </v>
      </c>
      <c r="I199" s="366" t="str">
        <f>IF(G199&lt;&gt;0,VLOOKUP('Несущая способность по грунту 1'!G199, Геология!$D$8:$BM$993, 22,FALSE)," ")</f>
        <v xml:space="preserve"> </v>
      </c>
      <c r="J199" s="369">
        <f>VLOOKUP(F199,Скважина!$E$8:$K$27,4,FALSE)</f>
        <v>0</v>
      </c>
      <c r="K199" s="372">
        <f>IF(VLOOKUP($F199,Скважина!$E$8:$K$27,5,FALSE)&gt;Скважина!$C$8,VLOOKUP($F199,Скважина!$E$8:$K$27,5,FALSE),Скважина!$C$8)</f>
        <v>120</v>
      </c>
      <c r="L199" s="355">
        <f t="shared" ref="L199" si="211">IF(IF(G199&lt;&gt;0,J199-K199,0)&lt;0,0,IF(G199&lt;&gt;0,J199-K199,0))</f>
        <v>0</v>
      </c>
      <c r="M199" s="375"/>
      <c r="N199" s="275" t="str">
        <f>IF(M199&lt;&gt;0,MAX(N$9:N$208)+1," ")</f>
        <v xml:space="preserve"> </v>
      </c>
      <c r="O199" s="66" t="str">
        <f t="shared" si="131"/>
        <v xml:space="preserve"> </v>
      </c>
      <c r="P199" s="66" t="str">
        <f>IF(N199&lt;&gt;" ",MAX($P$9:P198)+O199/2," ")</f>
        <v xml:space="preserve"> </v>
      </c>
      <c r="Q199" s="66" t="str" cm="1">
        <f t="array" ref="Q199">IF(Скважина!$L$27=Служебный!$K$2,IF(O199&lt;&gt;" ",IF('Несущая способность по грунту 1'!P199&gt;1,Interpol(9,14,Служебный!$H$33:$H$46,Служебный!$I$32:$Q$32,Служебный!$I$33:$Q$46,'Несущая способность по грунту 1'!P199,IF($I$199&lt;=0.2,0.2,$I$199)),0)," "),0)</f>
        <v xml:space="preserve"> </v>
      </c>
      <c r="R199" s="67" t="str">
        <f t="shared" si="132"/>
        <v xml:space="preserve"> </v>
      </c>
      <c r="S199" s="188"/>
      <c r="T199" s="192"/>
      <c r="U199" s="67" t="str">
        <f t="shared" si="155"/>
        <v xml:space="preserve"> </v>
      </c>
      <c r="V199" s="188"/>
      <c r="X199" s="159" t="s">
        <v>156</v>
      </c>
      <c r="Y199" s="160"/>
      <c r="Z199" s="161" t="s">
        <v>155</v>
      </c>
      <c r="AA199" s="162"/>
      <c r="AC199" s="283" t="s">
        <v>213</v>
      </c>
      <c r="AD199" s="284"/>
      <c r="AN199" s="353" t="str">
        <f>IF(OR(G199=0,F199&gt;20)," ",VLOOKUP('Несущая способность по грунту 1'!G199,Геология!$D$7:$BO$993,23,FALSE))</f>
        <v xml:space="preserve"> </v>
      </c>
      <c r="AO199" s="353" t="str">
        <f t="shared" ref="AO199" si="212">IF(AN199&lt;&gt;" ",AN199*L199," ")</f>
        <v xml:space="preserve"> </v>
      </c>
      <c r="AP199" s="397"/>
      <c r="AQ199" s="353" t="str">
        <f>IF(G199&lt;&gt;0,VLOOKUP('Несущая способность по грунту 1'!G199,Геология!$D$7:$BO$993,24,FALSE)," ")</f>
        <v xml:space="preserve"> </v>
      </c>
      <c r="AR199" s="353" t="str">
        <f t="shared" ref="AR199" si="213">IF(AQ199&lt;&gt;" ",AQ199*L199," ")</f>
        <v xml:space="preserve"> </v>
      </c>
      <c r="AS199" s="397"/>
      <c r="AT199" s="353" t="str">
        <f>IF(G199&lt;&gt;0,VLOOKUP('Несущая способность по грунту 1'!G199,Геология!$D$7:$BO$993,21,FALSE)," ")</f>
        <v xml:space="preserve"> </v>
      </c>
      <c r="AU199" s="353" t="str">
        <f t="shared" ref="AU199" si="214">IF(G199&lt;&gt;0,AT199*L199," ")</f>
        <v xml:space="preserve"> </v>
      </c>
      <c r="AV199" s="397"/>
      <c r="AW199" s="353" t="str">
        <f>IF(G199&lt;&gt;0,VLOOKUP('Несущая способность по грунту 1'!G199,Геология!$D$7:$BO$993,27,FALSE)," ")</f>
        <v xml:space="preserve"> </v>
      </c>
      <c r="AX199" s="353" t="str">
        <f t="shared" ref="AX199" si="215">IF(G199&lt;&gt;0,AW199*L199," ")</f>
        <v xml:space="preserve"> </v>
      </c>
      <c r="AY199" s="397"/>
    </row>
    <row r="200" spans="6:51">
      <c r="F200" s="361"/>
      <c r="G200" s="361"/>
      <c r="H200" s="364"/>
      <c r="I200" s="367"/>
      <c r="J200" s="370"/>
      <c r="K200" s="373"/>
      <c r="L200" s="356"/>
      <c r="M200" s="376"/>
      <c r="N200" s="267" t="str">
        <f t="shared" ref="N200:N208" si="216">IF(N199=" "," ", IF(N199&lt;SUM(M$9:M$218),N199+1, " "))</f>
        <v xml:space="preserve"> </v>
      </c>
      <c r="O200" s="28" t="str">
        <f t="shared" si="131"/>
        <v xml:space="preserve"> </v>
      </c>
      <c r="P200" s="28" t="str">
        <f>IF(N200&lt;&gt;" ",MAX($P$9:P199)+O200/2," ")</f>
        <v xml:space="preserve"> </v>
      </c>
      <c r="Q200" s="28" t="str" cm="1">
        <f t="array" ref="Q200">IF(Скважина!$L$27=Служебный!$K$2,IF(O200&lt;&gt;" ",IF('Несущая способность по грунту 1'!P200&gt;1,Interpol(9,14,Служебный!$H$33:$H$46,Служебный!$I$32:$Q$32,Служебный!$I$33:$Q$46,'Несущая способность по грунту 1'!P200,IF($I$199&lt;=0.2,0.2,$I$199)),0)," "),0)</f>
        <v xml:space="preserve"> </v>
      </c>
      <c r="R200" s="68" t="str">
        <f t="shared" si="132"/>
        <v xml:space="preserve"> </v>
      </c>
      <c r="S200" s="188"/>
      <c r="T200" s="193"/>
      <c r="U200" s="72" t="str">
        <f t="shared" si="155"/>
        <v xml:space="preserve"> </v>
      </c>
      <c r="V200" s="188"/>
      <c r="X200" s="163" t="s">
        <v>39</v>
      </c>
      <c r="Y200" s="47">
        <v>0.2</v>
      </c>
      <c r="Z200" s="177" t="str">
        <f t="shared" ref="Z200" si="217">IF(I199&lt;=0.2,0.2,I199)</f>
        <v xml:space="preserve"> </v>
      </c>
      <c r="AA200" s="151">
        <v>0.3</v>
      </c>
      <c r="AC200" s="262" t="s">
        <v>39</v>
      </c>
      <c r="AD200" s="165" t="s">
        <v>214</v>
      </c>
      <c r="AN200" s="353"/>
      <c r="AO200" s="353"/>
      <c r="AP200" s="397"/>
      <c r="AQ200" s="353"/>
      <c r="AR200" s="353"/>
      <c r="AS200" s="397"/>
      <c r="AT200" s="353"/>
      <c r="AU200" s="353"/>
      <c r="AV200" s="397"/>
      <c r="AW200" s="353"/>
      <c r="AX200" s="353"/>
      <c r="AY200" s="397"/>
    </row>
    <row r="201" spans="6:51" ht="15.75" thickBot="1">
      <c r="F201" s="361"/>
      <c r="G201" s="361"/>
      <c r="H201" s="364"/>
      <c r="I201" s="367"/>
      <c r="J201" s="370"/>
      <c r="K201" s="373"/>
      <c r="L201" s="356"/>
      <c r="M201" s="376"/>
      <c r="N201" s="267" t="str">
        <f t="shared" si="216"/>
        <v xml:space="preserve"> </v>
      </c>
      <c r="O201" s="28" t="str">
        <f t="shared" si="131"/>
        <v xml:space="preserve"> </v>
      </c>
      <c r="P201" s="28" t="str">
        <f>IF(N201&lt;&gt;" ",MAX($P$9:P200)+O201/2," ")</f>
        <v xml:space="preserve"> </v>
      </c>
      <c r="Q201" s="28" t="str" cm="1">
        <f t="array" ref="Q201">IF(Скважина!$L$27=Служебный!$K$2,IF(O201&lt;&gt;" ",IF('Несущая способность по грунту 1'!P201&gt;1,Interpol(9,14,Служебный!$H$33:$H$46,Служебный!$I$32:$Q$32,Служебный!$I$33:$Q$46,'Несущая способность по грунту 1'!P201,IF($I$199&lt;=0.2,0.2,$I$199)),0)," "),0)</f>
        <v xml:space="preserve"> </v>
      </c>
      <c r="R201" s="68" t="str">
        <f t="shared" si="132"/>
        <v xml:space="preserve"> </v>
      </c>
      <c r="S201" s="188"/>
      <c r="T201" s="193"/>
      <c r="U201" s="72" t="str">
        <f t="shared" si="155"/>
        <v xml:space="preserve"> </v>
      </c>
      <c r="V201" s="188"/>
      <c r="X201" s="164">
        <v>4</v>
      </c>
      <c r="Y201" s="109">
        <f>IF(Y200=0.2,VLOOKUP(X201,Служебный!$H$33:$Q$46,2,FALSE),IF(Y200=0.3,VLOOKUP(X201,Служебный!$H$33:$Q$46,3,FALSE),IF(Y200=0.4,VLOOKUP(X201,Служебный!$H$33:$Q$46,4,FALSE),IF(Y200=0.5,VLOOKUP(X201,Служебный!$H$33:$Q$46,5,FALSE),IF(Y200=0.6,VLOOKUP(X201,Служебный!$H$33:$Q$46,6,FALSE),IF(Y200=0.7,VLOOKUP(X201,Служебный!$H$33:$Q$46,7,FALSE),IF(Y200=0.8,VLOOKUP(X201,Служебный!$H$33:$Q$46,8,FALSE),IF(Y200=0.9,VLOOKUP(X201,Служебный!$H$33:$Q$46,9,FALSE),IF(Y200=1,VLOOKUP(X201,Служебный!$H$33:$Q$46,10,FALSE),0)))))))))</f>
        <v>53</v>
      </c>
      <c r="Z201" s="79" t="e">
        <f t="shared" ref="Z201" si="218">(AA201-Y201)/(AA200-Y200)*(Z200-Y200)+Y201</f>
        <v>#VALUE!</v>
      </c>
      <c r="AA201" s="165">
        <f>IF(AA200=0.2,VLOOKUP(X201,Служебный!$H$33:$Q$46,2,FALSE),IF(AA200=0.3,VLOOKUP(X201,Служебный!$H$33:$Q$46,3,FALSE),IF(AA200=0.4,VLOOKUP(X201,Служебный!$H$33:$Q$46,4,FALSE),IF(AA200=0.5,VLOOKUP(X201,Служебный!$H$33:$Q$46,5,FALSE),IF(AA200=0.6,VLOOKUP(X201,Служебный!$H$33:$Q$46,6,FALSE),IF(AA200=0.7,VLOOKUP(X201,Служебный!$H$33:$Q$46,7,FALSE),IF(AA200=0.8,VLOOKUP(X201,Служебный!$H$33:$Q$46,8,FALSE),IF(AA200=0.9,VLOOKUP(X201,Служебный!$H$33:$Q$46,9,FALSE),IF(AA200=1,VLOOKUP(X201,Служебный!$H$33:$Q$46,10,FALSE),0)))))))))</f>
        <v>38</v>
      </c>
      <c r="AC201" s="164">
        <v>24</v>
      </c>
      <c r="AD201" s="151">
        <v>55</v>
      </c>
      <c r="AN201" s="353"/>
      <c r="AO201" s="353"/>
      <c r="AP201" s="397"/>
      <c r="AQ201" s="353"/>
      <c r="AR201" s="353"/>
      <c r="AS201" s="397"/>
      <c r="AT201" s="353"/>
      <c r="AU201" s="353"/>
      <c r="AV201" s="397"/>
      <c r="AW201" s="353"/>
      <c r="AX201" s="353"/>
      <c r="AY201" s="397"/>
    </row>
    <row r="202" spans="6:51" ht="15.75" thickBot="1">
      <c r="F202" s="361"/>
      <c r="G202" s="361"/>
      <c r="H202" s="364"/>
      <c r="I202" s="367"/>
      <c r="J202" s="370"/>
      <c r="K202" s="373"/>
      <c r="L202" s="356"/>
      <c r="M202" s="376"/>
      <c r="N202" s="267" t="str">
        <f t="shared" si="216"/>
        <v xml:space="preserve"> </v>
      </c>
      <c r="O202" s="28" t="str">
        <f t="shared" si="131"/>
        <v xml:space="preserve"> </v>
      </c>
      <c r="P202" s="28" t="str">
        <f>IF(N202&lt;&gt;" ",MAX($P$9:P201)+O202/2," ")</f>
        <v xml:space="preserve"> </v>
      </c>
      <c r="Q202" s="28" t="str" cm="1">
        <f t="array" ref="Q202">IF(Скважина!$L$27=Служебный!$K$2,IF(O202&lt;&gt;" ",IF('Несущая способность по грунту 1'!P202&gt;1,Interpol(9,14,Служебный!$H$33:$H$46,Служебный!$I$32:$Q$32,Служебный!$I$33:$Q$46,'Несущая способность по грунту 1'!P202,IF($I$199&lt;=0.2,0.2,$I$199)),0)," "),0)</f>
        <v xml:space="preserve"> </v>
      </c>
      <c r="R202" s="68" t="str">
        <f t="shared" si="132"/>
        <v xml:space="preserve"> </v>
      </c>
      <c r="S202" s="188"/>
      <c r="T202" s="193"/>
      <c r="U202" s="72" t="str">
        <f t="shared" si="155"/>
        <v xml:space="preserve"> </v>
      </c>
      <c r="V202" s="188"/>
      <c r="X202" s="164">
        <v>4.75</v>
      </c>
      <c r="Y202" s="78"/>
      <c r="Z202" s="77" t="e">
        <f t="shared" ref="Z202" si="219">(Z203-Z201)/(X203-X201)*(X202-X201)+Z201</f>
        <v>#VALUE!</v>
      </c>
      <c r="AA202" s="166"/>
      <c r="AC202" s="164">
        <v>25</v>
      </c>
      <c r="AD202" s="285">
        <f t="shared" ref="AD202" si="220">(AD203-AD201)/(AC203-AC201)*(AC202-AC201)+AD201</f>
        <v>56.5</v>
      </c>
      <c r="AN202" s="353"/>
      <c r="AO202" s="353"/>
      <c r="AP202" s="397"/>
      <c r="AQ202" s="353"/>
      <c r="AR202" s="353"/>
      <c r="AS202" s="397"/>
      <c r="AT202" s="353"/>
      <c r="AU202" s="353"/>
      <c r="AV202" s="397"/>
      <c r="AW202" s="353"/>
      <c r="AX202" s="353"/>
      <c r="AY202" s="397"/>
    </row>
    <row r="203" spans="6:51" ht="15.75" thickBot="1">
      <c r="F203" s="361"/>
      <c r="G203" s="361"/>
      <c r="H203" s="364"/>
      <c r="I203" s="367"/>
      <c r="J203" s="370"/>
      <c r="K203" s="373"/>
      <c r="L203" s="356"/>
      <c r="M203" s="376"/>
      <c r="N203" s="267" t="str">
        <f t="shared" si="216"/>
        <v xml:space="preserve"> </v>
      </c>
      <c r="O203" s="28" t="str">
        <f t="shared" ref="O203:O208" si="221">IF(N203&lt;&gt;" ",L$79/COUNT(N$79:N$88), " ")</f>
        <v xml:space="preserve"> </v>
      </c>
      <c r="P203" s="28" t="str">
        <f>IF(N203&lt;&gt;" ",MAX($P$9:P202)+O203/2," ")</f>
        <v xml:space="preserve"> </v>
      </c>
      <c r="Q203" s="28" t="str" cm="1">
        <f t="array" ref="Q203">IF(Скважина!$L$27=Служебный!$K$2,IF(O203&lt;&gt;" ",IF('Несущая способность по грунту 1'!P203&gt;1,Interpol(9,14,Служебный!$H$33:$H$46,Служебный!$I$32:$Q$32,Служебный!$I$33:$Q$46,'Несущая способность по грунту 1'!P203,IF($I$199&lt;=0.2,0.2,$I$199)),0)," "),0)</f>
        <v xml:space="preserve"> </v>
      </c>
      <c r="R203" s="68" t="str">
        <f t="shared" ref="R203:R208" si="222">IF(N203&lt;&gt;" ",O203*Q203," ")</f>
        <v xml:space="preserve"> </v>
      </c>
      <c r="S203" s="188"/>
      <c r="T203" s="193"/>
      <c r="U203" s="72" t="str">
        <f t="shared" si="155"/>
        <v xml:space="preserve"> </v>
      </c>
      <c r="V203" s="188"/>
      <c r="X203" s="167">
        <v>5</v>
      </c>
      <c r="Y203" s="168">
        <f>IF(Y200=0.2,VLOOKUP(X203,Служебный!$H$33:$Q$46,2,FALSE),IF(Y200=0.3,VLOOKUP(X203,Служебный!$H$33:$Q$46,3,FALSE),IF(Y200=0.4,VLOOKUP(X203,Служебный!$H$33:$Q$46,4,FALSE),IF(Y200=0.5,VLOOKUP(X203,Служебный!$H$33:$Q$46,5,FALSE),IF(Y200=0.6,VLOOKUP(X203,Служебный!$H$33:$Q$46,6,FALSE),IF(Y200=0.7,VLOOKUP(X203,Служебный!$H$33:$Q$46,7,FALSE),IF(Y200=0.8,VLOOKUP(X203,Служебный!$H$33:$Q$46,8,FALSE),IF(Y200=0.9,VLOOKUP(X203,Служебный!$H$33:$Q$46,9,FALSE),IF(Y200=1,VLOOKUP(X203,Служебный!$H$33:$Q$46,10,FALSE),0)))))))))</f>
        <v>56</v>
      </c>
      <c r="Z203" s="169" t="e">
        <f t="shared" ref="Z203" si="223">(AA203-Y203)/(AA200-Y200)*(Z200-Y200)+Y203</f>
        <v>#VALUE!</v>
      </c>
      <c r="AA203" s="170">
        <f>IF(AA200=0.2,VLOOKUP(X203,Служебный!$H$33:$Q$46,2,FALSE),IF(AA200=0.3,VLOOKUP(X203,Служебный!$H$33:$Q$46,3,FALSE),IF(AA200=0.4,VLOOKUP(X203,Служебный!$H$33:$Q$46,4,FALSE),IF(AA200=0.5,VLOOKUP(X203,Служебный!$H$33:$Q$46,5,FALSE),IF(AA200=0.6,VLOOKUP(X203,Служебный!$H$33:$Q$46,6,FALSE),IF(AA200=0.7,VLOOKUP(X203,Служебный!$H$33:$Q$46,7,FALSE),IF(AA200=0.8,VLOOKUP(X203,Служебный!$H$33:$Q$46,8,FALSE),IF(AA200=0.9,VLOOKUP(X203,Служебный!$H$33:$Q$46,9,FALSE),IF(AA200=1,VLOOKUP(X203,Служебный!$H$33:$Q$46,10,FALSE),0)))))))))</f>
        <v>40</v>
      </c>
      <c r="AC203" s="167">
        <v>26</v>
      </c>
      <c r="AD203" s="155">
        <v>58</v>
      </c>
      <c r="AN203" s="353"/>
      <c r="AO203" s="353"/>
      <c r="AP203" s="397"/>
      <c r="AQ203" s="353"/>
      <c r="AR203" s="353"/>
      <c r="AS203" s="397"/>
      <c r="AT203" s="353"/>
      <c r="AU203" s="353"/>
      <c r="AV203" s="397"/>
      <c r="AW203" s="353"/>
      <c r="AX203" s="353"/>
      <c r="AY203" s="397"/>
    </row>
    <row r="204" spans="6:51">
      <c r="F204" s="361"/>
      <c r="G204" s="361"/>
      <c r="H204" s="364"/>
      <c r="I204" s="367"/>
      <c r="J204" s="370"/>
      <c r="K204" s="373"/>
      <c r="L204" s="356"/>
      <c r="M204" s="376"/>
      <c r="N204" s="267" t="str">
        <f t="shared" si="216"/>
        <v xml:space="preserve"> </v>
      </c>
      <c r="O204" s="28" t="str">
        <f t="shared" si="221"/>
        <v xml:space="preserve"> </v>
      </c>
      <c r="P204" s="28" t="str">
        <f>IF(N204&lt;&gt;" ",MAX($P$9:P203)+O204/2," ")</f>
        <v xml:space="preserve"> </v>
      </c>
      <c r="Q204" s="28" t="str" cm="1">
        <f t="array" ref="Q204">IF(Скважина!$L$27=Служебный!$K$2,IF(O204&lt;&gt;" ",IF('Несущая способность по грунту 1'!P204&gt;1,Interpol(9,14,Служебный!$H$33:$H$46,Служебный!$I$32:$Q$32,Служебный!$I$33:$Q$46,'Несущая способность по грунту 1'!P204,IF($I$199&lt;=0.2,0.2,$I$199)),0)," "),0)</f>
        <v xml:space="preserve"> </v>
      </c>
      <c r="R204" s="68" t="str">
        <f t="shared" si="222"/>
        <v xml:space="preserve"> </v>
      </c>
      <c r="S204" s="188"/>
      <c r="T204" s="193"/>
      <c r="U204" s="72" t="str">
        <f t="shared" si="155"/>
        <v xml:space="preserve"> </v>
      </c>
      <c r="V204" s="188"/>
      <c r="X204" t="str">
        <f t="shared" ref="X204" si="224">H199</f>
        <v xml:space="preserve"> </v>
      </c>
      <c r="AN204" s="353"/>
      <c r="AO204" s="353"/>
      <c r="AP204" s="397"/>
      <c r="AQ204" s="353"/>
      <c r="AR204" s="353"/>
      <c r="AS204" s="397"/>
      <c r="AT204" s="353"/>
      <c r="AU204" s="353"/>
      <c r="AV204" s="397"/>
      <c r="AW204" s="353"/>
      <c r="AX204" s="353"/>
      <c r="AY204" s="397"/>
    </row>
    <row r="205" spans="6:51">
      <c r="F205" s="361"/>
      <c r="G205" s="361"/>
      <c r="H205" s="364"/>
      <c r="I205" s="367"/>
      <c r="J205" s="370"/>
      <c r="K205" s="373"/>
      <c r="L205" s="356"/>
      <c r="M205" s="376"/>
      <c r="N205" s="267" t="str">
        <f t="shared" si="216"/>
        <v xml:space="preserve"> </v>
      </c>
      <c r="O205" s="28" t="str">
        <f t="shared" si="221"/>
        <v xml:space="preserve"> </v>
      </c>
      <c r="P205" s="28" t="str">
        <f>IF(N205&lt;&gt;" ",MAX($P$9:P204)+O205/2," ")</f>
        <v xml:space="preserve"> </v>
      </c>
      <c r="Q205" s="28" t="str" cm="1">
        <f t="array" ref="Q205">IF(Скважина!$L$27=Служебный!$K$2,IF(O205&lt;&gt;" ",IF('Несущая способность по грунту 1'!P205&gt;1,Interpol(9,14,Служебный!$H$33:$H$46,Служебный!$I$32:$Q$32,Служебный!$I$33:$Q$46,'Несущая способность по грунту 1'!P205,IF($I$199&lt;=0.2,0.2,$I$199)),0)," "),0)</f>
        <v xml:space="preserve"> </v>
      </c>
      <c r="R205" s="68" t="str">
        <f t="shared" si="222"/>
        <v xml:space="preserve"> </v>
      </c>
      <c r="S205" s="188"/>
      <c r="T205" s="193"/>
      <c r="U205" s="72" t="str">
        <f t="shared" si="155"/>
        <v xml:space="preserve"> </v>
      </c>
      <c r="V205" s="188"/>
      <c r="AN205" s="353"/>
      <c r="AO205" s="353"/>
      <c r="AP205" s="397"/>
      <c r="AQ205" s="353"/>
      <c r="AR205" s="353"/>
      <c r="AS205" s="397"/>
      <c r="AT205" s="353"/>
      <c r="AU205" s="353"/>
      <c r="AV205" s="397"/>
      <c r="AW205" s="353"/>
      <c r="AX205" s="353"/>
      <c r="AY205" s="397"/>
    </row>
    <row r="206" spans="6:51">
      <c r="F206" s="361"/>
      <c r="G206" s="361"/>
      <c r="H206" s="364"/>
      <c r="I206" s="367"/>
      <c r="J206" s="370"/>
      <c r="K206" s="373"/>
      <c r="L206" s="356"/>
      <c r="M206" s="376"/>
      <c r="N206" s="267" t="str">
        <f t="shared" si="216"/>
        <v xml:space="preserve"> </v>
      </c>
      <c r="O206" s="28" t="str">
        <f t="shared" si="221"/>
        <v xml:space="preserve"> </v>
      </c>
      <c r="P206" s="28" t="str">
        <f>IF(N206&lt;&gt;" ",MAX($P$9:P205)+O206/2," ")</f>
        <v xml:space="preserve"> </v>
      </c>
      <c r="Q206" s="28" t="str" cm="1">
        <f t="array" ref="Q206">IF(Скважина!$L$27=Служебный!$K$2,IF(O206&lt;&gt;" ",IF('Несущая способность по грунту 1'!P206&gt;1,Interpol(9,14,Служебный!$H$33:$H$46,Служебный!$I$32:$Q$32,Служебный!$I$33:$Q$46,'Несущая способность по грунту 1'!P206,IF($I$199&lt;=0.2,0.2,$I$199)),0)," "),0)</f>
        <v xml:space="preserve"> </v>
      </c>
      <c r="R206" s="68" t="str">
        <f t="shared" si="222"/>
        <v xml:space="preserve"> </v>
      </c>
      <c r="S206" s="188"/>
      <c r="T206" s="193"/>
      <c r="U206" s="72" t="str">
        <f t="shared" si="155"/>
        <v xml:space="preserve"> </v>
      </c>
      <c r="V206" s="188"/>
      <c r="AN206" s="353"/>
      <c r="AO206" s="353"/>
      <c r="AP206" s="397"/>
      <c r="AQ206" s="353"/>
      <c r="AR206" s="353"/>
      <c r="AS206" s="397"/>
      <c r="AT206" s="353"/>
      <c r="AU206" s="353"/>
      <c r="AV206" s="397"/>
      <c r="AW206" s="353"/>
      <c r="AX206" s="353"/>
      <c r="AY206" s="397"/>
    </row>
    <row r="207" spans="6:51">
      <c r="F207" s="361"/>
      <c r="G207" s="361"/>
      <c r="H207" s="364"/>
      <c r="I207" s="367"/>
      <c r="J207" s="370"/>
      <c r="K207" s="373"/>
      <c r="L207" s="356"/>
      <c r="M207" s="376"/>
      <c r="N207" s="267" t="str">
        <f t="shared" si="216"/>
        <v xml:space="preserve"> </v>
      </c>
      <c r="O207" s="28" t="str">
        <f t="shared" si="221"/>
        <v xml:space="preserve"> </v>
      </c>
      <c r="P207" s="28" t="str">
        <f>IF(N207&lt;&gt;" ",MAX($P$9:P206)+O207/2," ")</f>
        <v xml:space="preserve"> </v>
      </c>
      <c r="Q207" s="28" t="str" cm="1">
        <f t="array" ref="Q207">IF(Скважина!$L$27=Служебный!$K$2,IF(O207&lt;&gt;" ",IF('Несущая способность по грунту 1'!P207&gt;1,Interpol(9,14,Служебный!$H$33:$H$46,Служебный!$I$32:$Q$32,Служебный!$I$33:$Q$46,'Несущая способность по грунту 1'!P207,IF($I$199&lt;=0.2,0.2,$I$199)),0)," "),0)</f>
        <v xml:space="preserve"> </v>
      </c>
      <c r="R207" s="68" t="str">
        <f t="shared" si="222"/>
        <v xml:space="preserve"> </v>
      </c>
      <c r="S207" s="188"/>
      <c r="T207" s="193"/>
      <c r="U207" s="72" t="str">
        <f t="shared" si="155"/>
        <v xml:space="preserve"> </v>
      </c>
      <c r="V207" s="188"/>
      <c r="AN207" s="353"/>
      <c r="AO207" s="353"/>
      <c r="AP207" s="397"/>
      <c r="AQ207" s="353"/>
      <c r="AR207" s="353"/>
      <c r="AS207" s="397"/>
      <c r="AT207" s="353"/>
      <c r="AU207" s="353"/>
      <c r="AV207" s="397"/>
      <c r="AW207" s="353"/>
      <c r="AX207" s="353"/>
      <c r="AY207" s="397"/>
    </row>
    <row r="208" spans="6:51" ht="15.75" thickBot="1">
      <c r="F208" s="362"/>
      <c r="G208" s="362"/>
      <c r="H208" s="365"/>
      <c r="I208" s="368"/>
      <c r="J208" s="371"/>
      <c r="K208" s="374"/>
      <c r="L208" s="357"/>
      <c r="M208" s="377"/>
      <c r="N208" s="274" t="str">
        <f t="shared" si="216"/>
        <v xml:space="preserve"> </v>
      </c>
      <c r="O208" s="70" t="str">
        <f t="shared" si="221"/>
        <v xml:space="preserve"> </v>
      </c>
      <c r="P208" s="70" t="str">
        <f>IF(N208&lt;&gt;" ",MAX($P$9:P207)+O208/2," ")</f>
        <v xml:space="preserve"> </v>
      </c>
      <c r="Q208" s="70" t="str" cm="1">
        <f t="array" ref="Q208">IF(Скважина!$L$27=Служебный!$K$2,IF(O208&lt;&gt;" ",IF('Несущая способность по грунту 1'!P208&gt;1,Interpol(9,14,Служебный!$H$33:$H$46,Служебный!$I$32:$Q$32,Служебный!$I$33:$Q$46,'Несущая способность по грунту 1'!P208,IF($I$199&lt;=0.2,0.2,$I$199)),0)," "),0)</f>
        <v xml:space="preserve"> </v>
      </c>
      <c r="R208" s="71" t="str">
        <f t="shared" si="222"/>
        <v xml:space="preserve"> </v>
      </c>
      <c r="S208" s="188"/>
      <c r="T208" s="194"/>
      <c r="U208" s="195" t="str">
        <f t="shared" si="155"/>
        <v xml:space="preserve"> </v>
      </c>
      <c r="V208" s="188"/>
      <c r="AN208" s="353"/>
      <c r="AO208" s="353"/>
      <c r="AP208" s="398"/>
      <c r="AQ208" s="353"/>
      <c r="AR208" s="353"/>
      <c r="AS208" s="398"/>
      <c r="AT208" s="353"/>
      <c r="AU208" s="353"/>
      <c r="AV208" s="398"/>
      <c r="AW208" s="353"/>
      <c r="AX208" s="353"/>
      <c r="AY208" s="398"/>
    </row>
    <row r="209" spans="10:10">
      <c r="J209" t="s">
        <v>286</v>
      </c>
    </row>
  </sheetData>
  <mergeCells count="332">
    <mergeCell ref="A46:E46"/>
    <mergeCell ref="A39:E39"/>
    <mergeCell ref="F179:F188"/>
    <mergeCell ref="F189:F198"/>
    <mergeCell ref="F199:F208"/>
    <mergeCell ref="F89:F98"/>
    <mergeCell ref="F99:F108"/>
    <mergeCell ref="F109:F118"/>
    <mergeCell ref="F119:F128"/>
    <mergeCell ref="F129:F138"/>
    <mergeCell ref="F139:F148"/>
    <mergeCell ref="F149:F158"/>
    <mergeCell ref="F159:F168"/>
    <mergeCell ref="F169:F178"/>
    <mergeCell ref="AN7:AY7"/>
    <mergeCell ref="F9:F18"/>
    <mergeCell ref="F19:F28"/>
    <mergeCell ref="F29:F38"/>
    <mergeCell ref="F39:F48"/>
    <mergeCell ref="F49:F58"/>
    <mergeCell ref="F59:F68"/>
    <mergeCell ref="F69:F78"/>
    <mergeCell ref="F79:F88"/>
    <mergeCell ref="AW9:AW18"/>
    <mergeCell ref="AX9:AX18"/>
    <mergeCell ref="AW19:AW28"/>
    <mergeCell ref="AX19:AX28"/>
    <mergeCell ref="AW29:AW38"/>
    <mergeCell ref="AX29:AX38"/>
    <mergeCell ref="AW39:AW48"/>
    <mergeCell ref="AX39:AX48"/>
    <mergeCell ref="AW49:AW58"/>
    <mergeCell ref="AX49:AX58"/>
    <mergeCell ref="AW59:AW68"/>
    <mergeCell ref="AX59:AX68"/>
    <mergeCell ref="AW69:AW78"/>
    <mergeCell ref="AX69:AX78"/>
    <mergeCell ref="AW79:AW88"/>
    <mergeCell ref="AN189:AN198"/>
    <mergeCell ref="AO189:AO198"/>
    <mergeCell ref="AQ189:AQ198"/>
    <mergeCell ref="AR189:AR198"/>
    <mergeCell ref="AT189:AT198"/>
    <mergeCell ref="AU189:AU198"/>
    <mergeCell ref="AW189:AW198"/>
    <mergeCell ref="AX189:AX198"/>
    <mergeCell ref="AN199:AN208"/>
    <mergeCell ref="AO199:AO208"/>
    <mergeCell ref="AQ199:AQ208"/>
    <mergeCell ref="AR199:AR208"/>
    <mergeCell ref="AT199:AT208"/>
    <mergeCell ref="AU199:AU208"/>
    <mergeCell ref="AW199:AW208"/>
    <mergeCell ref="AX199:AX208"/>
    <mergeCell ref="AP9:AP208"/>
    <mergeCell ref="AS9:AS208"/>
    <mergeCell ref="AV9:AV208"/>
    <mergeCell ref="AN169:AN178"/>
    <mergeCell ref="AO169:AO178"/>
    <mergeCell ref="AQ169:AQ178"/>
    <mergeCell ref="AR169:AR178"/>
    <mergeCell ref="AT169:AT178"/>
    <mergeCell ref="AU169:AU178"/>
    <mergeCell ref="AW169:AW178"/>
    <mergeCell ref="AX169:AX178"/>
    <mergeCell ref="AN179:AN188"/>
    <mergeCell ref="AO179:AO188"/>
    <mergeCell ref="AQ179:AQ188"/>
    <mergeCell ref="AR179:AR188"/>
    <mergeCell ref="AT179:AT188"/>
    <mergeCell ref="AU179:AU188"/>
    <mergeCell ref="AW179:AW188"/>
    <mergeCell ref="AX179:AX188"/>
    <mergeCell ref="AN149:AN158"/>
    <mergeCell ref="AO149:AO158"/>
    <mergeCell ref="AQ149:AQ158"/>
    <mergeCell ref="AR149:AR158"/>
    <mergeCell ref="AT149:AT158"/>
    <mergeCell ref="AU149:AU158"/>
    <mergeCell ref="AW149:AW158"/>
    <mergeCell ref="AX149:AX158"/>
    <mergeCell ref="AN159:AN168"/>
    <mergeCell ref="AO159:AO168"/>
    <mergeCell ref="AQ159:AQ168"/>
    <mergeCell ref="AR159:AR168"/>
    <mergeCell ref="AT159:AT168"/>
    <mergeCell ref="AU159:AU168"/>
    <mergeCell ref="AW159:AW168"/>
    <mergeCell ref="AX159:AX168"/>
    <mergeCell ref="AN129:AN138"/>
    <mergeCell ref="AO129:AO138"/>
    <mergeCell ref="AQ129:AQ138"/>
    <mergeCell ref="AR129:AR138"/>
    <mergeCell ref="AT129:AT138"/>
    <mergeCell ref="AU129:AU138"/>
    <mergeCell ref="AW129:AW138"/>
    <mergeCell ref="AX129:AX138"/>
    <mergeCell ref="AN139:AN148"/>
    <mergeCell ref="AO139:AO148"/>
    <mergeCell ref="AQ139:AQ148"/>
    <mergeCell ref="AR139:AR148"/>
    <mergeCell ref="AT139:AT148"/>
    <mergeCell ref="AU139:AU148"/>
    <mergeCell ref="AW139:AW148"/>
    <mergeCell ref="AX139:AX148"/>
    <mergeCell ref="AN109:AN118"/>
    <mergeCell ref="AO109:AO118"/>
    <mergeCell ref="AQ109:AQ118"/>
    <mergeCell ref="AR109:AR118"/>
    <mergeCell ref="AT109:AT118"/>
    <mergeCell ref="AU109:AU118"/>
    <mergeCell ref="AW109:AW118"/>
    <mergeCell ref="AX109:AX118"/>
    <mergeCell ref="AN119:AN128"/>
    <mergeCell ref="AO119:AO128"/>
    <mergeCell ref="AQ119:AQ128"/>
    <mergeCell ref="AR119:AR128"/>
    <mergeCell ref="AT119:AT128"/>
    <mergeCell ref="AU119:AU128"/>
    <mergeCell ref="AW119:AW128"/>
    <mergeCell ref="AX119:AX128"/>
    <mergeCell ref="AN89:AN98"/>
    <mergeCell ref="AO89:AO98"/>
    <mergeCell ref="AQ89:AQ98"/>
    <mergeCell ref="AR89:AR98"/>
    <mergeCell ref="AT89:AT98"/>
    <mergeCell ref="AU89:AU98"/>
    <mergeCell ref="AW89:AW98"/>
    <mergeCell ref="AX89:AX98"/>
    <mergeCell ref="AN99:AN108"/>
    <mergeCell ref="AO99:AO108"/>
    <mergeCell ref="AQ99:AQ108"/>
    <mergeCell ref="AR99:AR108"/>
    <mergeCell ref="AT99:AT108"/>
    <mergeCell ref="AU99:AU108"/>
    <mergeCell ref="AW99:AW108"/>
    <mergeCell ref="AX99:AX108"/>
    <mergeCell ref="G189:G198"/>
    <mergeCell ref="H189:H198"/>
    <mergeCell ref="I189:I198"/>
    <mergeCell ref="J189:J198"/>
    <mergeCell ref="K189:K198"/>
    <mergeCell ref="L189:L198"/>
    <mergeCell ref="M189:M198"/>
    <mergeCell ref="G199:G208"/>
    <mergeCell ref="H199:H208"/>
    <mergeCell ref="I199:I208"/>
    <mergeCell ref="J199:J208"/>
    <mergeCell ref="K199:K208"/>
    <mergeCell ref="L199:L208"/>
    <mergeCell ref="M199:M208"/>
    <mergeCell ref="G169:G178"/>
    <mergeCell ref="H169:H178"/>
    <mergeCell ref="I169:I178"/>
    <mergeCell ref="J169:J178"/>
    <mergeCell ref="K169:K178"/>
    <mergeCell ref="L169:L178"/>
    <mergeCell ref="M169:M178"/>
    <mergeCell ref="G179:G188"/>
    <mergeCell ref="H179:H188"/>
    <mergeCell ref="I179:I188"/>
    <mergeCell ref="J179:J188"/>
    <mergeCell ref="K179:K188"/>
    <mergeCell ref="L179:L188"/>
    <mergeCell ref="M179:M188"/>
    <mergeCell ref="G149:G158"/>
    <mergeCell ref="H149:H158"/>
    <mergeCell ref="I149:I158"/>
    <mergeCell ref="J149:J158"/>
    <mergeCell ref="K149:K158"/>
    <mergeCell ref="L149:L158"/>
    <mergeCell ref="M149:M158"/>
    <mergeCell ref="G159:G168"/>
    <mergeCell ref="H159:H168"/>
    <mergeCell ref="I159:I168"/>
    <mergeCell ref="J159:J168"/>
    <mergeCell ref="K159:K168"/>
    <mergeCell ref="L159:L168"/>
    <mergeCell ref="M159:M168"/>
    <mergeCell ref="G129:G138"/>
    <mergeCell ref="H129:H138"/>
    <mergeCell ref="I129:I138"/>
    <mergeCell ref="J129:J138"/>
    <mergeCell ref="K129:K138"/>
    <mergeCell ref="L129:L138"/>
    <mergeCell ref="M129:M138"/>
    <mergeCell ref="G139:G148"/>
    <mergeCell ref="H139:H148"/>
    <mergeCell ref="I139:I148"/>
    <mergeCell ref="J139:J148"/>
    <mergeCell ref="K139:K148"/>
    <mergeCell ref="L139:L148"/>
    <mergeCell ref="M139:M148"/>
    <mergeCell ref="G109:G118"/>
    <mergeCell ref="H109:H118"/>
    <mergeCell ref="I109:I118"/>
    <mergeCell ref="J109:J118"/>
    <mergeCell ref="K109:K118"/>
    <mergeCell ref="L109:L118"/>
    <mergeCell ref="M109:M118"/>
    <mergeCell ref="G119:G128"/>
    <mergeCell ref="H119:H128"/>
    <mergeCell ref="I119:I128"/>
    <mergeCell ref="J119:J128"/>
    <mergeCell ref="K119:K128"/>
    <mergeCell ref="L119:L128"/>
    <mergeCell ref="M119:M128"/>
    <mergeCell ref="I99:I108"/>
    <mergeCell ref="J99:J108"/>
    <mergeCell ref="K99:K108"/>
    <mergeCell ref="L99:L108"/>
    <mergeCell ref="M99:M108"/>
    <mergeCell ref="G89:G98"/>
    <mergeCell ref="H89:H98"/>
    <mergeCell ref="I89:I98"/>
    <mergeCell ref="J89:J98"/>
    <mergeCell ref="K89:K98"/>
    <mergeCell ref="D34:E34"/>
    <mergeCell ref="AX79:AX88"/>
    <mergeCell ref="AY9:AY208"/>
    <mergeCell ref="T7:V7"/>
    <mergeCell ref="AN9:AN18"/>
    <mergeCell ref="AN19:AN28"/>
    <mergeCell ref="AN29:AN38"/>
    <mergeCell ref="AN39:AN48"/>
    <mergeCell ref="AN49:AN58"/>
    <mergeCell ref="AN59:AN68"/>
    <mergeCell ref="AN69:AN78"/>
    <mergeCell ref="K29:K38"/>
    <mergeCell ref="L29:L38"/>
    <mergeCell ref="M29:M38"/>
    <mergeCell ref="G19:G28"/>
    <mergeCell ref="H19:H28"/>
    <mergeCell ref="I19:I28"/>
    <mergeCell ref="J19:J28"/>
    <mergeCell ref="K19:K28"/>
    <mergeCell ref="G49:G58"/>
    <mergeCell ref="L89:L98"/>
    <mergeCell ref="M89:M98"/>
    <mergeCell ref="G99:G108"/>
    <mergeCell ref="H99:H108"/>
    <mergeCell ref="G79:G88"/>
    <mergeCell ref="H79:H88"/>
    <mergeCell ref="I79:I88"/>
    <mergeCell ref="J79:J88"/>
    <mergeCell ref="K79:K88"/>
    <mergeCell ref="I59:I68"/>
    <mergeCell ref="J59:J68"/>
    <mergeCell ref="K59:K68"/>
    <mergeCell ref="H69:H78"/>
    <mergeCell ref="I69:I78"/>
    <mergeCell ref="J69:J78"/>
    <mergeCell ref="K69:K78"/>
    <mergeCell ref="AO79:AO88"/>
    <mergeCell ref="AN79:AN88"/>
    <mergeCell ref="L79:L88"/>
    <mergeCell ref="M59:M68"/>
    <mergeCell ref="G69:G78"/>
    <mergeCell ref="A13:B16"/>
    <mergeCell ref="A17:B17"/>
    <mergeCell ref="A23:B25"/>
    <mergeCell ref="M9:M18"/>
    <mergeCell ref="L9:L18"/>
    <mergeCell ref="K9:K18"/>
    <mergeCell ref="J9:J18"/>
    <mergeCell ref="I9:I18"/>
    <mergeCell ref="H9:H18"/>
    <mergeCell ref="G9:G18"/>
    <mergeCell ref="M19:M28"/>
    <mergeCell ref="G29:G38"/>
    <mergeCell ref="H29:H38"/>
    <mergeCell ref="I29:I38"/>
    <mergeCell ref="J29:J38"/>
    <mergeCell ref="L19:L28"/>
    <mergeCell ref="M79:M88"/>
    <mergeCell ref="L69:L78"/>
    <mergeCell ref="M69:M78"/>
    <mergeCell ref="L59:L68"/>
    <mergeCell ref="M39:M48"/>
    <mergeCell ref="L49:L58"/>
    <mergeCell ref="G39:G48"/>
    <mergeCell ref="H39:H48"/>
    <mergeCell ref="I39:I48"/>
    <mergeCell ref="J39:J48"/>
    <mergeCell ref="K39:K48"/>
    <mergeCell ref="L39:L48"/>
    <mergeCell ref="G59:G68"/>
    <mergeCell ref="H59:H68"/>
    <mergeCell ref="H49:H58"/>
    <mergeCell ref="I49:I58"/>
    <mergeCell ref="J49:J58"/>
    <mergeCell ref="K49:K58"/>
    <mergeCell ref="AT9:AT18"/>
    <mergeCell ref="AT19:AT28"/>
    <mergeCell ref="AT29:AT38"/>
    <mergeCell ref="AT39:AT48"/>
    <mergeCell ref="AT49:AT58"/>
    <mergeCell ref="AT59:AT68"/>
    <mergeCell ref="AT69:AT78"/>
    <mergeCell ref="AR29:AR38"/>
    <mergeCell ref="M49:M58"/>
    <mergeCell ref="AO9:AO18"/>
    <mergeCell ref="AO19:AO28"/>
    <mergeCell ref="AO29:AO38"/>
    <mergeCell ref="AO39:AO48"/>
    <mergeCell ref="AO49:AO58"/>
    <mergeCell ref="AO59:AO68"/>
    <mergeCell ref="AO69:AO78"/>
    <mergeCell ref="AT79:AT88"/>
    <mergeCell ref="AU79:AU88"/>
    <mergeCell ref="AU69:AU78"/>
    <mergeCell ref="AU29:AU38"/>
    <mergeCell ref="AU19:AU28"/>
    <mergeCell ref="AU9:AU18"/>
    <mergeCell ref="AR59:AR68"/>
    <mergeCell ref="AU59:AU68"/>
    <mergeCell ref="AQ49:AQ58"/>
    <mergeCell ref="AR49:AR58"/>
    <mergeCell ref="AU49:AU58"/>
    <mergeCell ref="AQ39:AQ48"/>
    <mergeCell ref="AQ19:AQ28"/>
    <mergeCell ref="AR19:AR28"/>
    <mergeCell ref="AQ9:AQ18"/>
    <mergeCell ref="AR9:AR18"/>
    <mergeCell ref="AR39:AR48"/>
    <mergeCell ref="AU39:AU48"/>
    <mergeCell ref="AQ79:AQ88"/>
    <mergeCell ref="AR79:AR88"/>
    <mergeCell ref="AQ69:AQ78"/>
    <mergeCell ref="AR69:AR78"/>
    <mergeCell ref="AQ59:AQ68"/>
    <mergeCell ref="AQ29:AQ38"/>
  </mergeCells>
  <conditionalFormatting sqref="Q9:Q208">
    <cfRule type="expression" dxfId="54" priority="51">
      <formula>$N9&lt;&gt;" "</formula>
    </cfRule>
  </conditionalFormatting>
  <conditionalFormatting sqref="M9:M18">
    <cfRule type="expression" dxfId="53" priority="50">
      <formula>$L9&lt;&gt;0</formula>
    </cfRule>
  </conditionalFormatting>
  <conditionalFormatting sqref="T9:T208">
    <cfRule type="expression" dxfId="52" priority="26">
      <formula>$N9&lt;&gt;" "</formula>
    </cfRule>
  </conditionalFormatting>
  <conditionalFormatting sqref="F9:G208">
    <cfRule type="cellIs" dxfId="51" priority="25" operator="equal">
      <formula>0</formula>
    </cfRule>
  </conditionalFormatting>
  <conditionalFormatting sqref="H9:L18 K19:K208 I19:I208">
    <cfRule type="expression" dxfId="50" priority="24">
      <formula>$G9=0</formula>
    </cfRule>
  </conditionalFormatting>
  <conditionalFormatting sqref="L19:L208 H19:H208 J19:J208">
    <cfRule type="expression" dxfId="49" priority="23">
      <formula>$G19=0</formula>
    </cfRule>
  </conditionalFormatting>
  <conditionalFormatting sqref="M19:M208">
    <cfRule type="expression" dxfId="48" priority="22">
      <formula>$L19&lt;&gt;0</formula>
    </cfRule>
  </conditionalFormatting>
  <pageMargins left="0.7" right="0.7" top="0.75" bottom="0.75" header="0.3" footer="0.3"/>
  <pageSetup paperSize="9" scale="15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Служебный!$A$7:$A$27</xm:f>
          </x14:formula1>
          <xm:sqref>B12:D12</xm:sqref>
        </x14:dataValidation>
        <x14:dataValidation type="list" allowBlank="1" showInputMessage="1" showErrorMessage="1" xr:uid="{00000000-0002-0000-0200-000001000000}">
          <x14:formula1>
            <xm:f>Служебный!$G$2:$G$3</xm:f>
          </x14:formula1>
          <xm:sqref>C27</xm:sqref>
        </x14:dataValidation>
        <x14:dataValidation type="list" allowBlank="1" showInputMessage="1" showErrorMessage="1" xr:uid="{C07AAD57-31D0-4C90-8E6D-F0442D493759}">
          <x14:formula1>
            <xm:f>Служебный!$B$97:$B$100</xm:f>
          </x14:formula1>
          <xm:sqref>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9" tint="0.59999389629810485"/>
  </sheetPr>
  <dimension ref="E2:Q268"/>
  <sheetViews>
    <sheetView topLeftCell="D1" workbookViewId="0">
      <selection activeCell="N3" sqref="N3"/>
    </sheetView>
  </sheetViews>
  <sheetFormatPr defaultRowHeight="15"/>
  <cols>
    <col min="7" max="7" width="11" bestFit="1" customWidth="1"/>
    <col min="8" max="8" width="34.140625" customWidth="1"/>
    <col min="10" max="10" width="10.7109375" customWidth="1"/>
    <col min="11" max="11" width="12" customWidth="1"/>
    <col min="12" max="12" width="12.140625" customWidth="1"/>
  </cols>
  <sheetData>
    <row r="2" spans="5:17" ht="18.75">
      <c r="E2" s="114" t="s">
        <v>153</v>
      </c>
      <c r="F2" s="115"/>
      <c r="G2" s="341"/>
      <c r="H2" s="341"/>
      <c r="I2" s="32"/>
      <c r="J2" s="32"/>
      <c r="K2" s="32"/>
      <c r="L2" s="32"/>
    </row>
    <row r="3" spans="5:17">
      <c r="E3" s="116" t="s">
        <v>154</v>
      </c>
      <c r="F3" s="117"/>
      <c r="G3" s="49"/>
      <c r="H3" s="49"/>
    </row>
    <row r="4" spans="5:17" ht="15.75">
      <c r="E4" s="118" t="s">
        <v>157</v>
      </c>
      <c r="F4" s="118"/>
      <c r="H4" s="29"/>
    </row>
    <row r="5" spans="5:17" ht="15.75">
      <c r="H5" s="29" t="s">
        <v>57</v>
      </c>
      <c r="I5" s="340">
        <f>Скважина!C7</f>
        <v>1514</v>
      </c>
    </row>
    <row r="7" spans="5:17" ht="19.5" thickBot="1">
      <c r="G7" s="32" t="str">
        <f>CONCATENATE("Определение коэффициента постели по боковой поверхности сваи по скважине № ",I$5)</f>
        <v>Определение коэффициента постели по боковой поверхности сваи по скважине № 1514</v>
      </c>
      <c r="H7" s="30"/>
      <c r="I7" s="30"/>
      <c r="J7" s="30"/>
      <c r="K7" s="30"/>
      <c r="L7" s="30"/>
      <c r="M7" s="30"/>
      <c r="N7" s="30"/>
      <c r="O7" s="30"/>
      <c r="P7" s="30"/>
      <c r="Q7" s="30"/>
    </row>
    <row r="8" spans="5:17" ht="48" thickBot="1">
      <c r="G8" s="73" t="s">
        <v>31</v>
      </c>
      <c r="H8" s="74" t="s">
        <v>32</v>
      </c>
      <c r="I8" s="74" t="s">
        <v>209</v>
      </c>
      <c r="J8" s="74" t="s">
        <v>33</v>
      </c>
      <c r="K8" s="74" t="s">
        <v>34</v>
      </c>
      <c r="L8" s="74" t="s">
        <v>35</v>
      </c>
      <c r="M8" s="74" t="s">
        <v>55</v>
      </c>
      <c r="N8" s="75" t="s">
        <v>36</v>
      </c>
      <c r="O8" s="74" t="s">
        <v>58</v>
      </c>
      <c r="P8" s="74" t="s">
        <v>59</v>
      </c>
      <c r="Q8" s="74" t="s">
        <v>320</v>
      </c>
    </row>
    <row r="9" spans="5:17">
      <c r="G9" s="404">
        <f>'Несущая способность по грунту 1'!G9</f>
        <v>1</v>
      </c>
      <c r="H9" s="388" t="str">
        <f>VLOOKUP(G9,Геология!$D$7:$BO$993,7,FALSE)</f>
        <v>Насыпные грунты    с вкл. строительного мусора</v>
      </c>
      <c r="I9" s="407">
        <f>VLOOKUP(G9,Геология!$D$7:$BO$993,25,FALSE)</f>
        <v>4000</v>
      </c>
      <c r="J9" s="409">
        <f>'Несущая способность по грунту 1'!J9</f>
        <v>139.4</v>
      </c>
      <c r="K9" s="409">
        <f>'Несущая способность по грунту 1'!K9</f>
        <v>136</v>
      </c>
      <c r="L9" s="413">
        <f>IF(IF(G9&lt;&gt;0,J9-K9,0)&lt;0,0,IF(G9&lt;&gt;0,J9-K9,0))</f>
        <v>3.4000000000000057</v>
      </c>
      <c r="M9" s="392">
        <v>2</v>
      </c>
      <c r="N9" s="101">
        <f>IF(G9&lt;&gt;0,1,0)</f>
        <v>1</v>
      </c>
      <c r="O9" s="34">
        <f>IF(N9&lt;&gt;" ",L$9/COUNT(N$9:N$18), " ")</f>
        <v>1.7000000000000028</v>
      </c>
      <c r="P9" s="34">
        <f>O9/2</f>
        <v>0.85000000000000142</v>
      </c>
      <c r="Q9" s="34">
        <f>IF(O9&lt;&gt;" ",P9*$I$9," ")</f>
        <v>3400.0000000000055</v>
      </c>
    </row>
    <row r="10" spans="5:17">
      <c r="G10" s="405"/>
      <c r="H10" s="364"/>
      <c r="I10" s="407"/>
      <c r="J10" s="410"/>
      <c r="K10" s="410"/>
      <c r="L10" s="413"/>
      <c r="M10" s="376"/>
      <c r="N10" s="100">
        <f>IF(N9=" "," ", IF(N9&lt;M$9,N9+1, " "))</f>
        <v>2</v>
      </c>
      <c r="O10" s="28">
        <f t="shared" ref="O10:O18" si="0">IF(N10&lt;&gt;" ",L$9/COUNT(N$9:N$18), " ")</f>
        <v>1.7000000000000028</v>
      </c>
      <c r="P10" s="28">
        <f>IF(N10&lt;&gt;" ",SUM(O$9:O9)+O10/2," ")</f>
        <v>2.5500000000000043</v>
      </c>
      <c r="Q10" s="28">
        <f t="shared" ref="Q10:Q18" si="1">IF(O10&lt;&gt;" ",P10*$I$9," ")</f>
        <v>10200.000000000016</v>
      </c>
    </row>
    <row r="11" spans="5:17">
      <c r="G11" s="405"/>
      <c r="H11" s="364"/>
      <c r="I11" s="407"/>
      <c r="J11" s="410"/>
      <c r="K11" s="410"/>
      <c r="L11" s="413"/>
      <c r="M11" s="376"/>
      <c r="N11" s="100" t="str">
        <f t="shared" ref="N11:N18" si="2">IF(N10=" "," ", IF(N10&lt;M$9,N10+1, " "))</f>
        <v xml:space="preserve"> </v>
      </c>
      <c r="O11" s="28" t="str">
        <f t="shared" si="0"/>
        <v xml:space="preserve"> </v>
      </c>
      <c r="P11" s="28" t="str">
        <f>IF(N11&lt;&gt;" ",SUM(O$9:O10)+O11/2," ")</f>
        <v xml:space="preserve"> </v>
      </c>
      <c r="Q11" s="28" t="str">
        <f t="shared" si="1"/>
        <v xml:space="preserve"> </v>
      </c>
    </row>
    <row r="12" spans="5:17">
      <c r="G12" s="405"/>
      <c r="H12" s="364"/>
      <c r="I12" s="407"/>
      <c r="J12" s="410"/>
      <c r="K12" s="410"/>
      <c r="L12" s="413"/>
      <c r="M12" s="376"/>
      <c r="N12" s="100" t="str">
        <f t="shared" si="2"/>
        <v xml:space="preserve"> </v>
      </c>
      <c r="O12" s="28" t="str">
        <f t="shared" si="0"/>
        <v xml:space="preserve"> </v>
      </c>
      <c r="P12" s="28" t="str">
        <f>IF(N12&lt;&gt;" ",SUM(O$9:O11)+O12/2," ")</f>
        <v xml:space="preserve"> </v>
      </c>
      <c r="Q12" s="28" t="str">
        <f t="shared" si="1"/>
        <v xml:space="preserve"> </v>
      </c>
    </row>
    <row r="13" spans="5:17">
      <c r="G13" s="405"/>
      <c r="H13" s="364"/>
      <c r="I13" s="407"/>
      <c r="J13" s="410"/>
      <c r="K13" s="410"/>
      <c r="L13" s="413"/>
      <c r="M13" s="376"/>
      <c r="N13" s="100" t="str">
        <f t="shared" si="2"/>
        <v xml:space="preserve"> </v>
      </c>
      <c r="O13" s="28" t="str">
        <f t="shared" si="0"/>
        <v xml:space="preserve"> </v>
      </c>
      <c r="P13" s="28" t="str">
        <f>IF(N13&lt;&gt;" ",SUM(O$9:O12)+O13/2," ")</f>
        <v xml:space="preserve"> </v>
      </c>
      <c r="Q13" s="28" t="str">
        <f t="shared" si="1"/>
        <v xml:space="preserve"> </v>
      </c>
    </row>
    <row r="14" spans="5:17">
      <c r="G14" s="405"/>
      <c r="H14" s="364"/>
      <c r="I14" s="407"/>
      <c r="J14" s="410"/>
      <c r="K14" s="410"/>
      <c r="L14" s="413"/>
      <c r="M14" s="376"/>
      <c r="N14" s="100" t="str">
        <f t="shared" si="2"/>
        <v xml:space="preserve"> </v>
      </c>
      <c r="O14" s="28" t="str">
        <f t="shared" si="0"/>
        <v xml:space="preserve"> </v>
      </c>
      <c r="P14" s="28" t="str">
        <f>IF(N14&lt;&gt;" ",SUM(O$9:O13)+O14/2," ")</f>
        <v xml:space="preserve"> </v>
      </c>
      <c r="Q14" s="28" t="str">
        <f t="shared" si="1"/>
        <v xml:space="preserve"> </v>
      </c>
    </row>
    <row r="15" spans="5:17">
      <c r="G15" s="405"/>
      <c r="H15" s="364"/>
      <c r="I15" s="407"/>
      <c r="J15" s="410"/>
      <c r="K15" s="410"/>
      <c r="L15" s="413"/>
      <c r="M15" s="376"/>
      <c r="N15" s="100" t="str">
        <f t="shared" si="2"/>
        <v xml:space="preserve"> </v>
      </c>
      <c r="O15" s="28" t="str">
        <f t="shared" si="0"/>
        <v xml:space="preserve"> </v>
      </c>
      <c r="P15" s="28" t="str">
        <f>IF(N15&lt;&gt;" ",SUM(O$9:O14)+O15/2," ")</f>
        <v xml:space="preserve"> </v>
      </c>
      <c r="Q15" s="28" t="str">
        <f t="shared" si="1"/>
        <v xml:space="preserve"> </v>
      </c>
    </row>
    <row r="16" spans="5:17">
      <c r="G16" s="405"/>
      <c r="H16" s="364"/>
      <c r="I16" s="407"/>
      <c r="J16" s="410"/>
      <c r="K16" s="410"/>
      <c r="L16" s="413"/>
      <c r="M16" s="376"/>
      <c r="N16" s="100" t="str">
        <f t="shared" si="2"/>
        <v xml:space="preserve"> </v>
      </c>
      <c r="O16" s="28" t="str">
        <f t="shared" si="0"/>
        <v xml:space="preserve"> </v>
      </c>
      <c r="P16" s="28" t="str">
        <f>IF(N16&lt;&gt;" ",SUM(O$9:O15)+O16/2," ")</f>
        <v xml:space="preserve"> </v>
      </c>
      <c r="Q16" s="28" t="str">
        <f t="shared" si="1"/>
        <v xml:space="preserve"> </v>
      </c>
    </row>
    <row r="17" spans="7:17">
      <c r="G17" s="405"/>
      <c r="H17" s="364"/>
      <c r="I17" s="407"/>
      <c r="J17" s="410"/>
      <c r="K17" s="410"/>
      <c r="L17" s="413"/>
      <c r="M17" s="376"/>
      <c r="N17" s="100" t="str">
        <f t="shared" si="2"/>
        <v xml:space="preserve"> </v>
      </c>
      <c r="O17" s="28" t="str">
        <f t="shared" si="0"/>
        <v xml:space="preserve"> </v>
      </c>
      <c r="P17" s="28" t="str">
        <f>IF(N17&lt;&gt;" ",SUM(O$9:O16)+O17/2," ")</f>
        <v xml:space="preserve"> </v>
      </c>
      <c r="Q17" s="28" t="str">
        <f t="shared" si="1"/>
        <v xml:space="preserve"> </v>
      </c>
    </row>
    <row r="18" spans="7:17" ht="15.75" thickBot="1">
      <c r="G18" s="406"/>
      <c r="H18" s="365"/>
      <c r="I18" s="408"/>
      <c r="J18" s="411"/>
      <c r="K18" s="411"/>
      <c r="L18" s="414"/>
      <c r="M18" s="377"/>
      <c r="N18" s="69" t="str">
        <f t="shared" si="2"/>
        <v xml:space="preserve"> </v>
      </c>
      <c r="O18" s="70" t="str">
        <f t="shared" si="0"/>
        <v xml:space="preserve"> </v>
      </c>
      <c r="P18" s="70" t="str">
        <f>IF(N18&lt;&gt;" ",SUM(O$9:O17)+O18/2," ")</f>
        <v xml:space="preserve"> </v>
      </c>
      <c r="Q18" s="70" t="str">
        <f t="shared" si="1"/>
        <v xml:space="preserve"> </v>
      </c>
    </row>
    <row r="19" spans="7:17" ht="15" customHeight="1">
      <c r="G19" s="404">
        <f>'Несущая способность по грунту 1'!G19</f>
        <v>2</v>
      </c>
      <c r="H19" s="388" t="str">
        <f>VLOOKUP(G19,Геология!$D$7:$BO$993,7,FALSE)</f>
        <v xml:space="preserve">Пески мелкие водонасыщенные средней плотности </v>
      </c>
      <c r="I19" s="407">
        <f>VLOOKUP(G19,Геология!$D$7:$BO$993,25,FALSE)</f>
        <v>4950</v>
      </c>
      <c r="J19" s="363">
        <f>IF(L9&lt;&gt;0,K9,J9)</f>
        <v>136</v>
      </c>
      <c r="K19" s="409">
        <f>'Несущая способность по грунту 1'!K19</f>
        <v>134.6</v>
      </c>
      <c r="L19" s="412">
        <f>IF(IF(G19&lt;&gt;0,J19-K19,0)&lt;0,0,IF(G19&lt;&gt;0,J19-K19,0))</f>
        <v>1.4000000000000057</v>
      </c>
      <c r="M19" s="375">
        <v>3</v>
      </c>
      <c r="N19" s="65">
        <f>IF(M19&lt;&gt;0,MAX(N$9:N$18)+1," ")</f>
        <v>3</v>
      </c>
      <c r="O19" s="66">
        <f>IF(N19&lt;&gt;" ",L$19/COUNT(N$19:N$28), " ")</f>
        <v>0.46666666666666856</v>
      </c>
      <c r="P19" s="66">
        <f>IF(N19&lt;&gt;" ",SUM(O$9:O18)+O19/2," ")</f>
        <v>3.63333333333334</v>
      </c>
      <c r="Q19" s="66">
        <f>IF(O19&lt;&gt;" ",P19*$I$19," ")</f>
        <v>17985.000000000033</v>
      </c>
    </row>
    <row r="20" spans="7:17">
      <c r="G20" s="405"/>
      <c r="H20" s="364"/>
      <c r="I20" s="407"/>
      <c r="J20" s="364"/>
      <c r="K20" s="410"/>
      <c r="L20" s="413"/>
      <c r="M20" s="376"/>
      <c r="N20" s="100">
        <f>IF(N19=" "," ", IF(N19&lt;SUM(M$9:M$28),N19+1, " "))</f>
        <v>4</v>
      </c>
      <c r="O20" s="28">
        <f t="shared" ref="O20:O28" si="3">IF(N20&lt;&gt;" ",L$19/COUNT(N$19:N$28), " ")</f>
        <v>0.46666666666666856</v>
      </c>
      <c r="P20" s="28">
        <f>IF(N20&lt;&gt;" ",SUM(O$9:O19)+O20/2," ")</f>
        <v>4.1000000000000085</v>
      </c>
      <c r="Q20" s="28">
        <f t="shared" ref="Q20:Q28" si="4">IF(O20&lt;&gt;" ",P20*$I$19," ")</f>
        <v>20295.000000000044</v>
      </c>
    </row>
    <row r="21" spans="7:17">
      <c r="G21" s="405"/>
      <c r="H21" s="364"/>
      <c r="I21" s="407"/>
      <c r="J21" s="364"/>
      <c r="K21" s="410"/>
      <c r="L21" s="413"/>
      <c r="M21" s="376"/>
      <c r="N21" s="100">
        <f t="shared" ref="N21:N28" si="5">IF(N20=" "," ", IF(N20&lt;SUM(M$9:M$28),N20+1, " "))</f>
        <v>5</v>
      </c>
      <c r="O21" s="28">
        <f t="shared" si="3"/>
        <v>0.46666666666666856</v>
      </c>
      <c r="P21" s="28">
        <f>IF(N21&lt;&gt;" ",SUM(O$9:O20)+O21/2," ")</f>
        <v>4.5666666666666771</v>
      </c>
      <c r="Q21" s="28">
        <f t="shared" si="4"/>
        <v>22605.000000000051</v>
      </c>
    </row>
    <row r="22" spans="7:17">
      <c r="G22" s="405"/>
      <c r="H22" s="364"/>
      <c r="I22" s="407"/>
      <c r="J22" s="364"/>
      <c r="K22" s="410"/>
      <c r="L22" s="413"/>
      <c r="M22" s="376"/>
      <c r="N22" s="100" t="str">
        <f t="shared" si="5"/>
        <v xml:space="preserve"> </v>
      </c>
      <c r="O22" s="28" t="str">
        <f t="shared" si="3"/>
        <v xml:space="preserve"> </v>
      </c>
      <c r="P22" s="28" t="str">
        <f>IF(N22&lt;&gt;" ",SUM(O$9:O21)+O22/2," ")</f>
        <v xml:space="preserve"> </v>
      </c>
      <c r="Q22" s="28" t="str">
        <f t="shared" si="4"/>
        <v xml:space="preserve"> </v>
      </c>
    </row>
    <row r="23" spans="7:17">
      <c r="G23" s="405"/>
      <c r="H23" s="364"/>
      <c r="I23" s="407"/>
      <c r="J23" s="364"/>
      <c r="K23" s="410"/>
      <c r="L23" s="413"/>
      <c r="M23" s="376"/>
      <c r="N23" s="100" t="str">
        <f t="shared" si="5"/>
        <v xml:space="preserve"> </v>
      </c>
      <c r="O23" s="28" t="str">
        <f t="shared" si="3"/>
        <v xml:space="preserve"> </v>
      </c>
      <c r="P23" s="28" t="str">
        <f>IF(N23&lt;&gt;" ",SUM(O$9:O22)+O23/2," ")</f>
        <v xml:space="preserve"> </v>
      </c>
      <c r="Q23" s="28" t="str">
        <f t="shared" si="4"/>
        <v xml:space="preserve"> </v>
      </c>
    </row>
    <row r="24" spans="7:17">
      <c r="G24" s="405"/>
      <c r="H24" s="364"/>
      <c r="I24" s="407"/>
      <c r="J24" s="364"/>
      <c r="K24" s="410"/>
      <c r="L24" s="413"/>
      <c r="M24" s="376"/>
      <c r="N24" s="100" t="str">
        <f t="shared" si="5"/>
        <v xml:space="preserve"> </v>
      </c>
      <c r="O24" s="28" t="str">
        <f t="shared" si="3"/>
        <v xml:space="preserve"> </v>
      </c>
      <c r="P24" s="28" t="str">
        <f>IF(N24&lt;&gt;" ",SUM(O$9:O23)+O24/2," ")</f>
        <v xml:space="preserve"> </v>
      </c>
      <c r="Q24" s="28" t="str">
        <f t="shared" si="4"/>
        <v xml:space="preserve"> </v>
      </c>
    </row>
    <row r="25" spans="7:17">
      <c r="G25" s="405"/>
      <c r="H25" s="364"/>
      <c r="I25" s="407"/>
      <c r="J25" s="364"/>
      <c r="K25" s="410"/>
      <c r="L25" s="413"/>
      <c r="M25" s="376"/>
      <c r="N25" s="100" t="str">
        <f t="shared" si="5"/>
        <v xml:space="preserve"> </v>
      </c>
      <c r="O25" s="28" t="str">
        <f t="shared" si="3"/>
        <v xml:space="preserve"> </v>
      </c>
      <c r="P25" s="28" t="str">
        <f>IF(N25&lt;&gt;" ",SUM(O$9:O24)+O25/2," ")</f>
        <v xml:space="preserve"> </v>
      </c>
      <c r="Q25" s="28" t="str">
        <f t="shared" si="4"/>
        <v xml:space="preserve"> </v>
      </c>
    </row>
    <row r="26" spans="7:17">
      <c r="G26" s="405"/>
      <c r="H26" s="364"/>
      <c r="I26" s="407"/>
      <c r="J26" s="364"/>
      <c r="K26" s="410"/>
      <c r="L26" s="413"/>
      <c r="M26" s="376"/>
      <c r="N26" s="100" t="str">
        <f t="shared" si="5"/>
        <v xml:space="preserve"> </v>
      </c>
      <c r="O26" s="28" t="str">
        <f t="shared" si="3"/>
        <v xml:space="preserve"> </v>
      </c>
      <c r="P26" s="28" t="str">
        <f>IF(N26&lt;&gt;" ",SUM(O$9:O25)+O26/2," ")</f>
        <v xml:space="preserve"> </v>
      </c>
      <c r="Q26" s="28" t="str">
        <f t="shared" si="4"/>
        <v xml:space="preserve"> </v>
      </c>
    </row>
    <row r="27" spans="7:17">
      <c r="G27" s="405"/>
      <c r="H27" s="364"/>
      <c r="I27" s="407"/>
      <c r="J27" s="364"/>
      <c r="K27" s="410"/>
      <c r="L27" s="413"/>
      <c r="M27" s="376"/>
      <c r="N27" s="100" t="str">
        <f t="shared" si="5"/>
        <v xml:space="preserve"> </v>
      </c>
      <c r="O27" s="28" t="str">
        <f t="shared" si="3"/>
        <v xml:space="preserve"> </v>
      </c>
      <c r="P27" s="28" t="str">
        <f>IF(N27&lt;&gt;" ",SUM(O$9:O26)+O27/2," ")</f>
        <v xml:space="preserve"> </v>
      </c>
      <c r="Q27" s="28" t="str">
        <f t="shared" si="4"/>
        <v xml:space="preserve"> </v>
      </c>
    </row>
    <row r="28" spans="7:17" ht="15.75" thickBot="1">
      <c r="G28" s="406"/>
      <c r="H28" s="365"/>
      <c r="I28" s="408"/>
      <c r="J28" s="365"/>
      <c r="K28" s="411"/>
      <c r="L28" s="414"/>
      <c r="M28" s="377"/>
      <c r="N28" s="69" t="str">
        <f t="shared" si="5"/>
        <v xml:space="preserve"> </v>
      </c>
      <c r="O28" s="70" t="str">
        <f t="shared" si="3"/>
        <v xml:space="preserve"> </v>
      </c>
      <c r="P28" s="70" t="str">
        <f>IF(N28&lt;&gt;" ",SUM(O$9:O27)+O28/2," ")</f>
        <v xml:space="preserve"> </v>
      </c>
      <c r="Q28" s="70" t="str">
        <f t="shared" si="4"/>
        <v xml:space="preserve"> </v>
      </c>
    </row>
    <row r="29" spans="7:17">
      <c r="G29" s="404" t="str">
        <f>'Несущая способность по грунту 1'!G29</f>
        <v>5а</v>
      </c>
      <c r="H29" s="388" t="str">
        <f>VLOOKUP(G29,Геология!$D$7:$BO$993,7,FALSE)</f>
        <v xml:space="preserve">Супеси пластичные   </v>
      </c>
      <c r="I29" s="407">
        <f>VLOOKUP(G29,Геология!$D$7:$BO$993,25,FALSE)</f>
        <v>2900</v>
      </c>
      <c r="J29" s="363">
        <f t="shared" ref="J29" si="6">IF(L19&lt;&gt;0,K19,J19)</f>
        <v>134.6</v>
      </c>
      <c r="K29" s="409">
        <f>'Несущая способность по грунту 1'!K29</f>
        <v>133.1</v>
      </c>
      <c r="L29" s="412">
        <f>IF(IF(G29&lt;&gt;0,J29-K29,0)&lt;0,0,IF(G29&lt;&gt;0,J29-K29,0))</f>
        <v>1.5</v>
      </c>
      <c r="M29" s="375">
        <v>2</v>
      </c>
      <c r="N29" s="65">
        <f>IF(M29&lt;&gt;0,MAX(N$9:N$28)+1," ")</f>
        <v>6</v>
      </c>
      <c r="O29" s="66">
        <f>IF(N29&lt;&gt;" ",L$29/COUNT(N$29:N$38), " ")</f>
        <v>0.75</v>
      </c>
      <c r="P29" s="66">
        <f>IF(N29&lt;&gt;" ",SUM(O$9:O28)+O29/2," ")</f>
        <v>5.1750000000000114</v>
      </c>
      <c r="Q29" s="66">
        <f>IF(O29&lt;&gt;" ",P29*$I$29," ")</f>
        <v>15007.500000000033</v>
      </c>
    </row>
    <row r="30" spans="7:17">
      <c r="G30" s="405"/>
      <c r="H30" s="364"/>
      <c r="I30" s="407"/>
      <c r="J30" s="364"/>
      <c r="K30" s="410"/>
      <c r="L30" s="413"/>
      <c r="M30" s="376"/>
      <c r="N30" s="100">
        <f>IF(N29=" "," ", IF(N29&lt;SUM(M$9:M$38),N29+1, " "))</f>
        <v>7</v>
      </c>
      <c r="O30" s="28">
        <f t="shared" ref="O30:O38" si="7">IF(N30&lt;&gt;" ",L$29/COUNT(N$29:N$38), " ")</f>
        <v>0.75</v>
      </c>
      <c r="P30" s="28">
        <f>IF(N30&lt;&gt;" ",SUM(O$9:O29)+O30/2," ")</f>
        <v>5.9250000000000114</v>
      </c>
      <c r="Q30" s="28">
        <f t="shared" ref="Q30:Q38" si="8">IF(O30&lt;&gt;" ",P30*$I$29," ")</f>
        <v>17182.500000000033</v>
      </c>
    </row>
    <row r="31" spans="7:17">
      <c r="G31" s="405"/>
      <c r="H31" s="364"/>
      <c r="I31" s="407"/>
      <c r="J31" s="364"/>
      <c r="K31" s="410"/>
      <c r="L31" s="413"/>
      <c r="M31" s="376"/>
      <c r="N31" s="100" t="str">
        <f t="shared" ref="N31:N38" si="9">IF(N30=" "," ", IF(N30&lt;SUM(M$9:M$38),N30+1, " "))</f>
        <v xml:space="preserve"> </v>
      </c>
      <c r="O31" s="28" t="str">
        <f t="shared" si="7"/>
        <v xml:space="preserve"> </v>
      </c>
      <c r="P31" s="28" t="str">
        <f>IF(N31&lt;&gt;" ",SUM(O$9:O30)+O31/2," ")</f>
        <v xml:space="preserve"> </v>
      </c>
      <c r="Q31" s="28" t="str">
        <f t="shared" si="8"/>
        <v xml:space="preserve"> </v>
      </c>
    </row>
    <row r="32" spans="7:17">
      <c r="G32" s="405"/>
      <c r="H32" s="364"/>
      <c r="I32" s="407"/>
      <c r="J32" s="364"/>
      <c r="K32" s="410"/>
      <c r="L32" s="413"/>
      <c r="M32" s="376"/>
      <c r="N32" s="100" t="str">
        <f t="shared" si="9"/>
        <v xml:space="preserve"> </v>
      </c>
      <c r="O32" s="28" t="str">
        <f t="shared" si="7"/>
        <v xml:space="preserve"> </v>
      </c>
      <c r="P32" s="28" t="str">
        <f>IF(N32&lt;&gt;" ",SUM(O$9:O31)+O32/2," ")</f>
        <v xml:space="preserve"> </v>
      </c>
      <c r="Q32" s="28" t="str">
        <f t="shared" si="8"/>
        <v xml:space="preserve"> </v>
      </c>
    </row>
    <row r="33" spans="7:17">
      <c r="G33" s="405"/>
      <c r="H33" s="364"/>
      <c r="I33" s="407"/>
      <c r="J33" s="364"/>
      <c r="K33" s="410"/>
      <c r="L33" s="413"/>
      <c r="M33" s="376"/>
      <c r="N33" s="100" t="str">
        <f t="shared" si="9"/>
        <v xml:space="preserve"> </v>
      </c>
      <c r="O33" s="28" t="str">
        <f t="shared" si="7"/>
        <v xml:space="preserve"> </v>
      </c>
      <c r="P33" s="28" t="str">
        <f>IF(N33&lt;&gt;" ",SUM(O$9:O32)+O33/2," ")</f>
        <v xml:space="preserve"> </v>
      </c>
      <c r="Q33" s="28" t="str">
        <f t="shared" si="8"/>
        <v xml:space="preserve"> </v>
      </c>
    </row>
    <row r="34" spans="7:17">
      <c r="G34" s="405"/>
      <c r="H34" s="364"/>
      <c r="I34" s="407"/>
      <c r="J34" s="364"/>
      <c r="K34" s="410"/>
      <c r="L34" s="413"/>
      <c r="M34" s="376"/>
      <c r="N34" s="100" t="str">
        <f t="shared" si="9"/>
        <v xml:space="preserve"> </v>
      </c>
      <c r="O34" s="28" t="str">
        <f t="shared" si="7"/>
        <v xml:space="preserve"> </v>
      </c>
      <c r="P34" s="28" t="str">
        <f>IF(N34&lt;&gt;" ",SUM(O$9:O33)+O34/2," ")</f>
        <v xml:space="preserve"> </v>
      </c>
      <c r="Q34" s="28" t="str">
        <f t="shared" si="8"/>
        <v xml:space="preserve"> </v>
      </c>
    </row>
    <row r="35" spans="7:17">
      <c r="G35" s="405"/>
      <c r="H35" s="364"/>
      <c r="I35" s="407"/>
      <c r="J35" s="364"/>
      <c r="K35" s="410"/>
      <c r="L35" s="413"/>
      <c r="M35" s="376"/>
      <c r="N35" s="100" t="str">
        <f t="shared" si="9"/>
        <v xml:space="preserve"> </v>
      </c>
      <c r="O35" s="28" t="str">
        <f t="shared" si="7"/>
        <v xml:space="preserve"> </v>
      </c>
      <c r="P35" s="28" t="str">
        <f>IF(N35&lt;&gt;" ",SUM(O$9:O34)+O35/2," ")</f>
        <v xml:space="preserve"> </v>
      </c>
      <c r="Q35" s="28" t="str">
        <f t="shared" si="8"/>
        <v xml:space="preserve"> </v>
      </c>
    </row>
    <row r="36" spans="7:17">
      <c r="G36" s="405"/>
      <c r="H36" s="364"/>
      <c r="I36" s="407"/>
      <c r="J36" s="364"/>
      <c r="K36" s="410"/>
      <c r="L36" s="413"/>
      <c r="M36" s="376"/>
      <c r="N36" s="100" t="str">
        <f t="shared" si="9"/>
        <v xml:space="preserve"> </v>
      </c>
      <c r="O36" s="28" t="str">
        <f t="shared" si="7"/>
        <v xml:space="preserve"> </v>
      </c>
      <c r="P36" s="28" t="str">
        <f>IF(N36&lt;&gt;" ",SUM(O$9:O35)+O36/2," ")</f>
        <v xml:space="preserve"> </v>
      </c>
      <c r="Q36" s="28" t="str">
        <f t="shared" si="8"/>
        <v xml:space="preserve"> </v>
      </c>
    </row>
    <row r="37" spans="7:17">
      <c r="G37" s="405"/>
      <c r="H37" s="364"/>
      <c r="I37" s="407"/>
      <c r="J37" s="364"/>
      <c r="K37" s="410"/>
      <c r="L37" s="413"/>
      <c r="M37" s="376"/>
      <c r="N37" s="100" t="str">
        <f t="shared" si="9"/>
        <v xml:space="preserve"> </v>
      </c>
      <c r="O37" s="28" t="str">
        <f t="shared" si="7"/>
        <v xml:space="preserve"> </v>
      </c>
      <c r="P37" s="28" t="str">
        <f>IF(N37&lt;&gt;" ",SUM(O$9:O36)+O37/2," ")</f>
        <v xml:space="preserve"> </v>
      </c>
      <c r="Q37" s="28" t="str">
        <f t="shared" si="8"/>
        <v xml:space="preserve"> </v>
      </c>
    </row>
    <row r="38" spans="7:17" ht="15.75" thickBot="1">
      <c r="G38" s="406"/>
      <c r="H38" s="365"/>
      <c r="I38" s="408"/>
      <c r="J38" s="365"/>
      <c r="K38" s="411"/>
      <c r="L38" s="414"/>
      <c r="M38" s="377"/>
      <c r="N38" s="69" t="str">
        <f t="shared" si="9"/>
        <v xml:space="preserve"> </v>
      </c>
      <c r="O38" s="70" t="str">
        <f t="shared" si="7"/>
        <v xml:space="preserve"> </v>
      </c>
      <c r="P38" s="70" t="str">
        <f>IF(N38&lt;&gt;" ",SUM(O$9:O37)+O38/2," ")</f>
        <v xml:space="preserve"> </v>
      </c>
      <c r="Q38" s="70" t="str">
        <f t="shared" si="8"/>
        <v xml:space="preserve"> </v>
      </c>
    </row>
    <row r="39" spans="7:17" ht="15" customHeight="1">
      <c r="G39" s="415" t="str">
        <f>'Несущая способность по грунту 1'!G39</f>
        <v>4а</v>
      </c>
      <c r="H39" s="363" t="str">
        <f>VLOOKUP(G39,Геология!$D$7:$BO$993,7,FALSE)</f>
        <v>Суглинки полутвердые   с примесью органики, слабозаторфованные, с прослоями суглинка и глины тугопластичной</v>
      </c>
      <c r="I39" s="416">
        <f>VLOOKUP(G39,Геология!$D$7:$BO$993,25,FALSE)</f>
        <v>10000</v>
      </c>
      <c r="J39" s="363">
        <f t="shared" ref="J39" si="10">IF(L29&lt;&gt;0,K29,J29)</f>
        <v>133.1</v>
      </c>
      <c r="K39" s="417">
        <f>'Несущая способность по грунту 1'!K39</f>
        <v>129.19999999999999</v>
      </c>
      <c r="L39" s="412">
        <f>IF(IF(G39&lt;&gt;0,J39-K39,0)&lt;0,0,IF(G39&lt;&gt;0,J39-K39,0))</f>
        <v>3.9000000000000057</v>
      </c>
      <c r="M39" s="375">
        <v>4</v>
      </c>
      <c r="N39" s="181">
        <f>IF(M39&lt;&gt;0,MAX(N$9:N$38)+1," ")</f>
        <v>8</v>
      </c>
      <c r="O39" s="66">
        <f>IF(N39&lt;&gt;" ",L$39/COUNT(N$39:N$48), " ")</f>
        <v>0.97500000000000142</v>
      </c>
      <c r="P39" s="66">
        <f>IF(N39&lt;&gt;" ",SUM(O$9:O38)+O39/2," ")</f>
        <v>6.7875000000000121</v>
      </c>
      <c r="Q39" s="67">
        <f>IF(O39&lt;&gt;" ",P39*$I$39," ")</f>
        <v>67875.000000000116</v>
      </c>
    </row>
    <row r="40" spans="7:17">
      <c r="G40" s="405"/>
      <c r="H40" s="364"/>
      <c r="I40" s="407"/>
      <c r="J40" s="364"/>
      <c r="K40" s="410"/>
      <c r="L40" s="413"/>
      <c r="M40" s="376"/>
      <c r="N40" s="177">
        <f>IF(N39=" "," ", IF(N39&lt;SUM(M$9:M$48),N39+1, " "))</f>
        <v>9</v>
      </c>
      <c r="O40" s="28">
        <f t="shared" ref="O40:O48" si="11">IF(N40&lt;&gt;" ",L$39/COUNT(N$39:N$48), " ")</f>
        <v>0.97500000000000142</v>
      </c>
      <c r="P40" s="28">
        <f>IF(N40&lt;&gt;" ",SUM(O$9:O39)+O40/2," ")</f>
        <v>7.7625000000000135</v>
      </c>
      <c r="Q40" s="68">
        <f t="shared" ref="Q40:Q48" si="12">IF(O40&lt;&gt;" ",P40*$I$39," ")</f>
        <v>77625.000000000131</v>
      </c>
    </row>
    <row r="41" spans="7:17">
      <c r="G41" s="405"/>
      <c r="H41" s="364"/>
      <c r="I41" s="407"/>
      <c r="J41" s="364"/>
      <c r="K41" s="410"/>
      <c r="L41" s="413"/>
      <c r="M41" s="376"/>
      <c r="N41" s="177">
        <f t="shared" ref="N41:N48" si="13">IF(N40=" "," ", IF(N40&lt;SUM(M$9:M$48),N40+1, " "))</f>
        <v>10</v>
      </c>
      <c r="O41" s="28">
        <f t="shared" si="11"/>
        <v>0.97500000000000142</v>
      </c>
      <c r="P41" s="28">
        <f>IF(N41&lt;&gt;" ",SUM(O$9:O40)+O41/2," ")</f>
        <v>8.7375000000000149</v>
      </c>
      <c r="Q41" s="68">
        <f t="shared" si="12"/>
        <v>87375.000000000146</v>
      </c>
    </row>
    <row r="42" spans="7:17">
      <c r="G42" s="405"/>
      <c r="H42" s="364"/>
      <c r="I42" s="407"/>
      <c r="J42" s="364"/>
      <c r="K42" s="410"/>
      <c r="L42" s="413"/>
      <c r="M42" s="376"/>
      <c r="N42" s="177">
        <f t="shared" si="13"/>
        <v>11</v>
      </c>
      <c r="O42" s="28">
        <f t="shared" si="11"/>
        <v>0.97500000000000142</v>
      </c>
      <c r="P42" s="28">
        <f>IF(N42&lt;&gt;" ",SUM(O$9:O41)+O42/2," ")</f>
        <v>9.7125000000000163</v>
      </c>
      <c r="Q42" s="68">
        <f t="shared" si="12"/>
        <v>97125.00000000016</v>
      </c>
    </row>
    <row r="43" spans="7:17">
      <c r="G43" s="405"/>
      <c r="H43" s="364"/>
      <c r="I43" s="407"/>
      <c r="J43" s="364"/>
      <c r="K43" s="410"/>
      <c r="L43" s="413"/>
      <c r="M43" s="376"/>
      <c r="N43" s="177" t="str">
        <f t="shared" si="13"/>
        <v xml:space="preserve"> </v>
      </c>
      <c r="O43" s="28" t="str">
        <f t="shared" si="11"/>
        <v xml:space="preserve"> </v>
      </c>
      <c r="P43" s="28" t="str">
        <f>IF(N43&lt;&gt;" ",SUM(O$9:O42)+O43/2," ")</f>
        <v xml:space="preserve"> </v>
      </c>
      <c r="Q43" s="68" t="str">
        <f t="shared" si="12"/>
        <v xml:space="preserve"> </v>
      </c>
    </row>
    <row r="44" spans="7:17">
      <c r="G44" s="405"/>
      <c r="H44" s="364"/>
      <c r="I44" s="407"/>
      <c r="J44" s="364"/>
      <c r="K44" s="410"/>
      <c r="L44" s="413"/>
      <c r="M44" s="376"/>
      <c r="N44" s="177" t="str">
        <f t="shared" si="13"/>
        <v xml:space="preserve"> </v>
      </c>
      <c r="O44" s="28" t="str">
        <f t="shared" si="11"/>
        <v xml:space="preserve"> </v>
      </c>
      <c r="P44" s="28" t="str">
        <f>IF(N44&lt;&gt;" ",SUM(O$9:O43)+O44/2," ")</f>
        <v xml:space="preserve"> </v>
      </c>
      <c r="Q44" s="68" t="str">
        <f t="shared" si="12"/>
        <v xml:space="preserve"> </v>
      </c>
    </row>
    <row r="45" spans="7:17">
      <c r="G45" s="405"/>
      <c r="H45" s="364"/>
      <c r="I45" s="407"/>
      <c r="J45" s="364"/>
      <c r="K45" s="410"/>
      <c r="L45" s="413"/>
      <c r="M45" s="376"/>
      <c r="N45" s="177" t="str">
        <f t="shared" si="13"/>
        <v xml:space="preserve"> </v>
      </c>
      <c r="O45" s="28" t="str">
        <f t="shared" si="11"/>
        <v xml:space="preserve"> </v>
      </c>
      <c r="P45" s="28" t="str">
        <f>IF(N45&lt;&gt;" ",SUM(O$9:O44)+O45/2," ")</f>
        <v xml:space="preserve"> </v>
      </c>
      <c r="Q45" s="68" t="str">
        <f t="shared" si="12"/>
        <v xml:space="preserve"> </v>
      </c>
    </row>
    <row r="46" spans="7:17">
      <c r="G46" s="405"/>
      <c r="H46" s="364"/>
      <c r="I46" s="407"/>
      <c r="J46" s="364"/>
      <c r="K46" s="410"/>
      <c r="L46" s="413"/>
      <c r="M46" s="376"/>
      <c r="N46" s="177" t="str">
        <f t="shared" si="13"/>
        <v xml:space="preserve"> </v>
      </c>
      <c r="O46" s="28" t="str">
        <f t="shared" si="11"/>
        <v xml:space="preserve"> </v>
      </c>
      <c r="P46" s="28" t="str">
        <f>IF(N46&lt;&gt;" ",SUM(O$9:O45)+O46/2," ")</f>
        <v xml:space="preserve"> </v>
      </c>
      <c r="Q46" s="68" t="str">
        <f t="shared" si="12"/>
        <v xml:space="preserve"> </v>
      </c>
    </row>
    <row r="47" spans="7:17">
      <c r="G47" s="405"/>
      <c r="H47" s="364"/>
      <c r="I47" s="407"/>
      <c r="J47" s="364"/>
      <c r="K47" s="410"/>
      <c r="L47" s="413"/>
      <c r="M47" s="376"/>
      <c r="N47" s="177" t="str">
        <f t="shared" si="13"/>
        <v xml:space="preserve"> </v>
      </c>
      <c r="O47" s="28" t="str">
        <f t="shared" si="11"/>
        <v xml:space="preserve"> </v>
      </c>
      <c r="P47" s="28" t="str">
        <f>IF(N47&lt;&gt;" ",SUM(O$9:O46)+O47/2," ")</f>
        <v xml:space="preserve"> </v>
      </c>
      <c r="Q47" s="68" t="str">
        <f t="shared" si="12"/>
        <v xml:space="preserve"> </v>
      </c>
    </row>
    <row r="48" spans="7:17" ht="15.75" thickBot="1">
      <c r="G48" s="406"/>
      <c r="H48" s="365"/>
      <c r="I48" s="408"/>
      <c r="J48" s="365"/>
      <c r="K48" s="411"/>
      <c r="L48" s="414"/>
      <c r="M48" s="377"/>
      <c r="N48" s="180" t="str">
        <f t="shared" si="13"/>
        <v xml:space="preserve"> </v>
      </c>
      <c r="O48" s="70" t="str">
        <f t="shared" si="11"/>
        <v xml:space="preserve"> </v>
      </c>
      <c r="P48" s="70" t="str">
        <f>IF(N48&lt;&gt;" ",SUM(O$9:O47)+O48/2," ")</f>
        <v xml:space="preserve"> </v>
      </c>
      <c r="Q48" s="71" t="str">
        <f t="shared" si="12"/>
        <v xml:space="preserve"> </v>
      </c>
    </row>
    <row r="49" spans="7:17">
      <c r="G49" s="415">
        <f>'Несущая способность по грунту 1'!G49</f>
        <v>7</v>
      </c>
      <c r="H49" s="363" t="str">
        <f>VLOOKUP(G49,Геология!$D$7:$BO$993,7,FALSE)</f>
        <v>Глины твердые   с прослоями полутвердых, суглинков и супесей</v>
      </c>
      <c r="I49" s="416">
        <f>VLOOKUP(G49,Геология!$D$7:$BO$993,25,FALSE)</f>
        <v>8000</v>
      </c>
      <c r="J49" s="363">
        <f t="shared" ref="J49" si="14">IF(L39&lt;&gt;0,K39,J39)</f>
        <v>129.19999999999999</v>
      </c>
      <c r="K49" s="417">
        <f>'Несущая способность по грунту 1'!K49</f>
        <v>128</v>
      </c>
      <c r="L49" s="412">
        <f>IF(IF(G49&lt;&gt;0,J49-K49,0)&lt;0,0,IF(G49&lt;&gt;0,J49-K49,0))</f>
        <v>1.1999999999999886</v>
      </c>
      <c r="M49" s="375">
        <v>1</v>
      </c>
      <c r="N49" s="181">
        <f>IF(M49&lt;&gt;0,MAX(N$9:N$48)+1," ")</f>
        <v>12</v>
      </c>
      <c r="O49" s="66">
        <f>IF(N49&lt;&gt;" ",L$49/COUNT(N$49:N$58), " ")</f>
        <v>1.1999999999999886</v>
      </c>
      <c r="P49" s="66">
        <f>IF(N49&lt;&gt;" ",SUM(O$9:O48)+O49/2," ")</f>
        <v>10.800000000000011</v>
      </c>
      <c r="Q49" s="67">
        <f>IF(O49&lt;&gt;" ",P49*$I$49," ")</f>
        <v>86400.000000000087</v>
      </c>
    </row>
    <row r="50" spans="7:17">
      <c r="G50" s="405"/>
      <c r="H50" s="364"/>
      <c r="I50" s="407"/>
      <c r="J50" s="364"/>
      <c r="K50" s="410"/>
      <c r="L50" s="413"/>
      <c r="M50" s="376"/>
      <c r="N50" s="177" t="str">
        <f>IF(N49=" "," ", IF(N49&lt;SUM(M$9:M$58),N49+1, " "))</f>
        <v xml:space="preserve"> </v>
      </c>
      <c r="O50" s="28" t="str">
        <f t="shared" ref="O50:O58" si="15">IF(N50&lt;&gt;" ",L$49/COUNT(N$49:N$58), " ")</f>
        <v xml:space="preserve"> </v>
      </c>
      <c r="P50" s="28" t="str">
        <f>IF(N50&lt;&gt;" ",SUM(O$9:O49)+O50/2," ")</f>
        <v xml:space="preserve"> </v>
      </c>
      <c r="Q50" s="68" t="str">
        <f t="shared" ref="Q50:Q58" si="16">IF(O50&lt;&gt;" ",P50*$I$49," ")</f>
        <v xml:space="preserve"> </v>
      </c>
    </row>
    <row r="51" spans="7:17">
      <c r="G51" s="405"/>
      <c r="H51" s="364"/>
      <c r="I51" s="407"/>
      <c r="J51" s="364"/>
      <c r="K51" s="410"/>
      <c r="L51" s="413"/>
      <c r="M51" s="376"/>
      <c r="N51" s="177" t="str">
        <f t="shared" ref="N51:N58" si="17">IF(N50=" "," ", IF(N50&lt;SUM(M$9:M$58),N50+1, " "))</f>
        <v xml:space="preserve"> </v>
      </c>
      <c r="O51" s="28" t="str">
        <f t="shared" si="15"/>
        <v xml:space="preserve"> </v>
      </c>
      <c r="P51" s="28" t="str">
        <f>IF(N51&lt;&gt;" ",SUM(O$9:O50)+O51/2," ")</f>
        <v xml:space="preserve"> </v>
      </c>
      <c r="Q51" s="68" t="str">
        <f t="shared" si="16"/>
        <v xml:space="preserve"> </v>
      </c>
    </row>
    <row r="52" spans="7:17">
      <c r="G52" s="405"/>
      <c r="H52" s="364"/>
      <c r="I52" s="407"/>
      <c r="J52" s="364"/>
      <c r="K52" s="410"/>
      <c r="L52" s="413"/>
      <c r="M52" s="376"/>
      <c r="N52" s="177" t="str">
        <f t="shared" si="17"/>
        <v xml:space="preserve"> </v>
      </c>
      <c r="O52" s="28" t="str">
        <f t="shared" si="15"/>
        <v xml:space="preserve"> </v>
      </c>
      <c r="P52" s="28" t="str">
        <f>IF(N52&lt;&gt;" ",SUM(O$9:O51)+O52/2," ")</f>
        <v xml:space="preserve"> </v>
      </c>
      <c r="Q52" s="68" t="str">
        <f t="shared" si="16"/>
        <v xml:space="preserve"> </v>
      </c>
    </row>
    <row r="53" spans="7:17">
      <c r="G53" s="405"/>
      <c r="H53" s="364"/>
      <c r="I53" s="407"/>
      <c r="J53" s="364"/>
      <c r="K53" s="410"/>
      <c r="L53" s="413"/>
      <c r="M53" s="376"/>
      <c r="N53" s="177" t="str">
        <f t="shared" si="17"/>
        <v xml:space="preserve"> </v>
      </c>
      <c r="O53" s="28" t="str">
        <f t="shared" si="15"/>
        <v xml:space="preserve"> </v>
      </c>
      <c r="P53" s="28" t="str">
        <f>IF(N53&lt;&gt;" ",SUM(O$9:O52)+O53/2," ")</f>
        <v xml:space="preserve"> </v>
      </c>
      <c r="Q53" s="68" t="str">
        <f t="shared" si="16"/>
        <v xml:space="preserve"> </v>
      </c>
    </row>
    <row r="54" spans="7:17">
      <c r="G54" s="405"/>
      <c r="H54" s="364"/>
      <c r="I54" s="407"/>
      <c r="J54" s="364"/>
      <c r="K54" s="410"/>
      <c r="L54" s="413"/>
      <c r="M54" s="376"/>
      <c r="N54" s="177" t="str">
        <f t="shared" si="17"/>
        <v xml:space="preserve"> </v>
      </c>
      <c r="O54" s="28" t="str">
        <f t="shared" si="15"/>
        <v xml:space="preserve"> </v>
      </c>
      <c r="P54" s="28" t="str">
        <f>IF(N54&lt;&gt;" ",SUM(O$9:O53)+O54/2," ")</f>
        <v xml:space="preserve"> </v>
      </c>
      <c r="Q54" s="68" t="str">
        <f t="shared" si="16"/>
        <v xml:space="preserve"> </v>
      </c>
    </row>
    <row r="55" spans="7:17">
      <c r="G55" s="405"/>
      <c r="H55" s="364"/>
      <c r="I55" s="407"/>
      <c r="J55" s="364"/>
      <c r="K55" s="410"/>
      <c r="L55" s="413"/>
      <c r="M55" s="376"/>
      <c r="N55" s="177" t="str">
        <f t="shared" si="17"/>
        <v xml:space="preserve"> </v>
      </c>
      <c r="O55" s="28" t="str">
        <f t="shared" si="15"/>
        <v xml:space="preserve"> </v>
      </c>
      <c r="P55" s="28" t="str">
        <f>IF(N55&lt;&gt;" ",SUM(O$9:O54)+O55/2," ")</f>
        <v xml:space="preserve"> </v>
      </c>
      <c r="Q55" s="68" t="str">
        <f t="shared" si="16"/>
        <v xml:space="preserve"> </v>
      </c>
    </row>
    <row r="56" spans="7:17">
      <c r="G56" s="405"/>
      <c r="H56" s="364"/>
      <c r="I56" s="407"/>
      <c r="J56" s="364"/>
      <c r="K56" s="410"/>
      <c r="L56" s="413"/>
      <c r="M56" s="376"/>
      <c r="N56" s="177" t="str">
        <f t="shared" si="17"/>
        <v xml:space="preserve"> </v>
      </c>
      <c r="O56" s="28" t="str">
        <f t="shared" si="15"/>
        <v xml:space="preserve"> </v>
      </c>
      <c r="P56" s="28" t="str">
        <f>IF(N56&lt;&gt;" ",SUM(O$9:O55)+O56/2," ")</f>
        <v xml:space="preserve"> </v>
      </c>
      <c r="Q56" s="68" t="str">
        <f t="shared" si="16"/>
        <v xml:space="preserve"> </v>
      </c>
    </row>
    <row r="57" spans="7:17">
      <c r="G57" s="405"/>
      <c r="H57" s="364"/>
      <c r="I57" s="407"/>
      <c r="J57" s="364"/>
      <c r="K57" s="410"/>
      <c r="L57" s="413"/>
      <c r="M57" s="376"/>
      <c r="N57" s="177" t="str">
        <f t="shared" si="17"/>
        <v xml:space="preserve"> </v>
      </c>
      <c r="O57" s="28" t="str">
        <f t="shared" si="15"/>
        <v xml:space="preserve"> </v>
      </c>
      <c r="P57" s="28" t="str">
        <f>IF(N57&lt;&gt;" ",SUM(O$9:O56)+O57/2," ")</f>
        <v xml:space="preserve"> </v>
      </c>
      <c r="Q57" s="68" t="str">
        <f t="shared" si="16"/>
        <v xml:space="preserve"> </v>
      </c>
    </row>
    <row r="58" spans="7:17" ht="15.75" thickBot="1">
      <c r="G58" s="406"/>
      <c r="H58" s="365"/>
      <c r="I58" s="408"/>
      <c r="J58" s="365"/>
      <c r="K58" s="411"/>
      <c r="L58" s="414"/>
      <c r="M58" s="377"/>
      <c r="N58" s="180" t="str">
        <f t="shared" si="17"/>
        <v xml:space="preserve"> </v>
      </c>
      <c r="O58" s="70" t="str">
        <f t="shared" si="15"/>
        <v xml:space="preserve"> </v>
      </c>
      <c r="P58" s="70" t="str">
        <f>IF(N58&lt;&gt;" ",SUM(O$9:O57)+O58/2," ")</f>
        <v xml:space="preserve"> </v>
      </c>
      <c r="Q58" s="71" t="str">
        <f t="shared" si="16"/>
        <v xml:space="preserve"> </v>
      </c>
    </row>
    <row r="59" spans="7:17">
      <c r="G59" s="404">
        <f>'Несущая способность по грунту 1'!G59</f>
        <v>6</v>
      </c>
      <c r="H59" s="388" t="str">
        <f>VLOOKUP(G59,Геология!$D$7:$BO$993,7,FALSE)</f>
        <v>Суглинки полутвердые   с прослоями твердых глин</v>
      </c>
      <c r="I59" s="407">
        <f>VLOOKUP(G59,Геология!$D$7:$BO$993,25,FALSE)</f>
        <v>10000</v>
      </c>
      <c r="J59" s="363">
        <f t="shared" ref="J59" si="18">IF(L49&lt;&gt;0,K49,J49)</f>
        <v>128</v>
      </c>
      <c r="K59" s="409">
        <f>'Несущая способность по грунту 1'!K59</f>
        <v>127</v>
      </c>
      <c r="L59" s="412">
        <f t="shared" ref="L59" si="19">IF(IF(G59&lt;&gt;0,J59-K59,0)&lt;0,0,IF(G59&lt;&gt;0,J59-K59,0))</f>
        <v>1</v>
      </c>
      <c r="M59" s="375"/>
      <c r="N59" s="65" t="str">
        <f>IF(M59&lt;&gt;0,MAX(N$9:N$58)+1," ")</f>
        <v xml:space="preserve"> </v>
      </c>
      <c r="O59" s="66" t="str">
        <f>IF(N59&lt;&gt;" ",L$59/COUNT(N$59:N$68), " ")</f>
        <v xml:space="preserve"> </v>
      </c>
      <c r="P59" s="66" t="str">
        <f>IF(N59&lt;&gt;" ",SUM(O$9:O58)+O59/2," ")</f>
        <v xml:space="preserve"> </v>
      </c>
      <c r="Q59" s="66" t="str">
        <f>IF(O59&lt;&gt;" ",P59*$I$59," ")</f>
        <v xml:space="preserve"> </v>
      </c>
    </row>
    <row r="60" spans="7:17">
      <c r="G60" s="405"/>
      <c r="H60" s="364"/>
      <c r="I60" s="407"/>
      <c r="J60" s="364"/>
      <c r="K60" s="410"/>
      <c r="L60" s="413"/>
      <c r="M60" s="376"/>
      <c r="N60" s="100" t="str">
        <f>IF(N59=" "," ", IF(N59&lt;SUM(M$9:M$68),N59+1, " "))</f>
        <v xml:space="preserve"> </v>
      </c>
      <c r="O60" s="28" t="str">
        <f t="shared" ref="O60:O68" si="20">IF(N60&lt;&gt;" ",L$59/COUNT(N$59:N$68), " ")</f>
        <v xml:space="preserve"> </v>
      </c>
      <c r="P60" s="28" t="str">
        <f>IF(N60&lt;&gt;" ",SUM(O$9:O59)+O60/2," ")</f>
        <v xml:space="preserve"> </v>
      </c>
      <c r="Q60" s="28" t="str">
        <f t="shared" ref="Q60:Q68" si="21">IF(O60&lt;&gt;" ",P60*$I$59," ")</f>
        <v xml:space="preserve"> </v>
      </c>
    </row>
    <row r="61" spans="7:17">
      <c r="G61" s="405"/>
      <c r="H61" s="364"/>
      <c r="I61" s="407"/>
      <c r="J61" s="364"/>
      <c r="K61" s="410"/>
      <c r="L61" s="413"/>
      <c r="M61" s="376"/>
      <c r="N61" s="100" t="str">
        <f t="shared" ref="N61:N68" si="22">IF(N60=" "," ", IF(N60&lt;SUM(M$9:M$68),N60+1, " "))</f>
        <v xml:space="preserve"> </v>
      </c>
      <c r="O61" s="28" t="str">
        <f t="shared" si="20"/>
        <v xml:space="preserve"> </v>
      </c>
      <c r="P61" s="28" t="str">
        <f>IF(N61&lt;&gt;" ",SUM(O$9:O60)+O61/2," ")</f>
        <v xml:space="preserve"> </v>
      </c>
      <c r="Q61" s="28" t="str">
        <f t="shared" si="21"/>
        <v xml:space="preserve"> </v>
      </c>
    </row>
    <row r="62" spans="7:17">
      <c r="G62" s="405"/>
      <c r="H62" s="364"/>
      <c r="I62" s="407"/>
      <c r="J62" s="364"/>
      <c r="K62" s="410"/>
      <c r="L62" s="413"/>
      <c r="M62" s="376"/>
      <c r="N62" s="100" t="str">
        <f t="shared" si="22"/>
        <v xml:space="preserve"> </v>
      </c>
      <c r="O62" s="28" t="str">
        <f t="shared" si="20"/>
        <v xml:space="preserve"> </v>
      </c>
      <c r="P62" s="28" t="str">
        <f>IF(N62&lt;&gt;" ",SUM(O$9:O61)+O62/2," ")</f>
        <v xml:space="preserve"> </v>
      </c>
      <c r="Q62" s="28" t="str">
        <f t="shared" si="21"/>
        <v xml:space="preserve"> </v>
      </c>
    </row>
    <row r="63" spans="7:17">
      <c r="G63" s="405"/>
      <c r="H63" s="364"/>
      <c r="I63" s="407"/>
      <c r="J63" s="364"/>
      <c r="K63" s="410"/>
      <c r="L63" s="413"/>
      <c r="M63" s="376"/>
      <c r="N63" s="100" t="str">
        <f t="shared" si="22"/>
        <v xml:space="preserve"> </v>
      </c>
      <c r="O63" s="28" t="str">
        <f t="shared" si="20"/>
        <v xml:space="preserve"> </v>
      </c>
      <c r="P63" s="28" t="str">
        <f>IF(N63&lt;&gt;" ",SUM(O$9:O62)+O63/2," ")</f>
        <v xml:space="preserve"> </v>
      </c>
      <c r="Q63" s="28" t="str">
        <f t="shared" si="21"/>
        <v xml:space="preserve"> </v>
      </c>
    </row>
    <row r="64" spans="7:17">
      <c r="G64" s="405"/>
      <c r="H64" s="364"/>
      <c r="I64" s="407"/>
      <c r="J64" s="364"/>
      <c r="K64" s="410"/>
      <c r="L64" s="413"/>
      <c r="M64" s="376"/>
      <c r="N64" s="100" t="str">
        <f t="shared" si="22"/>
        <v xml:space="preserve"> </v>
      </c>
      <c r="O64" s="28" t="str">
        <f t="shared" si="20"/>
        <v xml:space="preserve"> </v>
      </c>
      <c r="P64" s="28" t="str">
        <f>IF(N64&lt;&gt;" ",SUM(O$9:O63)+O64/2," ")</f>
        <v xml:space="preserve"> </v>
      </c>
      <c r="Q64" s="28" t="str">
        <f t="shared" si="21"/>
        <v xml:space="preserve"> </v>
      </c>
    </row>
    <row r="65" spans="7:17">
      <c r="G65" s="405"/>
      <c r="H65" s="364"/>
      <c r="I65" s="407"/>
      <c r="J65" s="364"/>
      <c r="K65" s="410"/>
      <c r="L65" s="413"/>
      <c r="M65" s="376"/>
      <c r="N65" s="100" t="str">
        <f t="shared" si="22"/>
        <v xml:space="preserve"> </v>
      </c>
      <c r="O65" s="28" t="str">
        <f t="shared" si="20"/>
        <v xml:space="preserve"> </v>
      </c>
      <c r="P65" s="28" t="str">
        <f>IF(N65&lt;&gt;" ",SUM(O$9:O64)+O65/2," ")</f>
        <v xml:space="preserve"> </v>
      </c>
      <c r="Q65" s="28" t="str">
        <f t="shared" si="21"/>
        <v xml:space="preserve"> </v>
      </c>
    </row>
    <row r="66" spans="7:17">
      <c r="G66" s="405"/>
      <c r="H66" s="364"/>
      <c r="I66" s="407"/>
      <c r="J66" s="364"/>
      <c r="K66" s="410"/>
      <c r="L66" s="413"/>
      <c r="M66" s="376"/>
      <c r="N66" s="100" t="str">
        <f t="shared" si="22"/>
        <v xml:space="preserve"> </v>
      </c>
      <c r="O66" s="28" t="str">
        <f t="shared" si="20"/>
        <v xml:space="preserve"> </v>
      </c>
      <c r="P66" s="28" t="str">
        <f>IF(N66&lt;&gt;" ",SUM(O$9:O65)+O66/2," ")</f>
        <v xml:space="preserve"> </v>
      </c>
      <c r="Q66" s="28" t="str">
        <f t="shared" si="21"/>
        <v xml:space="preserve"> </v>
      </c>
    </row>
    <row r="67" spans="7:17">
      <c r="G67" s="405"/>
      <c r="H67" s="364"/>
      <c r="I67" s="407"/>
      <c r="J67" s="364"/>
      <c r="K67" s="410"/>
      <c r="L67" s="413"/>
      <c r="M67" s="376"/>
      <c r="N67" s="100" t="str">
        <f t="shared" si="22"/>
        <v xml:space="preserve"> </v>
      </c>
      <c r="O67" s="28" t="str">
        <f t="shared" si="20"/>
        <v xml:space="preserve"> </v>
      </c>
      <c r="P67" s="28" t="str">
        <f>IF(N67&lt;&gt;" ",SUM(O$9:O66)+O67/2," ")</f>
        <v xml:space="preserve"> </v>
      </c>
      <c r="Q67" s="28" t="str">
        <f t="shared" si="21"/>
        <v xml:space="preserve"> </v>
      </c>
    </row>
    <row r="68" spans="7:17" ht="15.75" thickBot="1">
      <c r="G68" s="406"/>
      <c r="H68" s="365"/>
      <c r="I68" s="408"/>
      <c r="J68" s="365"/>
      <c r="K68" s="411"/>
      <c r="L68" s="414"/>
      <c r="M68" s="377"/>
      <c r="N68" s="69" t="str">
        <f t="shared" si="22"/>
        <v xml:space="preserve"> </v>
      </c>
      <c r="O68" s="70" t="str">
        <f t="shared" si="20"/>
        <v xml:space="preserve"> </v>
      </c>
      <c r="P68" s="70" t="str">
        <f>IF(N68&lt;&gt;" ",SUM(O$9:O67)+O68/2," ")</f>
        <v xml:space="preserve"> </v>
      </c>
      <c r="Q68" s="70" t="str">
        <f t="shared" si="21"/>
        <v xml:space="preserve"> </v>
      </c>
    </row>
    <row r="69" spans="7:17">
      <c r="G69" s="415">
        <f>'Несущая способность по грунту 1'!G69</f>
        <v>5</v>
      </c>
      <c r="H69" s="363" t="str">
        <f>VLOOKUP(G69,Геология!$D$7:$BO$993,7,FALSE)</f>
        <v xml:space="preserve">Супеси твердые   </v>
      </c>
      <c r="I69" s="416">
        <f>VLOOKUP(G69,Геология!$D$7:$BO$993,25,FALSE)</f>
        <v>6000</v>
      </c>
      <c r="J69" s="363">
        <f t="shared" ref="J69" si="23">IF(L59&lt;&gt;0,K59,J59)</f>
        <v>127</v>
      </c>
      <c r="K69" s="417">
        <f>'Несущая способность по грунту 1'!K69</f>
        <v>126</v>
      </c>
      <c r="L69" s="412">
        <f t="shared" ref="L69" si="24">IF(IF(G69&lt;&gt;0,J69-K69,0)&lt;0,0,IF(G69&lt;&gt;0,J69-K69,0))</f>
        <v>1</v>
      </c>
      <c r="M69" s="375"/>
      <c r="N69" s="181" t="str">
        <f>IF(M69&lt;&gt;0,MAX(N$9:N$68)+1," ")</f>
        <v xml:space="preserve"> </v>
      </c>
      <c r="O69" s="66" t="str">
        <f>IF(N69&lt;&gt;" ",L$69/COUNT(N$69:N$78), " ")</f>
        <v xml:space="preserve"> </v>
      </c>
      <c r="P69" s="66" t="str">
        <f>IF(N69&lt;&gt;" ",SUM(O$9:O68)+O69/2," ")</f>
        <v xml:space="preserve"> </v>
      </c>
      <c r="Q69" s="67" t="str">
        <f>IF(O69&lt;&gt;" ",P69*$I$69," ")</f>
        <v xml:space="preserve"> </v>
      </c>
    </row>
    <row r="70" spans="7:17">
      <c r="G70" s="405"/>
      <c r="H70" s="364"/>
      <c r="I70" s="407"/>
      <c r="J70" s="364"/>
      <c r="K70" s="410"/>
      <c r="L70" s="413"/>
      <c r="M70" s="376"/>
      <c r="N70" s="177" t="str">
        <f>IF(N69=" "," ", IF(N69&lt;SUM(M$9:M$78),N69+1, " "))</f>
        <v xml:space="preserve"> </v>
      </c>
      <c r="O70" s="28" t="str">
        <f t="shared" ref="O70:O78" si="25">IF(N70&lt;&gt;" ",L$69/COUNT(N$69:N$78), " ")</f>
        <v xml:space="preserve"> </v>
      </c>
      <c r="P70" s="28" t="str">
        <f>IF(N70&lt;&gt;" ",SUM(O$9:O69)+O70/2," ")</f>
        <v xml:space="preserve"> </v>
      </c>
      <c r="Q70" s="68" t="str">
        <f t="shared" ref="Q70:Q78" si="26">IF(O70&lt;&gt;" ",P70*$I$69," ")</f>
        <v xml:space="preserve"> </v>
      </c>
    </row>
    <row r="71" spans="7:17">
      <c r="G71" s="405"/>
      <c r="H71" s="364"/>
      <c r="I71" s="407"/>
      <c r="J71" s="364"/>
      <c r="K71" s="410"/>
      <c r="L71" s="413"/>
      <c r="M71" s="376"/>
      <c r="N71" s="177" t="str">
        <f t="shared" ref="N71:N78" si="27">IF(N70=" "," ", IF(N70&lt;SUM(M$9:M$78),N70+1, " "))</f>
        <v xml:space="preserve"> </v>
      </c>
      <c r="O71" s="28" t="str">
        <f t="shared" si="25"/>
        <v xml:space="preserve"> </v>
      </c>
      <c r="P71" s="28" t="str">
        <f>IF(N71&lt;&gt;" ",SUM(O$9:O70)+O71/2," ")</f>
        <v xml:space="preserve"> </v>
      </c>
      <c r="Q71" s="68" t="str">
        <f t="shared" si="26"/>
        <v xml:space="preserve"> </v>
      </c>
    </row>
    <row r="72" spans="7:17">
      <c r="G72" s="405"/>
      <c r="H72" s="364"/>
      <c r="I72" s="407"/>
      <c r="J72" s="364"/>
      <c r="K72" s="410"/>
      <c r="L72" s="413"/>
      <c r="M72" s="376"/>
      <c r="N72" s="177" t="str">
        <f t="shared" si="27"/>
        <v xml:space="preserve"> </v>
      </c>
      <c r="O72" s="28" t="str">
        <f t="shared" si="25"/>
        <v xml:space="preserve"> </v>
      </c>
      <c r="P72" s="28" t="str">
        <f>IF(N72&lt;&gt;" ",SUM(O$9:O71)+O72/2," ")</f>
        <v xml:space="preserve"> </v>
      </c>
      <c r="Q72" s="68" t="str">
        <f t="shared" si="26"/>
        <v xml:space="preserve"> </v>
      </c>
    </row>
    <row r="73" spans="7:17">
      <c r="G73" s="405"/>
      <c r="H73" s="364"/>
      <c r="I73" s="407"/>
      <c r="J73" s="364"/>
      <c r="K73" s="410"/>
      <c r="L73" s="413"/>
      <c r="M73" s="376"/>
      <c r="N73" s="177" t="str">
        <f t="shared" si="27"/>
        <v xml:space="preserve"> </v>
      </c>
      <c r="O73" s="28" t="str">
        <f t="shared" si="25"/>
        <v xml:space="preserve"> </v>
      </c>
      <c r="P73" s="28" t="str">
        <f>IF(N73&lt;&gt;" ",SUM(O$9:O72)+O73/2," ")</f>
        <v xml:space="preserve"> </v>
      </c>
      <c r="Q73" s="68" t="str">
        <f t="shared" si="26"/>
        <v xml:space="preserve"> </v>
      </c>
    </row>
    <row r="74" spans="7:17">
      <c r="G74" s="405"/>
      <c r="H74" s="364"/>
      <c r="I74" s="407"/>
      <c r="J74" s="364"/>
      <c r="K74" s="410"/>
      <c r="L74" s="413"/>
      <c r="M74" s="376"/>
      <c r="N74" s="177" t="str">
        <f t="shared" si="27"/>
        <v xml:space="preserve"> </v>
      </c>
      <c r="O74" s="28" t="str">
        <f t="shared" si="25"/>
        <v xml:space="preserve"> </v>
      </c>
      <c r="P74" s="28" t="str">
        <f>IF(N74&lt;&gt;" ",SUM(O$9:O73)+O74/2," ")</f>
        <v xml:space="preserve"> </v>
      </c>
      <c r="Q74" s="68" t="str">
        <f t="shared" si="26"/>
        <v xml:space="preserve"> </v>
      </c>
    </row>
    <row r="75" spans="7:17">
      <c r="G75" s="405"/>
      <c r="H75" s="364"/>
      <c r="I75" s="407"/>
      <c r="J75" s="364"/>
      <c r="K75" s="410"/>
      <c r="L75" s="413"/>
      <c r="M75" s="376"/>
      <c r="N75" s="177" t="str">
        <f t="shared" si="27"/>
        <v xml:space="preserve"> </v>
      </c>
      <c r="O75" s="28" t="str">
        <f t="shared" si="25"/>
        <v xml:space="preserve"> </v>
      </c>
      <c r="P75" s="28" t="str">
        <f>IF(N75&lt;&gt;" ",SUM(O$9:O74)+O75/2," ")</f>
        <v xml:space="preserve"> </v>
      </c>
      <c r="Q75" s="68" t="str">
        <f t="shared" si="26"/>
        <v xml:space="preserve"> </v>
      </c>
    </row>
    <row r="76" spans="7:17">
      <c r="G76" s="405"/>
      <c r="H76" s="364"/>
      <c r="I76" s="407"/>
      <c r="J76" s="364"/>
      <c r="K76" s="410"/>
      <c r="L76" s="413"/>
      <c r="M76" s="376"/>
      <c r="N76" s="177" t="str">
        <f t="shared" si="27"/>
        <v xml:space="preserve"> </v>
      </c>
      <c r="O76" s="28" t="str">
        <f t="shared" si="25"/>
        <v xml:space="preserve"> </v>
      </c>
      <c r="P76" s="28" t="str">
        <f>IF(N76&lt;&gt;" ",SUM(O$9:O75)+O76/2," ")</f>
        <v xml:space="preserve"> </v>
      </c>
      <c r="Q76" s="68" t="str">
        <f t="shared" si="26"/>
        <v xml:space="preserve"> </v>
      </c>
    </row>
    <row r="77" spans="7:17">
      <c r="G77" s="405"/>
      <c r="H77" s="364"/>
      <c r="I77" s="407"/>
      <c r="J77" s="364"/>
      <c r="K77" s="410"/>
      <c r="L77" s="413"/>
      <c r="M77" s="376"/>
      <c r="N77" s="177" t="str">
        <f t="shared" si="27"/>
        <v xml:space="preserve"> </v>
      </c>
      <c r="O77" s="28" t="str">
        <f t="shared" si="25"/>
        <v xml:space="preserve"> </v>
      </c>
      <c r="P77" s="28" t="str">
        <f>IF(N77&lt;&gt;" ",SUM(O$9:O76)+O77/2," ")</f>
        <v xml:space="preserve"> </v>
      </c>
      <c r="Q77" s="68" t="str">
        <f t="shared" si="26"/>
        <v xml:space="preserve"> </v>
      </c>
    </row>
    <row r="78" spans="7:17" ht="15.75" thickBot="1">
      <c r="G78" s="406"/>
      <c r="H78" s="365"/>
      <c r="I78" s="408"/>
      <c r="J78" s="365"/>
      <c r="K78" s="411"/>
      <c r="L78" s="414"/>
      <c r="M78" s="377"/>
      <c r="N78" s="180" t="str">
        <f t="shared" si="27"/>
        <v xml:space="preserve"> </v>
      </c>
      <c r="O78" s="70" t="str">
        <f t="shared" si="25"/>
        <v xml:space="preserve"> </v>
      </c>
      <c r="P78" s="70" t="str">
        <f>IF(N78&lt;&gt;" ",SUM(O$9:O77)+O78/2," ")</f>
        <v xml:space="preserve"> </v>
      </c>
      <c r="Q78" s="71" t="str">
        <f t="shared" si="26"/>
        <v xml:space="preserve"> </v>
      </c>
    </row>
    <row r="79" spans="7:17">
      <c r="G79" s="415" t="str">
        <f>'Несущая способность по грунту 1'!G79</f>
        <v>3а</v>
      </c>
      <c r="H79" s="363" t="str">
        <f>VLOOKUP(G79,Геология!$D$7:$BO$993,7,FALSE)</f>
        <v xml:space="preserve">Пески крупные водонасыщенные рыхлые </v>
      </c>
      <c r="I79" s="416">
        <f>VLOOKUP(G79,Геология!$D$7:$BO$993,25,FALSE)</f>
        <v>6000</v>
      </c>
      <c r="J79" s="363">
        <f t="shared" ref="J79" si="28">IF(L69&lt;&gt;0,K69,J69)</f>
        <v>126</v>
      </c>
      <c r="K79" s="417">
        <f>'Несущая способность по грунту 1'!K79</f>
        <v>125</v>
      </c>
      <c r="L79" s="412">
        <f t="shared" ref="L79" si="29">IF(IF(G79&lt;&gt;0,J79-K79,0)&lt;0,0,IF(G79&lt;&gt;0,J79-K79,0))</f>
        <v>1</v>
      </c>
      <c r="M79" s="375"/>
      <c r="N79" s="181" t="str">
        <f>IF(M79&lt;&gt;0,MAX(N$9:N$78)+1," ")</f>
        <v xml:space="preserve"> </v>
      </c>
      <c r="O79" s="66" t="str">
        <f>IF(N79&lt;&gt;" ",L$79/COUNT(N$79:N$88), " ")</f>
        <v xml:space="preserve"> </v>
      </c>
      <c r="P79" s="66" t="str">
        <f>IF(N79&lt;&gt;" ",SUM(O$9:O78)+O79/2," ")</f>
        <v xml:space="preserve"> </v>
      </c>
      <c r="Q79" s="67" t="str">
        <f>IF(O79&lt;&gt;" ",P79*$I$79," ")</f>
        <v xml:space="preserve"> </v>
      </c>
    </row>
    <row r="80" spans="7:17">
      <c r="G80" s="405"/>
      <c r="H80" s="364"/>
      <c r="I80" s="407"/>
      <c r="J80" s="364"/>
      <c r="K80" s="410"/>
      <c r="L80" s="413"/>
      <c r="M80" s="376"/>
      <c r="N80" s="177" t="str">
        <f>IF(N79=" "," ", IF(N79&lt;SUM(M$9:M$88),N79+1, " "))</f>
        <v xml:space="preserve"> </v>
      </c>
      <c r="O80" s="28" t="str">
        <f t="shared" ref="O80:O88" si="30">IF(N80&lt;&gt;" ",L$79/COUNT(N$79:N$88), " ")</f>
        <v xml:space="preserve"> </v>
      </c>
      <c r="P80" s="28" t="str">
        <f>IF(N80&lt;&gt;" ",SUM(O$9:O79)+O80/2," ")</f>
        <v xml:space="preserve"> </v>
      </c>
      <c r="Q80" s="68" t="str">
        <f t="shared" ref="Q80:Q89" si="31">IF(O80&lt;&gt;" ",P80*$I$79," ")</f>
        <v xml:space="preserve"> </v>
      </c>
    </row>
    <row r="81" spans="7:17">
      <c r="G81" s="405"/>
      <c r="H81" s="364"/>
      <c r="I81" s="407"/>
      <c r="J81" s="364"/>
      <c r="K81" s="410"/>
      <c r="L81" s="413"/>
      <c r="M81" s="376"/>
      <c r="N81" s="177" t="str">
        <f t="shared" ref="N81:N88" si="32">IF(N80=" "," ", IF(N80&lt;SUM(M$9:M$88),N80+1, " "))</f>
        <v xml:space="preserve"> </v>
      </c>
      <c r="O81" s="28" t="str">
        <f t="shared" si="30"/>
        <v xml:space="preserve"> </v>
      </c>
      <c r="P81" s="28" t="str">
        <f>IF(N81&lt;&gt;" ",SUM(O$9:O80)+O81/2," ")</f>
        <v xml:space="preserve"> </v>
      </c>
      <c r="Q81" s="68" t="str">
        <f t="shared" si="31"/>
        <v xml:space="preserve"> </v>
      </c>
    </row>
    <row r="82" spans="7:17">
      <c r="G82" s="405"/>
      <c r="H82" s="364"/>
      <c r="I82" s="407"/>
      <c r="J82" s="364"/>
      <c r="K82" s="410"/>
      <c r="L82" s="413"/>
      <c r="M82" s="376"/>
      <c r="N82" s="177" t="str">
        <f t="shared" si="32"/>
        <v xml:space="preserve"> </v>
      </c>
      <c r="O82" s="28" t="str">
        <f t="shared" si="30"/>
        <v xml:space="preserve"> </v>
      </c>
      <c r="P82" s="28" t="str">
        <f>IF(N82&lt;&gt;" ",SUM(O$9:O81)+O82/2," ")</f>
        <v xml:space="preserve"> </v>
      </c>
      <c r="Q82" s="68" t="str">
        <f t="shared" si="31"/>
        <v xml:space="preserve"> </v>
      </c>
    </row>
    <row r="83" spans="7:17">
      <c r="G83" s="405"/>
      <c r="H83" s="364"/>
      <c r="I83" s="407"/>
      <c r="J83" s="364"/>
      <c r="K83" s="410"/>
      <c r="L83" s="413"/>
      <c r="M83" s="376"/>
      <c r="N83" s="177" t="str">
        <f t="shared" si="32"/>
        <v xml:space="preserve"> </v>
      </c>
      <c r="O83" s="28" t="str">
        <f t="shared" si="30"/>
        <v xml:space="preserve"> </v>
      </c>
      <c r="P83" s="28" t="str">
        <f>IF(N83&lt;&gt;" ",SUM(O$9:O82)+O83/2," ")</f>
        <v xml:space="preserve"> </v>
      </c>
      <c r="Q83" s="68" t="str">
        <f t="shared" si="31"/>
        <v xml:space="preserve"> </v>
      </c>
    </row>
    <row r="84" spans="7:17">
      <c r="G84" s="405"/>
      <c r="H84" s="364"/>
      <c r="I84" s="407"/>
      <c r="J84" s="364"/>
      <c r="K84" s="410"/>
      <c r="L84" s="413"/>
      <c r="M84" s="376"/>
      <c r="N84" s="177" t="str">
        <f t="shared" si="32"/>
        <v xml:space="preserve"> </v>
      </c>
      <c r="O84" s="28" t="str">
        <f t="shared" si="30"/>
        <v xml:space="preserve"> </v>
      </c>
      <c r="P84" s="28" t="str">
        <f>IF(N84&lt;&gt;" ",SUM(O$9:O83)+O84/2," ")</f>
        <v xml:space="preserve"> </v>
      </c>
      <c r="Q84" s="68" t="str">
        <f t="shared" si="31"/>
        <v xml:space="preserve"> </v>
      </c>
    </row>
    <row r="85" spans="7:17">
      <c r="G85" s="405"/>
      <c r="H85" s="364"/>
      <c r="I85" s="407"/>
      <c r="J85" s="364"/>
      <c r="K85" s="410"/>
      <c r="L85" s="413"/>
      <c r="M85" s="376"/>
      <c r="N85" s="177" t="str">
        <f t="shared" si="32"/>
        <v xml:space="preserve"> </v>
      </c>
      <c r="O85" s="28" t="str">
        <f t="shared" si="30"/>
        <v xml:space="preserve"> </v>
      </c>
      <c r="P85" s="28" t="str">
        <f>IF(N85&lt;&gt;" ",SUM(O$9:O84)+O85/2," ")</f>
        <v xml:space="preserve"> </v>
      </c>
      <c r="Q85" s="68" t="str">
        <f t="shared" si="31"/>
        <v xml:space="preserve"> </v>
      </c>
    </row>
    <row r="86" spans="7:17">
      <c r="G86" s="405"/>
      <c r="H86" s="364"/>
      <c r="I86" s="407"/>
      <c r="J86" s="364"/>
      <c r="K86" s="410"/>
      <c r="L86" s="413"/>
      <c r="M86" s="376"/>
      <c r="N86" s="177" t="str">
        <f t="shared" si="32"/>
        <v xml:space="preserve"> </v>
      </c>
      <c r="O86" s="28" t="str">
        <f t="shared" si="30"/>
        <v xml:space="preserve"> </v>
      </c>
      <c r="P86" s="28" t="str">
        <f>IF(N86&lt;&gt;" ",SUM(O$9:O85)+O86/2," ")</f>
        <v xml:space="preserve"> </v>
      </c>
      <c r="Q86" s="68" t="str">
        <f t="shared" si="31"/>
        <v xml:space="preserve"> </v>
      </c>
    </row>
    <row r="87" spans="7:17">
      <c r="G87" s="405"/>
      <c r="H87" s="364"/>
      <c r="I87" s="407"/>
      <c r="J87" s="364"/>
      <c r="K87" s="410"/>
      <c r="L87" s="413"/>
      <c r="M87" s="376"/>
      <c r="N87" s="177" t="str">
        <f t="shared" si="32"/>
        <v xml:space="preserve"> </v>
      </c>
      <c r="O87" s="28" t="str">
        <f t="shared" si="30"/>
        <v xml:space="preserve"> </v>
      </c>
      <c r="P87" s="28" t="str">
        <f>IF(N87&lt;&gt;" ",SUM(O$9:O86)+O87/2," ")</f>
        <v xml:space="preserve"> </v>
      </c>
      <c r="Q87" s="68" t="str">
        <f t="shared" si="31"/>
        <v xml:space="preserve"> </v>
      </c>
    </row>
    <row r="88" spans="7:17" ht="15.75" thickBot="1">
      <c r="G88" s="406"/>
      <c r="H88" s="365"/>
      <c r="I88" s="408"/>
      <c r="J88" s="365"/>
      <c r="K88" s="411"/>
      <c r="L88" s="414"/>
      <c r="M88" s="377"/>
      <c r="N88" s="180" t="str">
        <f t="shared" si="32"/>
        <v xml:space="preserve"> </v>
      </c>
      <c r="O88" s="70" t="str">
        <f t="shared" si="30"/>
        <v xml:space="preserve"> </v>
      </c>
      <c r="P88" s="70" t="str">
        <f>IF(N88&lt;&gt;" ",SUM(O$9:O87)+O88/2," ")</f>
        <v xml:space="preserve"> </v>
      </c>
      <c r="Q88" s="71" t="str">
        <f t="shared" si="31"/>
        <v xml:space="preserve"> </v>
      </c>
    </row>
    <row r="89" spans="7:17">
      <c r="G89" s="415">
        <f>'Несущая способность по грунту 1'!G89</f>
        <v>5</v>
      </c>
      <c r="H89" s="363" t="str">
        <f>VLOOKUP(G89,Геология!$D$7:$BO$993,7,FALSE)</f>
        <v xml:space="preserve">Супеси твердые   </v>
      </c>
      <c r="I89" s="416">
        <f>VLOOKUP(G89,Геология!$D$7:$BO$993,25,FALSE)</f>
        <v>6000</v>
      </c>
      <c r="J89" s="363">
        <f t="shared" ref="J89" si="33">IF(L79&lt;&gt;0,K79,J79)</f>
        <v>125</v>
      </c>
      <c r="K89" s="417">
        <f>'Несущая способность по грунту 1'!K89</f>
        <v>124</v>
      </c>
      <c r="L89" s="412">
        <f t="shared" ref="L89" si="34">IF(IF(G89&lt;&gt;0,J89-K89,0)&lt;0,0,IF(G89&lt;&gt;0,J89-K89,0))</f>
        <v>1</v>
      </c>
      <c r="M89" s="375"/>
      <c r="N89" s="181" t="str">
        <f>IF(M89&lt;&gt;0,MAX(N$9:N$88)+1," ")</f>
        <v xml:space="preserve"> </v>
      </c>
      <c r="O89" s="66" t="str">
        <f>IF(N89&lt;&gt;" ",L$79/COUNT(N$89:N$98), " ")</f>
        <v xml:space="preserve"> </v>
      </c>
      <c r="P89" s="66" t="str">
        <f>IF(N89&lt;&gt;" ",SUM(O$9:O88)+O89/2," ")</f>
        <v xml:space="preserve"> </v>
      </c>
      <c r="Q89" s="67" t="str">
        <f t="shared" si="31"/>
        <v xml:space="preserve"> </v>
      </c>
    </row>
    <row r="90" spans="7:17">
      <c r="G90" s="405"/>
      <c r="H90" s="364"/>
      <c r="I90" s="407"/>
      <c r="J90" s="364"/>
      <c r="K90" s="410"/>
      <c r="L90" s="413"/>
      <c r="M90" s="376"/>
      <c r="N90" s="177" t="str">
        <f t="shared" ref="N90:N98" si="35">IF(N89=" "," ", IF(N89&lt;SUM(M$9:M$98),N89+1, " "))</f>
        <v xml:space="preserve"> </v>
      </c>
      <c r="O90" s="28" t="str">
        <f t="shared" ref="O90:O98" si="36">IF(N90&lt;&gt;" ",L$79/COUNT(N$89:N$98), " ")</f>
        <v xml:space="preserve"> </v>
      </c>
      <c r="P90" s="28" t="str">
        <f>IF(N90&lt;&gt;" ",SUM(O$9:O89)+O90/2," ")</f>
        <v xml:space="preserve"> </v>
      </c>
      <c r="Q90" s="68" t="str">
        <f t="shared" ref="Q90:Q153" si="37">IF(O90&lt;&gt;" ",P90*$I$79," ")</f>
        <v xml:space="preserve"> </v>
      </c>
    </row>
    <row r="91" spans="7:17">
      <c r="G91" s="405"/>
      <c r="H91" s="364"/>
      <c r="I91" s="407"/>
      <c r="J91" s="364"/>
      <c r="K91" s="410"/>
      <c r="L91" s="413"/>
      <c r="M91" s="376"/>
      <c r="N91" s="177" t="str">
        <f t="shared" si="35"/>
        <v xml:space="preserve"> </v>
      </c>
      <c r="O91" s="28" t="str">
        <f t="shared" si="36"/>
        <v xml:space="preserve"> </v>
      </c>
      <c r="P91" s="28" t="str">
        <f>IF(N91&lt;&gt;" ",SUM(O$9:O90)+O91/2," ")</f>
        <v xml:space="preserve"> </v>
      </c>
      <c r="Q91" s="68" t="str">
        <f t="shared" si="37"/>
        <v xml:space="preserve"> </v>
      </c>
    </row>
    <row r="92" spans="7:17">
      <c r="G92" s="405"/>
      <c r="H92" s="364"/>
      <c r="I92" s="407"/>
      <c r="J92" s="364"/>
      <c r="K92" s="410"/>
      <c r="L92" s="413"/>
      <c r="M92" s="376"/>
      <c r="N92" s="177" t="str">
        <f t="shared" si="35"/>
        <v xml:space="preserve"> </v>
      </c>
      <c r="O92" s="28" t="str">
        <f t="shared" si="36"/>
        <v xml:space="preserve"> </v>
      </c>
      <c r="P92" s="28" t="str">
        <f>IF(N92&lt;&gt;" ",SUM(O$9:O91)+O92/2," ")</f>
        <v xml:space="preserve"> </v>
      </c>
      <c r="Q92" s="68" t="str">
        <f t="shared" si="37"/>
        <v xml:space="preserve"> </v>
      </c>
    </row>
    <row r="93" spans="7:17">
      <c r="G93" s="405"/>
      <c r="H93" s="364"/>
      <c r="I93" s="407"/>
      <c r="J93" s="364"/>
      <c r="K93" s="410"/>
      <c r="L93" s="413"/>
      <c r="M93" s="376"/>
      <c r="N93" s="177" t="str">
        <f t="shared" si="35"/>
        <v xml:space="preserve"> </v>
      </c>
      <c r="O93" s="28" t="str">
        <f t="shared" si="36"/>
        <v xml:space="preserve"> </v>
      </c>
      <c r="P93" s="28" t="str">
        <f>IF(N93&lt;&gt;" ",SUM(O$9:O92)+O93/2," ")</f>
        <v xml:space="preserve"> </v>
      </c>
      <c r="Q93" s="68" t="str">
        <f t="shared" si="37"/>
        <v xml:space="preserve"> </v>
      </c>
    </row>
    <row r="94" spans="7:17">
      <c r="G94" s="405"/>
      <c r="H94" s="364"/>
      <c r="I94" s="407"/>
      <c r="J94" s="364"/>
      <c r="K94" s="410"/>
      <c r="L94" s="413"/>
      <c r="M94" s="376"/>
      <c r="N94" s="177" t="str">
        <f t="shared" si="35"/>
        <v xml:space="preserve"> </v>
      </c>
      <c r="O94" s="28" t="str">
        <f t="shared" si="36"/>
        <v xml:space="preserve"> </v>
      </c>
      <c r="P94" s="28" t="str">
        <f>IF(N94&lt;&gt;" ",SUM(O$9:O93)+O94/2," ")</f>
        <v xml:space="preserve"> </v>
      </c>
      <c r="Q94" s="68" t="str">
        <f t="shared" si="37"/>
        <v xml:space="preserve"> </v>
      </c>
    </row>
    <row r="95" spans="7:17">
      <c r="G95" s="405"/>
      <c r="H95" s="364"/>
      <c r="I95" s="407"/>
      <c r="J95" s="364"/>
      <c r="K95" s="410"/>
      <c r="L95" s="413"/>
      <c r="M95" s="376"/>
      <c r="N95" s="177" t="str">
        <f t="shared" si="35"/>
        <v xml:space="preserve"> </v>
      </c>
      <c r="O95" s="28" t="str">
        <f t="shared" si="36"/>
        <v xml:space="preserve"> </v>
      </c>
      <c r="P95" s="28" t="str">
        <f>IF(N95&lt;&gt;" ",SUM(O$9:O94)+O95/2," ")</f>
        <v xml:space="preserve"> </v>
      </c>
      <c r="Q95" s="68" t="str">
        <f t="shared" si="37"/>
        <v xml:space="preserve"> </v>
      </c>
    </row>
    <row r="96" spans="7:17">
      <c r="G96" s="405"/>
      <c r="H96" s="364"/>
      <c r="I96" s="407"/>
      <c r="J96" s="364"/>
      <c r="K96" s="410"/>
      <c r="L96" s="413"/>
      <c r="M96" s="376"/>
      <c r="N96" s="177" t="str">
        <f t="shared" si="35"/>
        <v xml:space="preserve"> </v>
      </c>
      <c r="O96" s="28" t="str">
        <f t="shared" si="36"/>
        <v xml:space="preserve"> </v>
      </c>
      <c r="P96" s="28" t="str">
        <f>IF(N96&lt;&gt;" ",SUM(O$9:O95)+O96/2," ")</f>
        <v xml:space="preserve"> </v>
      </c>
      <c r="Q96" s="68" t="str">
        <f t="shared" si="37"/>
        <v xml:space="preserve"> </v>
      </c>
    </row>
    <row r="97" spans="7:17">
      <c r="G97" s="405"/>
      <c r="H97" s="364"/>
      <c r="I97" s="407"/>
      <c r="J97" s="364"/>
      <c r="K97" s="410"/>
      <c r="L97" s="413"/>
      <c r="M97" s="376"/>
      <c r="N97" s="177" t="str">
        <f t="shared" si="35"/>
        <v xml:space="preserve"> </v>
      </c>
      <c r="O97" s="28" t="str">
        <f t="shared" si="36"/>
        <v xml:space="preserve"> </v>
      </c>
      <c r="P97" s="28" t="str">
        <f>IF(N97&lt;&gt;" ",SUM(O$9:O96)+O97/2," ")</f>
        <v xml:space="preserve"> </v>
      </c>
      <c r="Q97" s="68" t="str">
        <f t="shared" si="37"/>
        <v xml:space="preserve"> </v>
      </c>
    </row>
    <row r="98" spans="7:17" ht="15.75" thickBot="1">
      <c r="G98" s="406"/>
      <c r="H98" s="365"/>
      <c r="I98" s="408"/>
      <c r="J98" s="365"/>
      <c r="K98" s="411"/>
      <c r="L98" s="414"/>
      <c r="M98" s="377"/>
      <c r="N98" s="180" t="str">
        <f t="shared" si="35"/>
        <v xml:space="preserve"> </v>
      </c>
      <c r="O98" s="70" t="str">
        <f t="shared" si="36"/>
        <v xml:space="preserve"> </v>
      </c>
      <c r="P98" s="70" t="str">
        <f>IF(N98&lt;&gt;" ",SUM(O$9:O97)+O98/2," ")</f>
        <v xml:space="preserve"> </v>
      </c>
      <c r="Q98" s="71" t="str">
        <f t="shared" si="37"/>
        <v xml:space="preserve"> </v>
      </c>
    </row>
    <row r="99" spans="7:17">
      <c r="G99" s="415">
        <f>'Несущая способность по грунту 1'!G99</f>
        <v>6</v>
      </c>
      <c r="H99" s="363" t="str">
        <f>VLOOKUP(G99,Геология!$D$7:$BO$993,7,FALSE)</f>
        <v>Суглинки полутвердые   с прослоями твердых глин</v>
      </c>
      <c r="I99" s="416">
        <f>VLOOKUP(G99,Геология!$D$7:$BO$993,25,FALSE)</f>
        <v>10000</v>
      </c>
      <c r="J99" s="363">
        <f t="shared" ref="J99" si="38">IF(L89&lt;&gt;0,K89,J89)</f>
        <v>124</v>
      </c>
      <c r="K99" s="417">
        <f>'Несущая способность по грунту 1'!K99</f>
        <v>120</v>
      </c>
      <c r="L99" s="412">
        <f t="shared" ref="L99" si="39">IF(IF(G99&lt;&gt;0,J99-K99,0)&lt;0,0,IF(G99&lt;&gt;0,J99-K99,0))</f>
        <v>4</v>
      </c>
      <c r="M99" s="375"/>
      <c r="N99" s="181" t="str">
        <f>IF(M99&lt;&gt;0,MAX(N$9:N$98)+1," ")</f>
        <v xml:space="preserve"> </v>
      </c>
      <c r="O99" s="66" t="str">
        <f>IF(N99&lt;&gt;" ",L$99/COUNT(N$99:N$108), " ")</f>
        <v xml:space="preserve"> </v>
      </c>
      <c r="P99" s="66" t="str">
        <f>IF(N99&lt;&gt;" ",SUM(O$9:O98)+O99/2," ")</f>
        <v xml:space="preserve"> </v>
      </c>
      <c r="Q99" s="67" t="str">
        <f t="shared" si="37"/>
        <v xml:space="preserve"> </v>
      </c>
    </row>
    <row r="100" spans="7:17">
      <c r="G100" s="405"/>
      <c r="H100" s="364"/>
      <c r="I100" s="407"/>
      <c r="J100" s="364"/>
      <c r="K100" s="410"/>
      <c r="L100" s="413"/>
      <c r="M100" s="376"/>
      <c r="N100" s="177" t="str">
        <f t="shared" ref="N100:N108" si="40">IF(N99=" "," ", IF(N99&lt;SUM(M$9:M$108),N99+1, " "))</f>
        <v xml:space="preserve"> </v>
      </c>
      <c r="O100" s="34" t="str">
        <f t="shared" ref="O100:O108" si="41">IF(N100&lt;&gt;" ",L$99/COUNT(N$99:N$108), " ")</f>
        <v xml:space="preserve"> </v>
      </c>
      <c r="P100" s="28" t="str">
        <f>IF(N100&lt;&gt;" ",SUM(O$9:O99)+O100/2," ")</f>
        <v xml:space="preserve"> </v>
      </c>
      <c r="Q100" s="68" t="str">
        <f t="shared" si="37"/>
        <v xml:space="preserve"> </v>
      </c>
    </row>
    <row r="101" spans="7:17">
      <c r="G101" s="405"/>
      <c r="H101" s="364"/>
      <c r="I101" s="407"/>
      <c r="J101" s="364"/>
      <c r="K101" s="410"/>
      <c r="L101" s="413"/>
      <c r="M101" s="376"/>
      <c r="N101" s="177" t="str">
        <f t="shared" si="40"/>
        <v xml:space="preserve"> </v>
      </c>
      <c r="O101" s="34" t="str">
        <f t="shared" si="41"/>
        <v xml:space="preserve"> </v>
      </c>
      <c r="P101" s="28" t="str">
        <f>IF(N101&lt;&gt;" ",SUM(O$9:O100)+O101/2," ")</f>
        <v xml:space="preserve"> </v>
      </c>
      <c r="Q101" s="68" t="str">
        <f t="shared" si="37"/>
        <v xml:space="preserve"> </v>
      </c>
    </row>
    <row r="102" spans="7:17">
      <c r="G102" s="405"/>
      <c r="H102" s="364"/>
      <c r="I102" s="407"/>
      <c r="J102" s="364"/>
      <c r="K102" s="410"/>
      <c r="L102" s="413"/>
      <c r="M102" s="376"/>
      <c r="N102" s="177" t="str">
        <f t="shared" si="40"/>
        <v xml:space="preserve"> </v>
      </c>
      <c r="O102" s="34" t="str">
        <f t="shared" si="41"/>
        <v xml:space="preserve"> </v>
      </c>
      <c r="P102" s="28" t="str">
        <f>IF(N102&lt;&gt;" ",SUM(O$9:O101)+O102/2," ")</f>
        <v xml:space="preserve"> </v>
      </c>
      <c r="Q102" s="68" t="str">
        <f t="shared" si="37"/>
        <v xml:space="preserve"> </v>
      </c>
    </row>
    <row r="103" spans="7:17">
      <c r="G103" s="405"/>
      <c r="H103" s="364"/>
      <c r="I103" s="407"/>
      <c r="J103" s="364"/>
      <c r="K103" s="410"/>
      <c r="L103" s="413"/>
      <c r="M103" s="376"/>
      <c r="N103" s="177" t="str">
        <f t="shared" si="40"/>
        <v xml:space="preserve"> </v>
      </c>
      <c r="O103" s="34" t="str">
        <f t="shared" si="41"/>
        <v xml:space="preserve"> </v>
      </c>
      <c r="P103" s="28" t="str">
        <f>IF(N103&lt;&gt;" ",SUM(O$9:O102)+O103/2," ")</f>
        <v xml:space="preserve"> </v>
      </c>
      <c r="Q103" s="68" t="str">
        <f t="shared" si="37"/>
        <v xml:space="preserve"> </v>
      </c>
    </row>
    <row r="104" spans="7:17">
      <c r="G104" s="405"/>
      <c r="H104" s="364"/>
      <c r="I104" s="407"/>
      <c r="J104" s="364"/>
      <c r="K104" s="410"/>
      <c r="L104" s="413"/>
      <c r="M104" s="376"/>
      <c r="N104" s="177" t="str">
        <f t="shared" si="40"/>
        <v xml:space="preserve"> </v>
      </c>
      <c r="O104" s="34" t="str">
        <f t="shared" si="41"/>
        <v xml:space="preserve"> </v>
      </c>
      <c r="P104" s="28" t="str">
        <f>IF(N104&lt;&gt;" ",SUM(O$9:O103)+O104/2," ")</f>
        <v xml:space="preserve"> </v>
      </c>
      <c r="Q104" s="68" t="str">
        <f t="shared" si="37"/>
        <v xml:space="preserve"> </v>
      </c>
    </row>
    <row r="105" spans="7:17">
      <c r="G105" s="405"/>
      <c r="H105" s="364"/>
      <c r="I105" s="407"/>
      <c r="J105" s="364"/>
      <c r="K105" s="410"/>
      <c r="L105" s="413"/>
      <c r="M105" s="376"/>
      <c r="N105" s="177" t="str">
        <f t="shared" si="40"/>
        <v xml:space="preserve"> </v>
      </c>
      <c r="O105" s="34" t="str">
        <f t="shared" si="41"/>
        <v xml:space="preserve"> </v>
      </c>
      <c r="P105" s="28" t="str">
        <f>IF(N105&lt;&gt;" ",SUM(O$9:O104)+O105/2," ")</f>
        <v xml:space="preserve"> </v>
      </c>
      <c r="Q105" s="68" t="str">
        <f t="shared" si="37"/>
        <v xml:space="preserve"> </v>
      </c>
    </row>
    <row r="106" spans="7:17">
      <c r="G106" s="405"/>
      <c r="H106" s="364"/>
      <c r="I106" s="407"/>
      <c r="J106" s="364"/>
      <c r="K106" s="410"/>
      <c r="L106" s="413"/>
      <c r="M106" s="376"/>
      <c r="N106" s="177" t="str">
        <f t="shared" si="40"/>
        <v xml:space="preserve"> </v>
      </c>
      <c r="O106" s="34" t="str">
        <f t="shared" si="41"/>
        <v xml:space="preserve"> </v>
      </c>
      <c r="P106" s="28" t="str">
        <f>IF(N106&lt;&gt;" ",SUM(O$9:O105)+O106/2," ")</f>
        <v xml:space="preserve"> </v>
      </c>
      <c r="Q106" s="68" t="str">
        <f t="shared" si="37"/>
        <v xml:space="preserve"> </v>
      </c>
    </row>
    <row r="107" spans="7:17">
      <c r="G107" s="405"/>
      <c r="H107" s="364"/>
      <c r="I107" s="407"/>
      <c r="J107" s="364"/>
      <c r="K107" s="410"/>
      <c r="L107" s="413"/>
      <c r="M107" s="376"/>
      <c r="N107" s="177" t="str">
        <f t="shared" si="40"/>
        <v xml:space="preserve"> </v>
      </c>
      <c r="O107" s="34" t="str">
        <f t="shared" si="41"/>
        <v xml:space="preserve"> </v>
      </c>
      <c r="P107" s="28" t="str">
        <f>IF(N107&lt;&gt;" ",SUM(O$9:O106)+O107/2," ")</f>
        <v xml:space="preserve"> </v>
      </c>
      <c r="Q107" s="68" t="str">
        <f t="shared" si="37"/>
        <v xml:space="preserve"> </v>
      </c>
    </row>
    <row r="108" spans="7:17" ht="15.75" thickBot="1">
      <c r="G108" s="406"/>
      <c r="H108" s="365"/>
      <c r="I108" s="408"/>
      <c r="J108" s="365"/>
      <c r="K108" s="411"/>
      <c r="L108" s="414"/>
      <c r="M108" s="377"/>
      <c r="N108" s="180" t="str">
        <f t="shared" si="40"/>
        <v xml:space="preserve"> </v>
      </c>
      <c r="O108" s="196" t="str">
        <f t="shared" si="41"/>
        <v xml:space="preserve"> </v>
      </c>
      <c r="P108" s="70" t="str">
        <f>IF(N108&lt;&gt;" ",SUM(O$9:O107)+O108/2," ")</f>
        <v xml:space="preserve"> </v>
      </c>
      <c r="Q108" s="71" t="str">
        <f t="shared" si="37"/>
        <v xml:space="preserve"> </v>
      </c>
    </row>
    <row r="109" spans="7:17">
      <c r="G109" s="415">
        <f>'Несущая способность по грунту 1'!G109</f>
        <v>0</v>
      </c>
      <c r="H109" s="363" t="e">
        <f>VLOOKUP(G109,Геология!$D$7:$BO$993,7,FALSE)</f>
        <v>#N/A</v>
      </c>
      <c r="I109" s="416" t="e">
        <f>VLOOKUP(G109,Геология!$D$7:$BO$993,25,FALSE)</f>
        <v>#N/A</v>
      </c>
      <c r="J109" s="363">
        <f t="shared" ref="J109" si="42">IF(L99&lt;&gt;0,K99,J99)</f>
        <v>120</v>
      </c>
      <c r="K109" s="417">
        <f>'Несущая способность по грунту 1'!K109</f>
        <v>120</v>
      </c>
      <c r="L109" s="412">
        <f t="shared" ref="L109" si="43">IF(IF(G109&lt;&gt;0,J109-K109,0)&lt;0,0,IF(G109&lt;&gt;0,J109-K109,0))</f>
        <v>0</v>
      </c>
      <c r="M109" s="375"/>
      <c r="N109" s="181" t="str">
        <f>IF(M109&lt;&gt;0,MAX(N$9:N$108)+1," ")</f>
        <v xml:space="preserve"> </v>
      </c>
      <c r="O109" s="66" t="str">
        <f>IF(N109&lt;&gt;" ",L$109/COUNT(N$109:N$118), " ")</f>
        <v xml:space="preserve"> </v>
      </c>
      <c r="P109" s="66" t="str">
        <f>IF(N109&lt;&gt;" ",SUM(O$9:O108)+O109/2," ")</f>
        <v xml:space="preserve"> </v>
      </c>
      <c r="Q109" s="67" t="str">
        <f t="shared" si="37"/>
        <v xml:space="preserve"> </v>
      </c>
    </row>
    <row r="110" spans="7:17">
      <c r="G110" s="405"/>
      <c r="H110" s="364"/>
      <c r="I110" s="407"/>
      <c r="J110" s="364"/>
      <c r="K110" s="410"/>
      <c r="L110" s="413"/>
      <c r="M110" s="376"/>
      <c r="N110" s="177" t="str">
        <f t="shared" ref="N110:N118" si="44">IF(N109=" "," ", IF(N109&lt;SUM(M$9:M$118),N109+1, " "))</f>
        <v xml:space="preserve"> </v>
      </c>
      <c r="O110" s="28" t="str">
        <f t="shared" ref="O110:O118" si="45">IF(N110&lt;&gt;" ",L$109/COUNT(N$109:N$118), " ")</f>
        <v xml:space="preserve"> </v>
      </c>
      <c r="P110" s="28" t="str">
        <f>IF(N110&lt;&gt;" ",SUM(O$9:O109)+O110/2," ")</f>
        <v xml:space="preserve"> </v>
      </c>
      <c r="Q110" s="68" t="str">
        <f t="shared" si="37"/>
        <v xml:space="preserve"> </v>
      </c>
    </row>
    <row r="111" spans="7:17">
      <c r="G111" s="405"/>
      <c r="H111" s="364"/>
      <c r="I111" s="407"/>
      <c r="J111" s="364"/>
      <c r="K111" s="410"/>
      <c r="L111" s="413"/>
      <c r="M111" s="376"/>
      <c r="N111" s="177" t="str">
        <f t="shared" si="44"/>
        <v xml:space="preserve"> </v>
      </c>
      <c r="O111" s="28" t="str">
        <f t="shared" si="45"/>
        <v xml:space="preserve"> </v>
      </c>
      <c r="P111" s="28" t="str">
        <f>IF(N111&lt;&gt;" ",SUM(O$9:O110)+O111/2," ")</f>
        <v xml:space="preserve"> </v>
      </c>
      <c r="Q111" s="68" t="str">
        <f t="shared" si="37"/>
        <v xml:space="preserve"> </v>
      </c>
    </row>
    <row r="112" spans="7:17">
      <c r="G112" s="405"/>
      <c r="H112" s="364"/>
      <c r="I112" s="407"/>
      <c r="J112" s="364"/>
      <c r="K112" s="410"/>
      <c r="L112" s="413"/>
      <c r="M112" s="376"/>
      <c r="N112" s="177" t="str">
        <f t="shared" si="44"/>
        <v xml:space="preserve"> </v>
      </c>
      <c r="O112" s="28" t="str">
        <f t="shared" si="45"/>
        <v xml:space="preserve"> </v>
      </c>
      <c r="P112" s="28" t="str">
        <f>IF(N112&lt;&gt;" ",SUM(O$9:O111)+O112/2," ")</f>
        <v xml:space="preserve"> </v>
      </c>
      <c r="Q112" s="68" t="str">
        <f t="shared" si="37"/>
        <v xml:space="preserve"> </v>
      </c>
    </row>
    <row r="113" spans="7:17">
      <c r="G113" s="405"/>
      <c r="H113" s="364"/>
      <c r="I113" s="407"/>
      <c r="J113" s="364"/>
      <c r="K113" s="410"/>
      <c r="L113" s="413"/>
      <c r="M113" s="376"/>
      <c r="N113" s="177" t="str">
        <f t="shared" si="44"/>
        <v xml:space="preserve"> </v>
      </c>
      <c r="O113" s="28" t="str">
        <f t="shared" si="45"/>
        <v xml:space="preserve"> </v>
      </c>
      <c r="P113" s="28" t="str">
        <f>IF(N113&lt;&gt;" ",SUM(O$9:O112)+O113/2," ")</f>
        <v xml:space="preserve"> </v>
      </c>
      <c r="Q113" s="68" t="str">
        <f t="shared" si="37"/>
        <v xml:space="preserve"> </v>
      </c>
    </row>
    <row r="114" spans="7:17">
      <c r="G114" s="405"/>
      <c r="H114" s="364"/>
      <c r="I114" s="407"/>
      <c r="J114" s="364"/>
      <c r="K114" s="410"/>
      <c r="L114" s="413"/>
      <c r="M114" s="376"/>
      <c r="N114" s="177" t="str">
        <f t="shared" si="44"/>
        <v xml:space="preserve"> </v>
      </c>
      <c r="O114" s="28" t="str">
        <f t="shared" si="45"/>
        <v xml:space="preserve"> </v>
      </c>
      <c r="P114" s="28" t="str">
        <f>IF(N114&lt;&gt;" ",SUM(O$9:O113)+O114/2," ")</f>
        <v xml:space="preserve"> </v>
      </c>
      <c r="Q114" s="68" t="str">
        <f t="shared" si="37"/>
        <v xml:space="preserve"> </v>
      </c>
    </row>
    <row r="115" spans="7:17">
      <c r="G115" s="405"/>
      <c r="H115" s="364"/>
      <c r="I115" s="407"/>
      <c r="J115" s="364"/>
      <c r="K115" s="410"/>
      <c r="L115" s="413"/>
      <c r="M115" s="376"/>
      <c r="N115" s="177" t="str">
        <f t="shared" si="44"/>
        <v xml:space="preserve"> </v>
      </c>
      <c r="O115" s="28" t="str">
        <f t="shared" si="45"/>
        <v xml:space="preserve"> </v>
      </c>
      <c r="P115" s="28" t="str">
        <f>IF(N115&lt;&gt;" ",SUM(O$9:O114)+O115/2," ")</f>
        <v xml:space="preserve"> </v>
      </c>
      <c r="Q115" s="68" t="str">
        <f t="shared" si="37"/>
        <v xml:space="preserve"> </v>
      </c>
    </row>
    <row r="116" spans="7:17">
      <c r="G116" s="405"/>
      <c r="H116" s="364"/>
      <c r="I116" s="407"/>
      <c r="J116" s="364"/>
      <c r="K116" s="410"/>
      <c r="L116" s="413"/>
      <c r="M116" s="376"/>
      <c r="N116" s="177" t="str">
        <f t="shared" si="44"/>
        <v xml:space="preserve"> </v>
      </c>
      <c r="O116" s="28" t="str">
        <f t="shared" si="45"/>
        <v xml:space="preserve"> </v>
      </c>
      <c r="P116" s="28" t="str">
        <f>IF(N116&lt;&gt;" ",SUM(O$9:O115)+O116/2," ")</f>
        <v xml:space="preserve"> </v>
      </c>
      <c r="Q116" s="68" t="str">
        <f t="shared" si="37"/>
        <v xml:space="preserve"> </v>
      </c>
    </row>
    <row r="117" spans="7:17">
      <c r="G117" s="405"/>
      <c r="H117" s="364"/>
      <c r="I117" s="407"/>
      <c r="J117" s="364"/>
      <c r="K117" s="410"/>
      <c r="L117" s="413"/>
      <c r="M117" s="376"/>
      <c r="N117" s="177" t="str">
        <f t="shared" si="44"/>
        <v xml:space="preserve"> </v>
      </c>
      <c r="O117" s="28" t="str">
        <f t="shared" si="45"/>
        <v xml:space="preserve"> </v>
      </c>
      <c r="P117" s="28" t="str">
        <f>IF(N117&lt;&gt;" ",SUM(O$9:O116)+O117/2," ")</f>
        <v xml:space="preserve"> </v>
      </c>
      <c r="Q117" s="68" t="str">
        <f t="shared" si="37"/>
        <v xml:space="preserve"> </v>
      </c>
    </row>
    <row r="118" spans="7:17" ht="15.75" thickBot="1">
      <c r="G118" s="406"/>
      <c r="H118" s="365"/>
      <c r="I118" s="408"/>
      <c r="J118" s="365"/>
      <c r="K118" s="411"/>
      <c r="L118" s="414"/>
      <c r="M118" s="377"/>
      <c r="N118" s="180" t="str">
        <f t="shared" si="44"/>
        <v xml:space="preserve"> </v>
      </c>
      <c r="O118" s="70" t="str">
        <f t="shared" si="45"/>
        <v xml:space="preserve"> </v>
      </c>
      <c r="P118" s="70" t="str">
        <f>IF(N118&lt;&gt;" ",SUM(O$9:O117)+O118/2," ")</f>
        <v xml:space="preserve"> </v>
      </c>
      <c r="Q118" s="71" t="str">
        <f t="shared" si="37"/>
        <v xml:space="preserve"> </v>
      </c>
    </row>
    <row r="119" spans="7:17">
      <c r="G119" s="415">
        <f>'Несущая способность по грунту 1'!G119</f>
        <v>0</v>
      </c>
      <c r="H119" s="363" t="e">
        <f>VLOOKUP(G119,Геология!$D$7:$BO$993,7,FALSE)</f>
        <v>#N/A</v>
      </c>
      <c r="I119" s="416" t="e">
        <f>VLOOKUP(G119,Геология!$D$7:$BO$993,25,FALSE)</f>
        <v>#N/A</v>
      </c>
      <c r="J119" s="363">
        <f t="shared" ref="J119" si="46">IF(L109&lt;&gt;0,K109,J109)</f>
        <v>120</v>
      </c>
      <c r="K119" s="417">
        <f>'Несущая способность по грунту 1'!K119</f>
        <v>120</v>
      </c>
      <c r="L119" s="412">
        <f t="shared" ref="L119" si="47">IF(IF(G119&lt;&gt;0,J119-K119,0)&lt;0,0,IF(G119&lt;&gt;0,J119-K119,0))</f>
        <v>0</v>
      </c>
      <c r="M119" s="375"/>
      <c r="N119" s="181" t="str">
        <f>IF(M119&lt;&gt;0,MAX(N$9:N$118)+1," ")</f>
        <v xml:space="preserve"> </v>
      </c>
      <c r="O119" s="66" t="str">
        <f>IF(N119&lt;&gt;" ",L$119/COUNT(N$119:N$128), " ")</f>
        <v xml:space="preserve"> </v>
      </c>
      <c r="P119" s="66" t="str">
        <f>IF(N119&lt;&gt;" ",SUM(O$9:O118)+O119/2," ")</f>
        <v xml:space="preserve"> </v>
      </c>
      <c r="Q119" s="67" t="str">
        <f t="shared" si="37"/>
        <v xml:space="preserve"> </v>
      </c>
    </row>
    <row r="120" spans="7:17">
      <c r="G120" s="405"/>
      <c r="H120" s="364"/>
      <c r="I120" s="407"/>
      <c r="J120" s="364"/>
      <c r="K120" s="410"/>
      <c r="L120" s="413"/>
      <c r="M120" s="376"/>
      <c r="N120" s="177" t="str">
        <f t="shared" ref="N120:N128" si="48">IF(N119=" "," ", IF(N119&lt;SUM(M$9:M$128),N119+1, " "))</f>
        <v xml:space="preserve"> </v>
      </c>
      <c r="O120" s="34" t="str">
        <f t="shared" ref="O120:O128" si="49">IF(N120&lt;&gt;" ",L$119/COUNT(N$119:N$128), " ")</f>
        <v xml:space="preserve"> </v>
      </c>
      <c r="P120" s="28" t="str">
        <f>IF(N120&lt;&gt;" ",SUM(O$9:O119)+O120/2," ")</f>
        <v xml:space="preserve"> </v>
      </c>
      <c r="Q120" s="68" t="str">
        <f t="shared" si="37"/>
        <v xml:space="preserve"> </v>
      </c>
    </row>
    <row r="121" spans="7:17">
      <c r="G121" s="405"/>
      <c r="H121" s="364"/>
      <c r="I121" s="407"/>
      <c r="J121" s="364"/>
      <c r="K121" s="410"/>
      <c r="L121" s="413"/>
      <c r="M121" s="376"/>
      <c r="N121" s="177" t="str">
        <f t="shared" si="48"/>
        <v xml:space="preserve"> </v>
      </c>
      <c r="O121" s="34" t="str">
        <f t="shared" si="49"/>
        <v xml:space="preserve"> </v>
      </c>
      <c r="P121" s="28" t="str">
        <f>IF(N121&lt;&gt;" ",SUM(O$9:O120)+O121/2," ")</f>
        <v xml:space="preserve"> </v>
      </c>
      <c r="Q121" s="68" t="str">
        <f t="shared" si="37"/>
        <v xml:space="preserve"> </v>
      </c>
    </row>
    <row r="122" spans="7:17">
      <c r="G122" s="405"/>
      <c r="H122" s="364"/>
      <c r="I122" s="407"/>
      <c r="J122" s="364"/>
      <c r="K122" s="410"/>
      <c r="L122" s="413"/>
      <c r="M122" s="376"/>
      <c r="N122" s="177" t="str">
        <f t="shared" si="48"/>
        <v xml:space="preserve"> </v>
      </c>
      <c r="O122" s="34" t="str">
        <f t="shared" si="49"/>
        <v xml:space="preserve"> </v>
      </c>
      <c r="P122" s="28" t="str">
        <f>IF(N122&lt;&gt;" ",SUM(O$9:O121)+O122/2," ")</f>
        <v xml:space="preserve"> </v>
      </c>
      <c r="Q122" s="68" t="str">
        <f t="shared" si="37"/>
        <v xml:space="preserve"> </v>
      </c>
    </row>
    <row r="123" spans="7:17">
      <c r="G123" s="405"/>
      <c r="H123" s="364"/>
      <c r="I123" s="407"/>
      <c r="J123" s="364"/>
      <c r="K123" s="410"/>
      <c r="L123" s="413"/>
      <c r="M123" s="376"/>
      <c r="N123" s="177" t="str">
        <f t="shared" si="48"/>
        <v xml:space="preserve"> </v>
      </c>
      <c r="O123" s="34" t="str">
        <f t="shared" si="49"/>
        <v xml:space="preserve"> </v>
      </c>
      <c r="P123" s="28" t="str">
        <f>IF(N123&lt;&gt;" ",SUM(O$9:O122)+O123/2," ")</f>
        <v xml:space="preserve"> </v>
      </c>
      <c r="Q123" s="68" t="str">
        <f t="shared" si="37"/>
        <v xml:space="preserve"> </v>
      </c>
    </row>
    <row r="124" spans="7:17">
      <c r="G124" s="405"/>
      <c r="H124" s="364"/>
      <c r="I124" s="407"/>
      <c r="J124" s="364"/>
      <c r="K124" s="410"/>
      <c r="L124" s="413"/>
      <c r="M124" s="376"/>
      <c r="N124" s="177" t="str">
        <f t="shared" si="48"/>
        <v xml:space="preserve"> </v>
      </c>
      <c r="O124" s="34" t="str">
        <f t="shared" si="49"/>
        <v xml:space="preserve"> </v>
      </c>
      <c r="P124" s="28" t="str">
        <f>IF(N124&lt;&gt;" ",SUM(O$9:O123)+O124/2," ")</f>
        <v xml:space="preserve"> </v>
      </c>
      <c r="Q124" s="68" t="str">
        <f t="shared" si="37"/>
        <v xml:space="preserve"> </v>
      </c>
    </row>
    <row r="125" spans="7:17">
      <c r="G125" s="405"/>
      <c r="H125" s="364"/>
      <c r="I125" s="407"/>
      <c r="J125" s="364"/>
      <c r="K125" s="410"/>
      <c r="L125" s="413"/>
      <c r="M125" s="376"/>
      <c r="N125" s="177" t="str">
        <f t="shared" si="48"/>
        <v xml:space="preserve"> </v>
      </c>
      <c r="O125" s="34" t="str">
        <f t="shared" si="49"/>
        <v xml:space="preserve"> </v>
      </c>
      <c r="P125" s="28" t="str">
        <f>IF(N125&lt;&gt;" ",SUM(O$9:O124)+O125/2," ")</f>
        <v xml:space="preserve"> </v>
      </c>
      <c r="Q125" s="68" t="str">
        <f t="shared" si="37"/>
        <v xml:space="preserve"> </v>
      </c>
    </row>
    <row r="126" spans="7:17">
      <c r="G126" s="405"/>
      <c r="H126" s="364"/>
      <c r="I126" s="407"/>
      <c r="J126" s="364"/>
      <c r="K126" s="410"/>
      <c r="L126" s="413"/>
      <c r="M126" s="376"/>
      <c r="N126" s="177" t="str">
        <f t="shared" si="48"/>
        <v xml:space="preserve"> </v>
      </c>
      <c r="O126" s="34" t="str">
        <f t="shared" si="49"/>
        <v xml:space="preserve"> </v>
      </c>
      <c r="P126" s="28" t="str">
        <f>IF(N126&lt;&gt;" ",SUM(O$9:O125)+O126/2," ")</f>
        <v xml:space="preserve"> </v>
      </c>
      <c r="Q126" s="68" t="str">
        <f t="shared" si="37"/>
        <v xml:space="preserve"> </v>
      </c>
    </row>
    <row r="127" spans="7:17">
      <c r="G127" s="405"/>
      <c r="H127" s="364"/>
      <c r="I127" s="407"/>
      <c r="J127" s="364"/>
      <c r="K127" s="410"/>
      <c r="L127" s="413"/>
      <c r="M127" s="376"/>
      <c r="N127" s="177" t="str">
        <f t="shared" si="48"/>
        <v xml:space="preserve"> </v>
      </c>
      <c r="O127" s="34" t="str">
        <f t="shared" si="49"/>
        <v xml:space="preserve"> </v>
      </c>
      <c r="P127" s="28" t="str">
        <f>IF(N127&lt;&gt;" ",SUM(O$9:O126)+O127/2," ")</f>
        <v xml:space="preserve"> </v>
      </c>
      <c r="Q127" s="68" t="str">
        <f t="shared" si="37"/>
        <v xml:space="preserve"> </v>
      </c>
    </row>
    <row r="128" spans="7:17" ht="15.75" thickBot="1">
      <c r="G128" s="406"/>
      <c r="H128" s="365"/>
      <c r="I128" s="408"/>
      <c r="J128" s="365"/>
      <c r="K128" s="411"/>
      <c r="L128" s="414"/>
      <c r="M128" s="377"/>
      <c r="N128" s="180" t="str">
        <f t="shared" si="48"/>
        <v xml:space="preserve"> </v>
      </c>
      <c r="O128" s="196" t="str">
        <f t="shared" si="49"/>
        <v xml:space="preserve"> </v>
      </c>
      <c r="P128" s="70" t="str">
        <f>IF(N128&lt;&gt;" ",SUM(O$9:O127)+O128/2," ")</f>
        <v xml:space="preserve"> </v>
      </c>
      <c r="Q128" s="71" t="str">
        <f t="shared" si="37"/>
        <v xml:space="preserve"> </v>
      </c>
    </row>
    <row r="129" spans="7:17">
      <c r="G129" s="415">
        <f>'Несущая способность по грунту 1'!G129</f>
        <v>0</v>
      </c>
      <c r="H129" s="363" t="e">
        <f>VLOOKUP(G129,Геология!$D$7:$BO$993,7,FALSE)</f>
        <v>#N/A</v>
      </c>
      <c r="I129" s="416" t="e">
        <f>VLOOKUP(G129,Геология!$D$7:$BO$993,25,FALSE)</f>
        <v>#N/A</v>
      </c>
      <c r="J129" s="363">
        <f t="shared" ref="J129" si="50">IF(L119&lt;&gt;0,K119,J119)</f>
        <v>120</v>
      </c>
      <c r="K129" s="417">
        <f>'Несущая способность по грунту 1'!K129</f>
        <v>120</v>
      </c>
      <c r="L129" s="412">
        <f t="shared" ref="L129" si="51">IF(IF(G129&lt;&gt;0,J129-K129,0)&lt;0,0,IF(G129&lt;&gt;0,J129-K129,0))</f>
        <v>0</v>
      </c>
      <c r="M129" s="375"/>
      <c r="N129" s="181" t="str">
        <f>IF(M129&lt;&gt;0,MAX(N$9:N$128)+1," ")</f>
        <v xml:space="preserve"> </v>
      </c>
      <c r="O129" s="66" t="str">
        <f>IF(N129&lt;&gt;" ",L$129/COUNT(N$129:N$138), " ")</f>
        <v xml:space="preserve"> </v>
      </c>
      <c r="P129" s="66" t="str">
        <f>IF(N129&lt;&gt;" ",SUM(O$9:O128)+O129/2," ")</f>
        <v xml:space="preserve"> </v>
      </c>
      <c r="Q129" s="67" t="str">
        <f t="shared" si="37"/>
        <v xml:space="preserve"> </v>
      </c>
    </row>
    <row r="130" spans="7:17">
      <c r="G130" s="405"/>
      <c r="H130" s="364"/>
      <c r="I130" s="407"/>
      <c r="J130" s="364"/>
      <c r="K130" s="410"/>
      <c r="L130" s="413"/>
      <c r="M130" s="376"/>
      <c r="N130" s="177" t="str">
        <f t="shared" ref="N130:N138" si="52">IF(N129=" "," ", IF(N129&lt;SUM(M$9:M$138),N129+1, " "))</f>
        <v xml:space="preserve"> </v>
      </c>
      <c r="O130" s="28" t="str">
        <f t="shared" ref="O130:O138" si="53">IF(N130&lt;&gt;" ",L$129/COUNT(N$129:N$138), " ")</f>
        <v xml:space="preserve"> </v>
      </c>
      <c r="P130" s="28" t="str">
        <f>IF(N130&lt;&gt;" ",SUM(O$9:O129)+O130/2," ")</f>
        <v xml:space="preserve"> </v>
      </c>
      <c r="Q130" s="68" t="str">
        <f t="shared" si="37"/>
        <v xml:space="preserve"> </v>
      </c>
    </row>
    <row r="131" spans="7:17">
      <c r="G131" s="405"/>
      <c r="H131" s="364"/>
      <c r="I131" s="407"/>
      <c r="J131" s="364"/>
      <c r="K131" s="410"/>
      <c r="L131" s="413"/>
      <c r="M131" s="376"/>
      <c r="N131" s="177" t="str">
        <f t="shared" si="52"/>
        <v xml:space="preserve"> </v>
      </c>
      <c r="O131" s="28" t="str">
        <f t="shared" si="53"/>
        <v xml:space="preserve"> </v>
      </c>
      <c r="P131" s="28" t="str">
        <f>IF(N131&lt;&gt;" ",SUM(O$9:O130)+O131/2," ")</f>
        <v xml:space="preserve"> </v>
      </c>
      <c r="Q131" s="68" t="str">
        <f t="shared" si="37"/>
        <v xml:space="preserve"> </v>
      </c>
    </row>
    <row r="132" spans="7:17">
      <c r="G132" s="405"/>
      <c r="H132" s="364"/>
      <c r="I132" s="407"/>
      <c r="J132" s="364"/>
      <c r="K132" s="410"/>
      <c r="L132" s="413"/>
      <c r="M132" s="376"/>
      <c r="N132" s="177" t="str">
        <f t="shared" si="52"/>
        <v xml:space="preserve"> </v>
      </c>
      <c r="O132" s="28" t="str">
        <f t="shared" si="53"/>
        <v xml:space="preserve"> </v>
      </c>
      <c r="P132" s="28" t="str">
        <f>IF(N132&lt;&gt;" ",SUM(O$9:O131)+O132/2," ")</f>
        <v xml:space="preserve"> </v>
      </c>
      <c r="Q132" s="68" t="str">
        <f t="shared" si="37"/>
        <v xml:space="preserve"> </v>
      </c>
    </row>
    <row r="133" spans="7:17">
      <c r="G133" s="405"/>
      <c r="H133" s="364"/>
      <c r="I133" s="407"/>
      <c r="J133" s="364"/>
      <c r="K133" s="410"/>
      <c r="L133" s="413"/>
      <c r="M133" s="376"/>
      <c r="N133" s="177" t="str">
        <f t="shared" si="52"/>
        <v xml:space="preserve"> </v>
      </c>
      <c r="O133" s="28" t="str">
        <f t="shared" si="53"/>
        <v xml:space="preserve"> </v>
      </c>
      <c r="P133" s="28" t="str">
        <f>IF(N133&lt;&gt;" ",SUM(O$9:O132)+O133/2," ")</f>
        <v xml:space="preserve"> </v>
      </c>
      <c r="Q133" s="68" t="str">
        <f t="shared" si="37"/>
        <v xml:space="preserve"> </v>
      </c>
    </row>
    <row r="134" spans="7:17">
      <c r="G134" s="405"/>
      <c r="H134" s="364"/>
      <c r="I134" s="407"/>
      <c r="J134" s="364"/>
      <c r="K134" s="410"/>
      <c r="L134" s="413"/>
      <c r="M134" s="376"/>
      <c r="N134" s="177" t="str">
        <f t="shared" si="52"/>
        <v xml:space="preserve"> </v>
      </c>
      <c r="O134" s="28" t="str">
        <f t="shared" si="53"/>
        <v xml:space="preserve"> </v>
      </c>
      <c r="P134" s="28" t="str">
        <f>IF(N134&lt;&gt;" ",SUM(O$9:O133)+O134/2," ")</f>
        <v xml:space="preserve"> </v>
      </c>
      <c r="Q134" s="68" t="str">
        <f t="shared" si="37"/>
        <v xml:space="preserve"> </v>
      </c>
    </row>
    <row r="135" spans="7:17">
      <c r="G135" s="405"/>
      <c r="H135" s="364"/>
      <c r="I135" s="407"/>
      <c r="J135" s="364"/>
      <c r="K135" s="410"/>
      <c r="L135" s="413"/>
      <c r="M135" s="376"/>
      <c r="N135" s="177" t="str">
        <f t="shared" si="52"/>
        <v xml:space="preserve"> </v>
      </c>
      <c r="O135" s="28" t="str">
        <f t="shared" si="53"/>
        <v xml:space="preserve"> </v>
      </c>
      <c r="P135" s="28" t="str">
        <f>IF(N135&lt;&gt;" ",SUM(O$9:O134)+O135/2," ")</f>
        <v xml:space="preserve"> </v>
      </c>
      <c r="Q135" s="68" t="str">
        <f t="shared" si="37"/>
        <v xml:space="preserve"> </v>
      </c>
    </row>
    <row r="136" spans="7:17">
      <c r="G136" s="405"/>
      <c r="H136" s="364"/>
      <c r="I136" s="407"/>
      <c r="J136" s="364"/>
      <c r="K136" s="410"/>
      <c r="L136" s="413"/>
      <c r="M136" s="376"/>
      <c r="N136" s="177" t="str">
        <f t="shared" si="52"/>
        <v xml:space="preserve"> </v>
      </c>
      <c r="O136" s="28" t="str">
        <f t="shared" si="53"/>
        <v xml:space="preserve"> </v>
      </c>
      <c r="P136" s="28" t="str">
        <f>IF(N136&lt;&gt;" ",SUM(O$9:O135)+O136/2," ")</f>
        <v xml:space="preserve"> </v>
      </c>
      <c r="Q136" s="68" t="str">
        <f t="shared" si="37"/>
        <v xml:space="preserve"> </v>
      </c>
    </row>
    <row r="137" spans="7:17">
      <c r="G137" s="405"/>
      <c r="H137" s="364"/>
      <c r="I137" s="407"/>
      <c r="J137" s="364"/>
      <c r="K137" s="410"/>
      <c r="L137" s="413"/>
      <c r="M137" s="376"/>
      <c r="N137" s="177" t="str">
        <f t="shared" si="52"/>
        <v xml:space="preserve"> </v>
      </c>
      <c r="O137" s="28" t="str">
        <f t="shared" si="53"/>
        <v xml:space="preserve"> </v>
      </c>
      <c r="P137" s="28" t="str">
        <f>IF(N137&lt;&gt;" ",SUM(O$9:O136)+O137/2," ")</f>
        <v xml:space="preserve"> </v>
      </c>
      <c r="Q137" s="68" t="str">
        <f t="shared" si="37"/>
        <v xml:space="preserve"> </v>
      </c>
    </row>
    <row r="138" spans="7:17" ht="15.75" thickBot="1">
      <c r="G138" s="406"/>
      <c r="H138" s="365"/>
      <c r="I138" s="408"/>
      <c r="J138" s="365"/>
      <c r="K138" s="411"/>
      <c r="L138" s="414"/>
      <c r="M138" s="377"/>
      <c r="N138" s="180" t="str">
        <f t="shared" si="52"/>
        <v xml:space="preserve"> </v>
      </c>
      <c r="O138" s="70" t="str">
        <f t="shared" si="53"/>
        <v xml:space="preserve"> </v>
      </c>
      <c r="P138" s="70" t="str">
        <f>IF(N138&lt;&gt;" ",SUM(O$9:O137)+O138/2," ")</f>
        <v xml:space="preserve"> </v>
      </c>
      <c r="Q138" s="71" t="str">
        <f t="shared" si="37"/>
        <v xml:space="preserve"> </v>
      </c>
    </row>
    <row r="139" spans="7:17">
      <c r="G139" s="415">
        <f>'Несущая способность по грунту 1'!G139</f>
        <v>0</v>
      </c>
      <c r="H139" s="363" t="e">
        <f>VLOOKUP(G139,Геология!$D$7:$BO$993,7,FALSE)</f>
        <v>#N/A</v>
      </c>
      <c r="I139" s="416" t="e">
        <f>VLOOKUP(G139,Геология!$D$7:$BO$993,25,FALSE)</f>
        <v>#N/A</v>
      </c>
      <c r="J139" s="363">
        <f t="shared" ref="J139" si="54">IF(L129&lt;&gt;0,K129,J129)</f>
        <v>120</v>
      </c>
      <c r="K139" s="417">
        <f>'Несущая способность по грунту 1'!K139</f>
        <v>120</v>
      </c>
      <c r="L139" s="412">
        <f t="shared" ref="L139" si="55">IF(IF(G139&lt;&gt;0,J139-K139,0)&lt;0,0,IF(G139&lt;&gt;0,J139-K139,0))</f>
        <v>0</v>
      </c>
      <c r="M139" s="375"/>
      <c r="N139" s="181" t="str">
        <f>IF(M139&lt;&gt;0,MAX(N$9:N$138)+1," ")</f>
        <v xml:space="preserve"> </v>
      </c>
      <c r="O139" s="66" t="str">
        <f>IF(N139&lt;&gt;" ",L$139/COUNT(N$139:N$148), " ")</f>
        <v xml:space="preserve"> </v>
      </c>
      <c r="P139" s="66" t="str">
        <f>IF(N139&lt;&gt;" ",SUM(O$9:O138)+O139/2," ")</f>
        <v xml:space="preserve"> </v>
      </c>
      <c r="Q139" s="67" t="str">
        <f t="shared" si="37"/>
        <v xml:space="preserve"> </v>
      </c>
    </row>
    <row r="140" spans="7:17">
      <c r="G140" s="405"/>
      <c r="H140" s="364"/>
      <c r="I140" s="407"/>
      <c r="J140" s="364"/>
      <c r="K140" s="410"/>
      <c r="L140" s="413"/>
      <c r="M140" s="376"/>
      <c r="N140" s="177" t="str">
        <f t="shared" ref="N140:N148" si="56">IF(N139=" "," ", IF(N139&lt;SUM(M$9:M$148),N139+1, " "))</f>
        <v xml:space="preserve"> </v>
      </c>
      <c r="O140" s="34" t="str">
        <f t="shared" ref="O140:O148" si="57">IF(N140&lt;&gt;" ",L$139/COUNT(N$139:N$148), " ")</f>
        <v xml:space="preserve"> </v>
      </c>
      <c r="P140" s="28" t="str">
        <f>IF(N140&lt;&gt;" ",SUM(O$9:O139)+O140/2," ")</f>
        <v xml:space="preserve"> </v>
      </c>
      <c r="Q140" s="68" t="str">
        <f t="shared" si="37"/>
        <v xml:space="preserve"> </v>
      </c>
    </row>
    <row r="141" spans="7:17">
      <c r="G141" s="405"/>
      <c r="H141" s="364"/>
      <c r="I141" s="407"/>
      <c r="J141" s="364"/>
      <c r="K141" s="410"/>
      <c r="L141" s="413"/>
      <c r="M141" s="376"/>
      <c r="N141" s="177" t="str">
        <f t="shared" si="56"/>
        <v xml:space="preserve"> </v>
      </c>
      <c r="O141" s="34" t="str">
        <f t="shared" si="57"/>
        <v xml:space="preserve"> </v>
      </c>
      <c r="P141" s="28" t="str">
        <f>IF(N141&lt;&gt;" ",SUM(O$9:O140)+O141/2," ")</f>
        <v xml:space="preserve"> </v>
      </c>
      <c r="Q141" s="68" t="str">
        <f t="shared" si="37"/>
        <v xml:space="preserve"> </v>
      </c>
    </row>
    <row r="142" spans="7:17">
      <c r="G142" s="405"/>
      <c r="H142" s="364"/>
      <c r="I142" s="407"/>
      <c r="J142" s="364"/>
      <c r="K142" s="410"/>
      <c r="L142" s="413"/>
      <c r="M142" s="376"/>
      <c r="N142" s="177" t="str">
        <f t="shared" si="56"/>
        <v xml:space="preserve"> </v>
      </c>
      <c r="O142" s="34" t="str">
        <f t="shared" si="57"/>
        <v xml:space="preserve"> </v>
      </c>
      <c r="P142" s="28" t="str">
        <f>IF(N142&lt;&gt;" ",SUM(O$9:O141)+O142/2," ")</f>
        <v xml:space="preserve"> </v>
      </c>
      <c r="Q142" s="68" t="str">
        <f t="shared" si="37"/>
        <v xml:space="preserve"> </v>
      </c>
    </row>
    <row r="143" spans="7:17">
      <c r="G143" s="405"/>
      <c r="H143" s="364"/>
      <c r="I143" s="407"/>
      <c r="J143" s="364"/>
      <c r="K143" s="410"/>
      <c r="L143" s="413"/>
      <c r="M143" s="376"/>
      <c r="N143" s="177" t="str">
        <f t="shared" si="56"/>
        <v xml:space="preserve"> </v>
      </c>
      <c r="O143" s="34" t="str">
        <f t="shared" si="57"/>
        <v xml:space="preserve"> </v>
      </c>
      <c r="P143" s="28" t="str">
        <f>IF(N143&lt;&gt;" ",SUM(O$9:O142)+O143/2," ")</f>
        <v xml:space="preserve"> </v>
      </c>
      <c r="Q143" s="68" t="str">
        <f t="shared" si="37"/>
        <v xml:space="preserve"> </v>
      </c>
    </row>
    <row r="144" spans="7:17">
      <c r="G144" s="405"/>
      <c r="H144" s="364"/>
      <c r="I144" s="407"/>
      <c r="J144" s="364"/>
      <c r="K144" s="410"/>
      <c r="L144" s="413"/>
      <c r="M144" s="376"/>
      <c r="N144" s="177" t="str">
        <f t="shared" si="56"/>
        <v xml:space="preserve"> </v>
      </c>
      <c r="O144" s="34" t="str">
        <f t="shared" si="57"/>
        <v xml:space="preserve"> </v>
      </c>
      <c r="P144" s="28" t="str">
        <f>IF(N144&lt;&gt;" ",SUM(O$9:O143)+O144/2," ")</f>
        <v xml:space="preserve"> </v>
      </c>
      <c r="Q144" s="68" t="str">
        <f t="shared" si="37"/>
        <v xml:space="preserve"> </v>
      </c>
    </row>
    <row r="145" spans="7:17">
      <c r="G145" s="405"/>
      <c r="H145" s="364"/>
      <c r="I145" s="407"/>
      <c r="J145" s="364"/>
      <c r="K145" s="410"/>
      <c r="L145" s="413"/>
      <c r="M145" s="376"/>
      <c r="N145" s="177" t="str">
        <f t="shared" si="56"/>
        <v xml:space="preserve"> </v>
      </c>
      <c r="O145" s="34" t="str">
        <f t="shared" si="57"/>
        <v xml:space="preserve"> </v>
      </c>
      <c r="P145" s="28" t="str">
        <f>IF(N145&lt;&gt;" ",SUM(O$9:O144)+O145/2," ")</f>
        <v xml:space="preserve"> </v>
      </c>
      <c r="Q145" s="68" t="str">
        <f t="shared" si="37"/>
        <v xml:space="preserve"> </v>
      </c>
    </row>
    <row r="146" spans="7:17">
      <c r="G146" s="405"/>
      <c r="H146" s="364"/>
      <c r="I146" s="407"/>
      <c r="J146" s="364"/>
      <c r="K146" s="410"/>
      <c r="L146" s="413"/>
      <c r="M146" s="376"/>
      <c r="N146" s="177" t="str">
        <f t="shared" si="56"/>
        <v xml:space="preserve"> </v>
      </c>
      <c r="O146" s="34" t="str">
        <f t="shared" si="57"/>
        <v xml:space="preserve"> </v>
      </c>
      <c r="P146" s="28" t="str">
        <f>IF(N146&lt;&gt;" ",SUM(O$9:O145)+O146/2," ")</f>
        <v xml:space="preserve"> </v>
      </c>
      <c r="Q146" s="68" t="str">
        <f t="shared" si="37"/>
        <v xml:space="preserve"> </v>
      </c>
    </row>
    <row r="147" spans="7:17">
      <c r="G147" s="405"/>
      <c r="H147" s="364"/>
      <c r="I147" s="407"/>
      <c r="J147" s="364"/>
      <c r="K147" s="410"/>
      <c r="L147" s="413"/>
      <c r="M147" s="376"/>
      <c r="N147" s="177" t="str">
        <f t="shared" si="56"/>
        <v xml:space="preserve"> </v>
      </c>
      <c r="O147" s="34" t="str">
        <f t="shared" si="57"/>
        <v xml:space="preserve"> </v>
      </c>
      <c r="P147" s="28" t="str">
        <f>IF(N147&lt;&gt;" ",SUM(O$9:O146)+O147/2," ")</f>
        <v xml:space="preserve"> </v>
      </c>
      <c r="Q147" s="68" t="str">
        <f t="shared" si="37"/>
        <v xml:space="preserve"> </v>
      </c>
    </row>
    <row r="148" spans="7:17" ht="15.75" thickBot="1">
      <c r="G148" s="406"/>
      <c r="H148" s="365"/>
      <c r="I148" s="408"/>
      <c r="J148" s="365"/>
      <c r="K148" s="411"/>
      <c r="L148" s="414"/>
      <c r="M148" s="377"/>
      <c r="N148" s="180" t="str">
        <f t="shared" si="56"/>
        <v xml:space="preserve"> </v>
      </c>
      <c r="O148" s="196" t="str">
        <f t="shared" si="57"/>
        <v xml:space="preserve"> </v>
      </c>
      <c r="P148" s="70" t="str">
        <f>IF(N148&lt;&gt;" ",SUM(O$9:O147)+O148/2," ")</f>
        <v xml:space="preserve"> </v>
      </c>
      <c r="Q148" s="71" t="str">
        <f t="shared" si="37"/>
        <v xml:space="preserve"> </v>
      </c>
    </row>
    <row r="149" spans="7:17">
      <c r="G149" s="415">
        <f>'Несущая способность по грунту 1'!G149</f>
        <v>0</v>
      </c>
      <c r="H149" s="363" t="e">
        <f>VLOOKUP(G149,Геология!$D$7:$BO$993,7,FALSE)</f>
        <v>#N/A</v>
      </c>
      <c r="I149" s="416" t="e">
        <f>VLOOKUP(G149,Геология!$D$7:$BO$993,25,FALSE)</f>
        <v>#N/A</v>
      </c>
      <c r="J149" s="363">
        <f t="shared" ref="J149" si="58">IF(L139&lt;&gt;0,K139,J139)</f>
        <v>120</v>
      </c>
      <c r="K149" s="417">
        <f>'Несущая способность по грунту 1'!K149</f>
        <v>120</v>
      </c>
      <c r="L149" s="412">
        <f t="shared" ref="L149" si="59">IF(IF(G149&lt;&gt;0,J149-K149,0)&lt;0,0,IF(G149&lt;&gt;0,J149-K149,0))</f>
        <v>0</v>
      </c>
      <c r="M149" s="375"/>
      <c r="N149" s="181" t="str">
        <f>IF(M149&lt;&gt;0,MAX(N$9:N$148)+1," ")</f>
        <v xml:space="preserve"> </v>
      </c>
      <c r="O149" s="66" t="str">
        <f>IF(N149&lt;&gt;" ",L$149/COUNT(N$149:N$158), " ")</f>
        <v xml:space="preserve"> </v>
      </c>
      <c r="P149" s="66" t="str">
        <f>IF(N149&lt;&gt;" ",SUM(O$9:O148)+O149/2," ")</f>
        <v xml:space="preserve"> </v>
      </c>
      <c r="Q149" s="67" t="str">
        <f t="shared" si="37"/>
        <v xml:space="preserve"> </v>
      </c>
    </row>
    <row r="150" spans="7:17">
      <c r="G150" s="405"/>
      <c r="H150" s="364"/>
      <c r="I150" s="407"/>
      <c r="J150" s="364"/>
      <c r="K150" s="410"/>
      <c r="L150" s="413"/>
      <c r="M150" s="376"/>
      <c r="N150" s="177" t="str">
        <f t="shared" ref="N150:N158" si="60">IF(N149=" "," ", IF(N149&lt;SUM(M$9:M$158),N149+1, " "))</f>
        <v xml:space="preserve"> </v>
      </c>
      <c r="O150" s="28" t="str">
        <f t="shared" ref="O150:O158" si="61">IF(N150&lt;&gt;" ",L$149/COUNT(N$149:N$158), " ")</f>
        <v xml:space="preserve"> </v>
      </c>
      <c r="P150" s="28" t="str">
        <f>IF(N150&lt;&gt;" ",SUM(O$9:O149)+O150/2," ")</f>
        <v xml:space="preserve"> </v>
      </c>
      <c r="Q150" s="68" t="str">
        <f t="shared" si="37"/>
        <v xml:space="preserve"> </v>
      </c>
    </row>
    <row r="151" spans="7:17">
      <c r="G151" s="405"/>
      <c r="H151" s="364"/>
      <c r="I151" s="407"/>
      <c r="J151" s="364"/>
      <c r="K151" s="410"/>
      <c r="L151" s="413"/>
      <c r="M151" s="376"/>
      <c r="N151" s="177" t="str">
        <f t="shared" si="60"/>
        <v xml:space="preserve"> </v>
      </c>
      <c r="O151" s="28" t="str">
        <f t="shared" si="61"/>
        <v xml:space="preserve"> </v>
      </c>
      <c r="P151" s="28" t="str">
        <f>IF(N151&lt;&gt;" ",SUM(O$9:O150)+O151/2," ")</f>
        <v xml:space="preserve"> </v>
      </c>
      <c r="Q151" s="68" t="str">
        <f t="shared" si="37"/>
        <v xml:space="preserve"> </v>
      </c>
    </row>
    <row r="152" spans="7:17">
      <c r="G152" s="405"/>
      <c r="H152" s="364"/>
      <c r="I152" s="407"/>
      <c r="J152" s="364"/>
      <c r="K152" s="410"/>
      <c r="L152" s="413"/>
      <c r="M152" s="376"/>
      <c r="N152" s="177" t="str">
        <f t="shared" si="60"/>
        <v xml:space="preserve"> </v>
      </c>
      <c r="O152" s="28" t="str">
        <f t="shared" si="61"/>
        <v xml:space="preserve"> </v>
      </c>
      <c r="P152" s="28" t="str">
        <f>IF(N152&lt;&gt;" ",SUM(O$9:O151)+O152/2," ")</f>
        <v xml:space="preserve"> </v>
      </c>
      <c r="Q152" s="68" t="str">
        <f t="shared" si="37"/>
        <v xml:space="preserve"> </v>
      </c>
    </row>
    <row r="153" spans="7:17">
      <c r="G153" s="405"/>
      <c r="H153" s="364"/>
      <c r="I153" s="407"/>
      <c r="J153" s="364"/>
      <c r="K153" s="410"/>
      <c r="L153" s="413"/>
      <c r="M153" s="376"/>
      <c r="N153" s="177" t="str">
        <f t="shared" si="60"/>
        <v xml:space="preserve"> </v>
      </c>
      <c r="O153" s="28" t="str">
        <f t="shared" si="61"/>
        <v xml:space="preserve"> </v>
      </c>
      <c r="P153" s="28" t="str">
        <f>IF(N153&lt;&gt;" ",SUM(O$9:O152)+O153/2," ")</f>
        <v xml:space="preserve"> </v>
      </c>
      <c r="Q153" s="68" t="str">
        <f t="shared" si="37"/>
        <v xml:space="preserve"> </v>
      </c>
    </row>
    <row r="154" spans="7:17">
      <c r="G154" s="405"/>
      <c r="H154" s="364"/>
      <c r="I154" s="407"/>
      <c r="J154" s="364"/>
      <c r="K154" s="410"/>
      <c r="L154" s="413"/>
      <c r="M154" s="376"/>
      <c r="N154" s="177" t="str">
        <f t="shared" si="60"/>
        <v xml:space="preserve"> </v>
      </c>
      <c r="O154" s="28" t="str">
        <f t="shared" si="61"/>
        <v xml:space="preserve"> </v>
      </c>
      <c r="P154" s="28" t="str">
        <f>IF(N154&lt;&gt;" ",SUM(O$9:O153)+O154/2," ")</f>
        <v xml:space="preserve"> </v>
      </c>
      <c r="Q154" s="68" t="str">
        <f t="shared" ref="Q154:Q208" si="62">IF(O154&lt;&gt;" ",P154*$I$79," ")</f>
        <v xml:space="preserve"> </v>
      </c>
    </row>
    <row r="155" spans="7:17">
      <c r="G155" s="405"/>
      <c r="H155" s="364"/>
      <c r="I155" s="407"/>
      <c r="J155" s="364"/>
      <c r="K155" s="410"/>
      <c r="L155" s="413"/>
      <c r="M155" s="376"/>
      <c r="N155" s="177" t="str">
        <f t="shared" si="60"/>
        <v xml:space="preserve"> </v>
      </c>
      <c r="O155" s="28" t="str">
        <f t="shared" si="61"/>
        <v xml:space="preserve"> </v>
      </c>
      <c r="P155" s="28" t="str">
        <f>IF(N155&lt;&gt;" ",SUM(O$9:O154)+O155/2," ")</f>
        <v xml:space="preserve"> </v>
      </c>
      <c r="Q155" s="68" t="str">
        <f t="shared" si="62"/>
        <v xml:space="preserve"> </v>
      </c>
    </row>
    <row r="156" spans="7:17">
      <c r="G156" s="405"/>
      <c r="H156" s="364"/>
      <c r="I156" s="407"/>
      <c r="J156" s="364"/>
      <c r="K156" s="410"/>
      <c r="L156" s="413"/>
      <c r="M156" s="376"/>
      <c r="N156" s="177" t="str">
        <f t="shared" si="60"/>
        <v xml:space="preserve"> </v>
      </c>
      <c r="O156" s="28" t="str">
        <f t="shared" si="61"/>
        <v xml:space="preserve"> </v>
      </c>
      <c r="P156" s="28" t="str">
        <f>IF(N156&lt;&gt;" ",SUM(O$9:O155)+O156/2," ")</f>
        <v xml:space="preserve"> </v>
      </c>
      <c r="Q156" s="68" t="str">
        <f t="shared" si="62"/>
        <v xml:space="preserve"> </v>
      </c>
    </row>
    <row r="157" spans="7:17">
      <c r="G157" s="405"/>
      <c r="H157" s="364"/>
      <c r="I157" s="407"/>
      <c r="J157" s="364"/>
      <c r="K157" s="410"/>
      <c r="L157" s="413"/>
      <c r="M157" s="376"/>
      <c r="N157" s="177" t="str">
        <f t="shared" si="60"/>
        <v xml:space="preserve"> </v>
      </c>
      <c r="O157" s="28" t="str">
        <f t="shared" si="61"/>
        <v xml:space="preserve"> </v>
      </c>
      <c r="P157" s="28" t="str">
        <f>IF(N157&lt;&gt;" ",SUM(O$9:O156)+O157/2," ")</f>
        <v xml:space="preserve"> </v>
      </c>
      <c r="Q157" s="68" t="str">
        <f t="shared" si="62"/>
        <v xml:space="preserve"> </v>
      </c>
    </row>
    <row r="158" spans="7:17" ht="15.75" thickBot="1">
      <c r="G158" s="406"/>
      <c r="H158" s="365"/>
      <c r="I158" s="408"/>
      <c r="J158" s="365"/>
      <c r="K158" s="411"/>
      <c r="L158" s="414"/>
      <c r="M158" s="377"/>
      <c r="N158" s="180" t="str">
        <f t="shared" si="60"/>
        <v xml:space="preserve"> </v>
      </c>
      <c r="O158" s="70" t="str">
        <f t="shared" si="61"/>
        <v xml:space="preserve"> </v>
      </c>
      <c r="P158" s="70" t="str">
        <f>IF(N158&lt;&gt;" ",SUM(O$9:O157)+O158/2," ")</f>
        <v xml:space="preserve"> </v>
      </c>
      <c r="Q158" s="71" t="str">
        <f t="shared" si="62"/>
        <v xml:space="preserve"> </v>
      </c>
    </row>
    <row r="159" spans="7:17">
      <c r="G159" s="415">
        <f>'Несущая способность по грунту 1'!G159</f>
        <v>0</v>
      </c>
      <c r="H159" s="363" t="e">
        <f>VLOOKUP(G159,Геология!$D$7:$BO$993,7,FALSE)</f>
        <v>#N/A</v>
      </c>
      <c r="I159" s="416" t="e">
        <f>VLOOKUP(G159,Геология!$D$7:$BO$993,25,FALSE)</f>
        <v>#N/A</v>
      </c>
      <c r="J159" s="363">
        <f t="shared" ref="J159" si="63">IF(L149&lt;&gt;0,K149,J149)</f>
        <v>120</v>
      </c>
      <c r="K159" s="417">
        <f>'Несущая способность по грунту 1'!K159</f>
        <v>120</v>
      </c>
      <c r="L159" s="412">
        <f t="shared" ref="L159" si="64">IF(IF(G159&lt;&gt;0,J159-K159,0)&lt;0,0,IF(G159&lt;&gt;0,J159-K159,0))</f>
        <v>0</v>
      </c>
      <c r="M159" s="375"/>
      <c r="N159" s="181" t="str">
        <f>IF(M159&lt;&gt;0,MAX(N$9:N$158)+1," ")</f>
        <v xml:space="preserve"> </v>
      </c>
      <c r="O159" s="66" t="str">
        <f>IF(N159&lt;&gt;" ",L$159/COUNT(N$159:N$168), " ")</f>
        <v xml:space="preserve"> </v>
      </c>
      <c r="P159" s="66" t="str">
        <f>IF(N159&lt;&gt;" ",SUM(O$9:O158)+O159/2," ")</f>
        <v xml:space="preserve"> </v>
      </c>
      <c r="Q159" s="67" t="str">
        <f t="shared" si="62"/>
        <v xml:space="preserve"> </v>
      </c>
    </row>
    <row r="160" spans="7:17">
      <c r="G160" s="405"/>
      <c r="H160" s="364"/>
      <c r="I160" s="407"/>
      <c r="J160" s="364"/>
      <c r="K160" s="410"/>
      <c r="L160" s="413"/>
      <c r="M160" s="376"/>
      <c r="N160" s="177" t="str">
        <f t="shared" ref="N160:N168" si="65">IF(N159=" "," ", IF(N159&lt;SUM(M$9:M$168),N159+1, " "))</f>
        <v xml:space="preserve"> </v>
      </c>
      <c r="O160" s="34" t="str">
        <f t="shared" ref="O160:O168" si="66">IF(N160&lt;&gt;" ",L$159/COUNT(N$159:N$168), " ")</f>
        <v xml:space="preserve"> </v>
      </c>
      <c r="P160" s="28" t="str">
        <f>IF(N160&lt;&gt;" ",SUM(O$9:O159)+O160/2," ")</f>
        <v xml:space="preserve"> </v>
      </c>
      <c r="Q160" s="68" t="str">
        <f t="shared" si="62"/>
        <v xml:space="preserve"> </v>
      </c>
    </row>
    <row r="161" spans="7:17">
      <c r="G161" s="405"/>
      <c r="H161" s="364"/>
      <c r="I161" s="407"/>
      <c r="J161" s="364"/>
      <c r="K161" s="410"/>
      <c r="L161" s="413"/>
      <c r="M161" s="376"/>
      <c r="N161" s="177" t="str">
        <f t="shared" si="65"/>
        <v xml:space="preserve"> </v>
      </c>
      <c r="O161" s="34" t="str">
        <f t="shared" si="66"/>
        <v xml:space="preserve"> </v>
      </c>
      <c r="P161" s="28" t="str">
        <f>IF(N161&lt;&gt;" ",SUM(O$9:O160)+O161/2," ")</f>
        <v xml:space="preserve"> </v>
      </c>
      <c r="Q161" s="68" t="str">
        <f t="shared" si="62"/>
        <v xml:space="preserve"> </v>
      </c>
    </row>
    <row r="162" spans="7:17">
      <c r="G162" s="405"/>
      <c r="H162" s="364"/>
      <c r="I162" s="407"/>
      <c r="J162" s="364"/>
      <c r="K162" s="410"/>
      <c r="L162" s="413"/>
      <c r="M162" s="376"/>
      <c r="N162" s="177" t="str">
        <f t="shared" si="65"/>
        <v xml:space="preserve"> </v>
      </c>
      <c r="O162" s="34" t="str">
        <f t="shared" si="66"/>
        <v xml:space="preserve"> </v>
      </c>
      <c r="P162" s="28" t="str">
        <f>IF(N162&lt;&gt;" ",SUM(O$9:O161)+O162/2," ")</f>
        <v xml:space="preserve"> </v>
      </c>
      <c r="Q162" s="68" t="str">
        <f t="shared" si="62"/>
        <v xml:space="preserve"> </v>
      </c>
    </row>
    <row r="163" spans="7:17">
      <c r="G163" s="405"/>
      <c r="H163" s="364"/>
      <c r="I163" s="407"/>
      <c r="J163" s="364"/>
      <c r="K163" s="410"/>
      <c r="L163" s="413"/>
      <c r="M163" s="376"/>
      <c r="N163" s="177" t="str">
        <f t="shared" si="65"/>
        <v xml:space="preserve"> </v>
      </c>
      <c r="O163" s="34" t="str">
        <f t="shared" si="66"/>
        <v xml:space="preserve"> </v>
      </c>
      <c r="P163" s="28" t="str">
        <f>IF(N163&lt;&gt;" ",SUM(O$9:O162)+O163/2," ")</f>
        <v xml:space="preserve"> </v>
      </c>
      <c r="Q163" s="68" t="str">
        <f t="shared" si="62"/>
        <v xml:space="preserve"> </v>
      </c>
    </row>
    <row r="164" spans="7:17">
      <c r="G164" s="405"/>
      <c r="H164" s="364"/>
      <c r="I164" s="407"/>
      <c r="J164" s="364"/>
      <c r="K164" s="410"/>
      <c r="L164" s="413"/>
      <c r="M164" s="376"/>
      <c r="N164" s="177" t="str">
        <f t="shared" si="65"/>
        <v xml:space="preserve"> </v>
      </c>
      <c r="O164" s="34" t="str">
        <f t="shared" si="66"/>
        <v xml:space="preserve"> </v>
      </c>
      <c r="P164" s="28" t="str">
        <f>IF(N164&lt;&gt;" ",SUM(O$9:O163)+O164/2," ")</f>
        <v xml:space="preserve"> </v>
      </c>
      <c r="Q164" s="68" t="str">
        <f t="shared" si="62"/>
        <v xml:space="preserve"> </v>
      </c>
    </row>
    <row r="165" spans="7:17">
      <c r="G165" s="405"/>
      <c r="H165" s="364"/>
      <c r="I165" s="407"/>
      <c r="J165" s="364"/>
      <c r="K165" s="410"/>
      <c r="L165" s="413"/>
      <c r="M165" s="376"/>
      <c r="N165" s="177" t="str">
        <f t="shared" si="65"/>
        <v xml:space="preserve"> </v>
      </c>
      <c r="O165" s="34" t="str">
        <f t="shared" si="66"/>
        <v xml:space="preserve"> </v>
      </c>
      <c r="P165" s="28" t="str">
        <f>IF(N165&lt;&gt;" ",SUM(O$9:O164)+O165/2," ")</f>
        <v xml:space="preserve"> </v>
      </c>
      <c r="Q165" s="68" t="str">
        <f t="shared" si="62"/>
        <v xml:space="preserve"> </v>
      </c>
    </row>
    <row r="166" spans="7:17">
      <c r="G166" s="405"/>
      <c r="H166" s="364"/>
      <c r="I166" s="407"/>
      <c r="J166" s="364"/>
      <c r="K166" s="410"/>
      <c r="L166" s="413"/>
      <c r="M166" s="376"/>
      <c r="N166" s="177" t="str">
        <f t="shared" si="65"/>
        <v xml:space="preserve"> </v>
      </c>
      <c r="O166" s="34" t="str">
        <f t="shared" si="66"/>
        <v xml:space="preserve"> </v>
      </c>
      <c r="P166" s="28" t="str">
        <f>IF(N166&lt;&gt;" ",SUM(O$9:O165)+O166/2," ")</f>
        <v xml:space="preserve"> </v>
      </c>
      <c r="Q166" s="68" t="str">
        <f t="shared" si="62"/>
        <v xml:space="preserve"> </v>
      </c>
    </row>
    <row r="167" spans="7:17">
      <c r="G167" s="405"/>
      <c r="H167" s="364"/>
      <c r="I167" s="407"/>
      <c r="J167" s="364"/>
      <c r="K167" s="410"/>
      <c r="L167" s="413"/>
      <c r="M167" s="376"/>
      <c r="N167" s="177" t="str">
        <f t="shared" si="65"/>
        <v xml:space="preserve"> </v>
      </c>
      <c r="O167" s="34" t="str">
        <f t="shared" si="66"/>
        <v xml:space="preserve"> </v>
      </c>
      <c r="P167" s="28" t="str">
        <f>IF(N167&lt;&gt;" ",SUM(O$9:O166)+O167/2," ")</f>
        <v xml:space="preserve"> </v>
      </c>
      <c r="Q167" s="68" t="str">
        <f t="shared" si="62"/>
        <v xml:space="preserve"> </v>
      </c>
    </row>
    <row r="168" spans="7:17" ht="15.75" thickBot="1">
      <c r="G168" s="406"/>
      <c r="H168" s="365"/>
      <c r="I168" s="408"/>
      <c r="J168" s="365"/>
      <c r="K168" s="411"/>
      <c r="L168" s="414"/>
      <c r="M168" s="377"/>
      <c r="N168" s="180" t="str">
        <f t="shared" si="65"/>
        <v xml:space="preserve"> </v>
      </c>
      <c r="O168" s="196" t="str">
        <f t="shared" si="66"/>
        <v xml:space="preserve"> </v>
      </c>
      <c r="P168" s="70" t="str">
        <f>IF(N168&lt;&gt;" ",SUM(O$9:O167)+O168/2," ")</f>
        <v xml:space="preserve"> </v>
      </c>
      <c r="Q168" s="71" t="str">
        <f t="shared" si="62"/>
        <v xml:space="preserve"> </v>
      </c>
    </row>
    <row r="169" spans="7:17">
      <c r="G169" s="415">
        <f>'Несущая способность по грунту 1'!G169</f>
        <v>0</v>
      </c>
      <c r="H169" s="363" t="e">
        <f>VLOOKUP(G169,Геология!$D$7:$BO$993,7,FALSE)</f>
        <v>#N/A</v>
      </c>
      <c r="I169" s="416" t="e">
        <f>VLOOKUP(G169,Геология!$D$7:$BO$993,25,FALSE)</f>
        <v>#N/A</v>
      </c>
      <c r="J169" s="363">
        <f t="shared" ref="J169" si="67">IF(L159&lt;&gt;0,K159,J159)</f>
        <v>120</v>
      </c>
      <c r="K169" s="417">
        <f>'Несущая способность по грунту 1'!K169</f>
        <v>120</v>
      </c>
      <c r="L169" s="412">
        <f t="shared" ref="L169" si="68">IF(IF(G169&lt;&gt;0,J169-K169,0)&lt;0,0,IF(G169&lt;&gt;0,J169-K169,0))</f>
        <v>0</v>
      </c>
      <c r="M169" s="375"/>
      <c r="N169" s="181" t="str">
        <f>IF(M169&lt;&gt;0,MAX(N$9:N$168)+1," ")</f>
        <v xml:space="preserve"> </v>
      </c>
      <c r="O169" s="66" t="str">
        <f>IF(N169&lt;&gt;" ",L$169/COUNT(N$169:N$178), " ")</f>
        <v xml:space="preserve"> </v>
      </c>
      <c r="P169" s="66" t="str">
        <f>IF(N169&lt;&gt;" ",SUM(O$9:O168)+O169/2," ")</f>
        <v xml:space="preserve"> </v>
      </c>
      <c r="Q169" s="67" t="str">
        <f t="shared" si="62"/>
        <v xml:space="preserve"> </v>
      </c>
    </row>
    <row r="170" spans="7:17">
      <c r="G170" s="405"/>
      <c r="H170" s="364"/>
      <c r="I170" s="407"/>
      <c r="J170" s="364"/>
      <c r="K170" s="410"/>
      <c r="L170" s="413"/>
      <c r="M170" s="376"/>
      <c r="N170" s="177" t="str">
        <f t="shared" ref="N170:N178" si="69">IF(N169=" "," ", IF(N169&lt;SUM(M$9:M$178),N169+1, " "))</f>
        <v xml:space="preserve"> </v>
      </c>
      <c r="O170" s="28" t="str">
        <f t="shared" ref="O170:O178" si="70">IF(N170&lt;&gt;" ",L$169/COUNT(N$169:N$178), " ")</f>
        <v xml:space="preserve"> </v>
      </c>
      <c r="P170" s="28" t="str">
        <f>IF(N170&lt;&gt;" ",SUM(O$9:O169)+O170/2," ")</f>
        <v xml:space="preserve"> </v>
      </c>
      <c r="Q170" s="68" t="str">
        <f t="shared" si="62"/>
        <v xml:space="preserve"> </v>
      </c>
    </row>
    <row r="171" spans="7:17">
      <c r="G171" s="405"/>
      <c r="H171" s="364"/>
      <c r="I171" s="407"/>
      <c r="J171" s="364"/>
      <c r="K171" s="410"/>
      <c r="L171" s="413"/>
      <c r="M171" s="376"/>
      <c r="N171" s="177" t="str">
        <f t="shared" si="69"/>
        <v xml:space="preserve"> </v>
      </c>
      <c r="O171" s="28" t="str">
        <f t="shared" si="70"/>
        <v xml:space="preserve"> </v>
      </c>
      <c r="P171" s="28" t="str">
        <f>IF(N171&lt;&gt;" ",SUM(O$9:O170)+O171/2," ")</f>
        <v xml:space="preserve"> </v>
      </c>
      <c r="Q171" s="68" t="str">
        <f t="shared" si="62"/>
        <v xml:space="preserve"> </v>
      </c>
    </row>
    <row r="172" spans="7:17">
      <c r="G172" s="405"/>
      <c r="H172" s="364"/>
      <c r="I172" s="407"/>
      <c r="J172" s="364"/>
      <c r="K172" s="410"/>
      <c r="L172" s="413"/>
      <c r="M172" s="376"/>
      <c r="N172" s="177" t="str">
        <f t="shared" si="69"/>
        <v xml:space="preserve"> </v>
      </c>
      <c r="O172" s="28" t="str">
        <f t="shared" si="70"/>
        <v xml:space="preserve"> </v>
      </c>
      <c r="P172" s="28" t="str">
        <f>IF(N172&lt;&gt;" ",SUM(O$9:O171)+O172/2," ")</f>
        <v xml:space="preserve"> </v>
      </c>
      <c r="Q172" s="68" t="str">
        <f t="shared" si="62"/>
        <v xml:space="preserve"> </v>
      </c>
    </row>
    <row r="173" spans="7:17">
      <c r="G173" s="405"/>
      <c r="H173" s="364"/>
      <c r="I173" s="407"/>
      <c r="J173" s="364"/>
      <c r="K173" s="410"/>
      <c r="L173" s="413"/>
      <c r="M173" s="376"/>
      <c r="N173" s="177" t="str">
        <f t="shared" si="69"/>
        <v xml:space="preserve"> </v>
      </c>
      <c r="O173" s="28" t="str">
        <f t="shared" si="70"/>
        <v xml:space="preserve"> </v>
      </c>
      <c r="P173" s="28" t="str">
        <f>IF(N173&lt;&gt;" ",SUM(O$9:O172)+O173/2," ")</f>
        <v xml:space="preserve"> </v>
      </c>
      <c r="Q173" s="68" t="str">
        <f t="shared" si="62"/>
        <v xml:space="preserve"> </v>
      </c>
    </row>
    <row r="174" spans="7:17">
      <c r="G174" s="405"/>
      <c r="H174" s="364"/>
      <c r="I174" s="407"/>
      <c r="J174" s="364"/>
      <c r="K174" s="410"/>
      <c r="L174" s="413"/>
      <c r="M174" s="376"/>
      <c r="N174" s="177" t="str">
        <f t="shared" si="69"/>
        <v xml:space="preserve"> </v>
      </c>
      <c r="O174" s="28" t="str">
        <f t="shared" si="70"/>
        <v xml:space="preserve"> </v>
      </c>
      <c r="P174" s="28" t="str">
        <f>IF(N174&lt;&gt;" ",SUM(O$9:O173)+O174/2," ")</f>
        <v xml:space="preserve"> </v>
      </c>
      <c r="Q174" s="68" t="str">
        <f t="shared" si="62"/>
        <v xml:space="preserve"> </v>
      </c>
    </row>
    <row r="175" spans="7:17">
      <c r="G175" s="405"/>
      <c r="H175" s="364"/>
      <c r="I175" s="407"/>
      <c r="J175" s="364"/>
      <c r="K175" s="410"/>
      <c r="L175" s="413"/>
      <c r="M175" s="376"/>
      <c r="N175" s="177" t="str">
        <f t="shared" si="69"/>
        <v xml:space="preserve"> </v>
      </c>
      <c r="O175" s="28" t="str">
        <f t="shared" si="70"/>
        <v xml:space="preserve"> </v>
      </c>
      <c r="P175" s="28" t="str">
        <f>IF(N175&lt;&gt;" ",SUM(O$9:O174)+O175/2," ")</f>
        <v xml:space="preserve"> </v>
      </c>
      <c r="Q175" s="68" t="str">
        <f t="shared" si="62"/>
        <v xml:space="preserve"> </v>
      </c>
    </row>
    <row r="176" spans="7:17">
      <c r="G176" s="405"/>
      <c r="H176" s="364"/>
      <c r="I176" s="407"/>
      <c r="J176" s="364"/>
      <c r="K176" s="410"/>
      <c r="L176" s="413"/>
      <c r="M176" s="376"/>
      <c r="N176" s="177" t="str">
        <f t="shared" si="69"/>
        <v xml:space="preserve"> </v>
      </c>
      <c r="O176" s="28" t="str">
        <f t="shared" si="70"/>
        <v xml:space="preserve"> </v>
      </c>
      <c r="P176" s="28" t="str">
        <f>IF(N176&lt;&gt;" ",SUM(O$9:O175)+O176/2," ")</f>
        <v xml:space="preserve"> </v>
      </c>
      <c r="Q176" s="68" t="str">
        <f t="shared" si="62"/>
        <v xml:space="preserve"> </v>
      </c>
    </row>
    <row r="177" spans="7:17">
      <c r="G177" s="405"/>
      <c r="H177" s="364"/>
      <c r="I177" s="407"/>
      <c r="J177" s="364"/>
      <c r="K177" s="410"/>
      <c r="L177" s="413"/>
      <c r="M177" s="376"/>
      <c r="N177" s="177" t="str">
        <f t="shared" si="69"/>
        <v xml:space="preserve"> </v>
      </c>
      <c r="O177" s="28" t="str">
        <f t="shared" si="70"/>
        <v xml:space="preserve"> </v>
      </c>
      <c r="P177" s="28" t="str">
        <f>IF(N177&lt;&gt;" ",SUM(O$9:O176)+O177/2," ")</f>
        <v xml:space="preserve"> </v>
      </c>
      <c r="Q177" s="68" t="str">
        <f t="shared" si="62"/>
        <v xml:space="preserve"> </v>
      </c>
    </row>
    <row r="178" spans="7:17" ht="15.75" thickBot="1">
      <c r="G178" s="406"/>
      <c r="H178" s="365"/>
      <c r="I178" s="408"/>
      <c r="J178" s="365"/>
      <c r="K178" s="411"/>
      <c r="L178" s="414"/>
      <c r="M178" s="377"/>
      <c r="N178" s="180" t="str">
        <f t="shared" si="69"/>
        <v xml:space="preserve"> </v>
      </c>
      <c r="O178" s="70" t="str">
        <f t="shared" si="70"/>
        <v xml:space="preserve"> </v>
      </c>
      <c r="P178" s="70" t="str">
        <f>IF(N178&lt;&gt;" ",SUM(O$9:O177)+O178/2," ")</f>
        <v xml:space="preserve"> </v>
      </c>
      <c r="Q178" s="71" t="str">
        <f t="shared" si="62"/>
        <v xml:space="preserve"> </v>
      </c>
    </row>
    <row r="179" spans="7:17">
      <c r="G179" s="415">
        <f>'Несущая способность по грунту 1'!G179</f>
        <v>0</v>
      </c>
      <c r="H179" s="363" t="e">
        <f>VLOOKUP(G179,Геология!$D$7:$BO$993,7,FALSE)</f>
        <v>#N/A</v>
      </c>
      <c r="I179" s="416" t="e">
        <f>VLOOKUP(G179,Геология!$D$7:$BO$993,25,FALSE)</f>
        <v>#N/A</v>
      </c>
      <c r="J179" s="363">
        <f t="shared" ref="J179" si="71">IF(L169&lt;&gt;0,K169,J169)</f>
        <v>120</v>
      </c>
      <c r="K179" s="417">
        <f>'Несущая способность по грунту 1'!K179</f>
        <v>120</v>
      </c>
      <c r="L179" s="412">
        <f t="shared" ref="L179" si="72">IF(IF(G179&lt;&gt;0,J179-K179,0)&lt;0,0,IF(G179&lt;&gt;0,J179-K179,0))</f>
        <v>0</v>
      </c>
      <c r="M179" s="375"/>
      <c r="N179" s="181" t="str">
        <f>IF(M179&lt;&gt;0,MAX(N$9:N$178)+1," ")</f>
        <v xml:space="preserve"> </v>
      </c>
      <c r="O179" s="66" t="str">
        <f>IF(N179&lt;&gt;" ",L$179/COUNT(N$179:N$188), " ")</f>
        <v xml:space="preserve"> </v>
      </c>
      <c r="P179" s="66" t="str">
        <f>IF(N179&lt;&gt;" ",SUM(O$9:O178)+O179/2," ")</f>
        <v xml:space="preserve"> </v>
      </c>
      <c r="Q179" s="67" t="str">
        <f t="shared" si="62"/>
        <v xml:space="preserve"> </v>
      </c>
    </row>
    <row r="180" spans="7:17">
      <c r="G180" s="405"/>
      <c r="H180" s="364"/>
      <c r="I180" s="407"/>
      <c r="J180" s="364"/>
      <c r="K180" s="410"/>
      <c r="L180" s="413"/>
      <c r="M180" s="376"/>
      <c r="N180" s="177" t="str">
        <f t="shared" ref="N180:N188" si="73">IF(N179=" "," ", IF(N179&lt;SUM(M$9:M$188),N179+1, " "))</f>
        <v xml:space="preserve"> </v>
      </c>
      <c r="O180" s="34" t="str">
        <f t="shared" ref="O180:O188" si="74">IF(N180&lt;&gt;" ",L$179/COUNT(N$179:N$188), " ")</f>
        <v xml:space="preserve"> </v>
      </c>
      <c r="P180" s="28" t="str">
        <f>IF(N180&lt;&gt;" ",SUM(O$9:O179)+O180/2," ")</f>
        <v xml:space="preserve"> </v>
      </c>
      <c r="Q180" s="68" t="str">
        <f t="shared" si="62"/>
        <v xml:space="preserve"> </v>
      </c>
    </row>
    <row r="181" spans="7:17">
      <c r="G181" s="405"/>
      <c r="H181" s="364"/>
      <c r="I181" s="407"/>
      <c r="J181" s="364"/>
      <c r="K181" s="410"/>
      <c r="L181" s="413"/>
      <c r="M181" s="376"/>
      <c r="N181" s="177" t="str">
        <f t="shared" si="73"/>
        <v xml:space="preserve"> </v>
      </c>
      <c r="O181" s="34" t="str">
        <f t="shared" si="74"/>
        <v xml:space="preserve"> </v>
      </c>
      <c r="P181" s="28" t="str">
        <f>IF(N181&lt;&gt;" ",SUM(O$9:O180)+O181/2," ")</f>
        <v xml:space="preserve"> </v>
      </c>
      <c r="Q181" s="68" t="str">
        <f t="shared" si="62"/>
        <v xml:space="preserve"> </v>
      </c>
    </row>
    <row r="182" spans="7:17">
      <c r="G182" s="405"/>
      <c r="H182" s="364"/>
      <c r="I182" s="407"/>
      <c r="J182" s="364"/>
      <c r="K182" s="410"/>
      <c r="L182" s="413"/>
      <c r="M182" s="376"/>
      <c r="N182" s="177" t="str">
        <f t="shared" si="73"/>
        <v xml:space="preserve"> </v>
      </c>
      <c r="O182" s="34" t="str">
        <f t="shared" si="74"/>
        <v xml:space="preserve"> </v>
      </c>
      <c r="P182" s="28" t="str">
        <f>IF(N182&lt;&gt;" ",SUM(O$9:O181)+O182/2," ")</f>
        <v xml:space="preserve"> </v>
      </c>
      <c r="Q182" s="68" t="str">
        <f t="shared" si="62"/>
        <v xml:space="preserve"> </v>
      </c>
    </row>
    <row r="183" spans="7:17">
      <c r="G183" s="405"/>
      <c r="H183" s="364"/>
      <c r="I183" s="407"/>
      <c r="J183" s="364"/>
      <c r="K183" s="410"/>
      <c r="L183" s="413"/>
      <c r="M183" s="376"/>
      <c r="N183" s="177" t="str">
        <f t="shared" si="73"/>
        <v xml:space="preserve"> </v>
      </c>
      <c r="O183" s="34" t="str">
        <f t="shared" si="74"/>
        <v xml:space="preserve"> </v>
      </c>
      <c r="P183" s="28" t="str">
        <f>IF(N183&lt;&gt;" ",SUM(O$9:O182)+O183/2," ")</f>
        <v xml:space="preserve"> </v>
      </c>
      <c r="Q183" s="68" t="str">
        <f t="shared" si="62"/>
        <v xml:space="preserve"> </v>
      </c>
    </row>
    <row r="184" spans="7:17">
      <c r="G184" s="405"/>
      <c r="H184" s="364"/>
      <c r="I184" s="407"/>
      <c r="J184" s="364"/>
      <c r="K184" s="410"/>
      <c r="L184" s="413"/>
      <c r="M184" s="376"/>
      <c r="N184" s="177" t="str">
        <f t="shared" si="73"/>
        <v xml:space="preserve"> </v>
      </c>
      <c r="O184" s="34" t="str">
        <f t="shared" si="74"/>
        <v xml:space="preserve"> </v>
      </c>
      <c r="P184" s="28" t="str">
        <f>IF(N184&lt;&gt;" ",SUM(O$9:O183)+O184/2," ")</f>
        <v xml:space="preserve"> </v>
      </c>
      <c r="Q184" s="68" t="str">
        <f t="shared" si="62"/>
        <v xml:space="preserve"> </v>
      </c>
    </row>
    <row r="185" spans="7:17">
      <c r="G185" s="405"/>
      <c r="H185" s="364"/>
      <c r="I185" s="407"/>
      <c r="J185" s="364"/>
      <c r="K185" s="410"/>
      <c r="L185" s="413"/>
      <c r="M185" s="376"/>
      <c r="N185" s="177" t="str">
        <f t="shared" si="73"/>
        <v xml:space="preserve"> </v>
      </c>
      <c r="O185" s="34" t="str">
        <f t="shared" si="74"/>
        <v xml:space="preserve"> </v>
      </c>
      <c r="P185" s="28" t="str">
        <f>IF(N185&lt;&gt;" ",SUM(O$9:O184)+O185/2," ")</f>
        <v xml:space="preserve"> </v>
      </c>
      <c r="Q185" s="68" t="str">
        <f t="shared" si="62"/>
        <v xml:space="preserve"> </v>
      </c>
    </row>
    <row r="186" spans="7:17">
      <c r="G186" s="405"/>
      <c r="H186" s="364"/>
      <c r="I186" s="407"/>
      <c r="J186" s="364"/>
      <c r="K186" s="410"/>
      <c r="L186" s="413"/>
      <c r="M186" s="376"/>
      <c r="N186" s="177" t="str">
        <f t="shared" si="73"/>
        <v xml:space="preserve"> </v>
      </c>
      <c r="O186" s="34" t="str">
        <f t="shared" si="74"/>
        <v xml:space="preserve"> </v>
      </c>
      <c r="P186" s="28" t="str">
        <f>IF(N186&lt;&gt;" ",SUM(O$9:O185)+O186/2," ")</f>
        <v xml:space="preserve"> </v>
      </c>
      <c r="Q186" s="68" t="str">
        <f t="shared" si="62"/>
        <v xml:space="preserve"> </v>
      </c>
    </row>
    <row r="187" spans="7:17">
      <c r="G187" s="405"/>
      <c r="H187" s="364"/>
      <c r="I187" s="407"/>
      <c r="J187" s="364"/>
      <c r="K187" s="410"/>
      <c r="L187" s="413"/>
      <c r="M187" s="376"/>
      <c r="N187" s="177" t="str">
        <f t="shared" si="73"/>
        <v xml:space="preserve"> </v>
      </c>
      <c r="O187" s="34" t="str">
        <f t="shared" si="74"/>
        <v xml:space="preserve"> </v>
      </c>
      <c r="P187" s="28" t="str">
        <f>IF(N187&lt;&gt;" ",SUM(O$9:O186)+O187/2," ")</f>
        <v xml:space="preserve"> </v>
      </c>
      <c r="Q187" s="68" t="str">
        <f t="shared" si="62"/>
        <v xml:space="preserve"> </v>
      </c>
    </row>
    <row r="188" spans="7:17" ht="15.75" thickBot="1">
      <c r="G188" s="406"/>
      <c r="H188" s="365"/>
      <c r="I188" s="408"/>
      <c r="J188" s="365"/>
      <c r="K188" s="411"/>
      <c r="L188" s="414"/>
      <c r="M188" s="377"/>
      <c r="N188" s="180" t="str">
        <f t="shared" si="73"/>
        <v xml:space="preserve"> </v>
      </c>
      <c r="O188" s="196" t="str">
        <f t="shared" si="74"/>
        <v xml:space="preserve"> </v>
      </c>
      <c r="P188" s="70" t="str">
        <f>IF(N188&lt;&gt;" ",SUM(O$9:O187)+O188/2," ")</f>
        <v xml:space="preserve"> </v>
      </c>
      <c r="Q188" s="71" t="str">
        <f t="shared" si="62"/>
        <v xml:space="preserve"> </v>
      </c>
    </row>
    <row r="189" spans="7:17">
      <c r="G189" s="415">
        <f>'Несущая способность по грунту 1'!G189</f>
        <v>0</v>
      </c>
      <c r="H189" s="363" t="e">
        <f>VLOOKUP(G189,Геология!$D$7:$BO$993,7,FALSE)</f>
        <v>#N/A</v>
      </c>
      <c r="I189" s="416" t="e">
        <f>VLOOKUP(G189,Геология!$D$7:$BO$993,25,FALSE)</f>
        <v>#N/A</v>
      </c>
      <c r="J189" s="363">
        <f t="shared" ref="J189" si="75">IF(L179&lt;&gt;0,K179,J179)</f>
        <v>120</v>
      </c>
      <c r="K189" s="417">
        <f>'Несущая способность по грунту 1'!K189</f>
        <v>120</v>
      </c>
      <c r="L189" s="412">
        <f t="shared" ref="L189" si="76">IF(IF(G189&lt;&gt;0,J189-K189,0)&lt;0,0,IF(G189&lt;&gt;0,J189-K189,0))</f>
        <v>0</v>
      </c>
      <c r="M189" s="375"/>
      <c r="N189" s="181" t="str">
        <f>IF(M189&lt;&gt;0,MAX(N$9:N$188)+1," ")</f>
        <v xml:space="preserve"> </v>
      </c>
      <c r="O189" s="66" t="str">
        <f>IF(N189&lt;&gt;" ",L$189/COUNT(N$189:N$198), " ")</f>
        <v xml:space="preserve"> </v>
      </c>
      <c r="P189" s="66" t="str">
        <f>IF(N189&lt;&gt;" ",SUM(O$9:O188)+O189/2," ")</f>
        <v xml:space="preserve"> </v>
      </c>
      <c r="Q189" s="67" t="str">
        <f t="shared" si="62"/>
        <v xml:space="preserve"> </v>
      </c>
    </row>
    <row r="190" spans="7:17">
      <c r="G190" s="405"/>
      <c r="H190" s="364"/>
      <c r="I190" s="407"/>
      <c r="J190" s="364"/>
      <c r="K190" s="410"/>
      <c r="L190" s="413"/>
      <c r="M190" s="376"/>
      <c r="N190" s="177" t="str">
        <f t="shared" ref="N190:N198" si="77">IF(N189=" "," ", IF(N189&lt;SUM(M$9:M$198),N189+1, " "))</f>
        <v xml:space="preserve"> </v>
      </c>
      <c r="O190" s="28" t="str">
        <f t="shared" ref="O190:O198" si="78">IF(N190&lt;&gt;" ",L$189/COUNT(N$189:N$198), " ")</f>
        <v xml:space="preserve"> </v>
      </c>
      <c r="P190" s="28" t="str">
        <f>IF(N190&lt;&gt;" ",SUM(O$9:O189)+O190/2," ")</f>
        <v xml:space="preserve"> </v>
      </c>
      <c r="Q190" s="68" t="str">
        <f t="shared" si="62"/>
        <v xml:space="preserve"> </v>
      </c>
    </row>
    <row r="191" spans="7:17">
      <c r="G191" s="405"/>
      <c r="H191" s="364"/>
      <c r="I191" s="407"/>
      <c r="J191" s="364"/>
      <c r="K191" s="410"/>
      <c r="L191" s="413"/>
      <c r="M191" s="376"/>
      <c r="N191" s="177" t="str">
        <f t="shared" si="77"/>
        <v xml:space="preserve"> </v>
      </c>
      <c r="O191" s="28" t="str">
        <f t="shared" si="78"/>
        <v xml:space="preserve"> </v>
      </c>
      <c r="P191" s="28" t="str">
        <f>IF(N191&lt;&gt;" ",SUM(O$9:O190)+O191/2," ")</f>
        <v xml:space="preserve"> </v>
      </c>
      <c r="Q191" s="68" t="str">
        <f t="shared" si="62"/>
        <v xml:space="preserve"> </v>
      </c>
    </row>
    <row r="192" spans="7:17">
      <c r="G192" s="405"/>
      <c r="H192" s="364"/>
      <c r="I192" s="407"/>
      <c r="J192" s="364"/>
      <c r="K192" s="410"/>
      <c r="L192" s="413"/>
      <c r="M192" s="376"/>
      <c r="N192" s="177" t="str">
        <f t="shared" si="77"/>
        <v xml:space="preserve"> </v>
      </c>
      <c r="O192" s="28" t="str">
        <f t="shared" si="78"/>
        <v xml:space="preserve"> </v>
      </c>
      <c r="P192" s="28" t="str">
        <f>IF(N192&lt;&gt;" ",SUM(O$9:O191)+O192/2," ")</f>
        <v xml:space="preserve"> </v>
      </c>
      <c r="Q192" s="68" t="str">
        <f t="shared" si="62"/>
        <v xml:space="preserve"> </v>
      </c>
    </row>
    <row r="193" spans="7:17">
      <c r="G193" s="405"/>
      <c r="H193" s="364"/>
      <c r="I193" s="407"/>
      <c r="J193" s="364"/>
      <c r="K193" s="410"/>
      <c r="L193" s="413"/>
      <c r="M193" s="376"/>
      <c r="N193" s="177" t="str">
        <f t="shared" si="77"/>
        <v xml:space="preserve"> </v>
      </c>
      <c r="O193" s="28" t="str">
        <f t="shared" si="78"/>
        <v xml:space="preserve"> </v>
      </c>
      <c r="P193" s="28" t="str">
        <f>IF(N193&lt;&gt;" ",SUM(O$9:O192)+O193/2," ")</f>
        <v xml:space="preserve"> </v>
      </c>
      <c r="Q193" s="68" t="str">
        <f t="shared" si="62"/>
        <v xml:space="preserve"> </v>
      </c>
    </row>
    <row r="194" spans="7:17">
      <c r="G194" s="405"/>
      <c r="H194" s="364"/>
      <c r="I194" s="407"/>
      <c r="J194" s="364"/>
      <c r="K194" s="410"/>
      <c r="L194" s="413"/>
      <c r="M194" s="376"/>
      <c r="N194" s="177" t="str">
        <f t="shared" si="77"/>
        <v xml:space="preserve"> </v>
      </c>
      <c r="O194" s="28" t="str">
        <f t="shared" si="78"/>
        <v xml:space="preserve"> </v>
      </c>
      <c r="P194" s="28" t="str">
        <f>IF(N194&lt;&gt;" ",SUM(O$9:O193)+O194/2," ")</f>
        <v xml:space="preserve"> </v>
      </c>
      <c r="Q194" s="68" t="str">
        <f t="shared" si="62"/>
        <v xml:space="preserve"> </v>
      </c>
    </row>
    <row r="195" spans="7:17">
      <c r="G195" s="405"/>
      <c r="H195" s="364"/>
      <c r="I195" s="407"/>
      <c r="J195" s="364"/>
      <c r="K195" s="410"/>
      <c r="L195" s="413"/>
      <c r="M195" s="376"/>
      <c r="N195" s="177" t="str">
        <f t="shared" si="77"/>
        <v xml:space="preserve"> </v>
      </c>
      <c r="O195" s="28" t="str">
        <f t="shared" si="78"/>
        <v xml:space="preserve"> </v>
      </c>
      <c r="P195" s="28" t="str">
        <f>IF(N195&lt;&gt;" ",SUM(O$9:O194)+O195/2," ")</f>
        <v xml:space="preserve"> </v>
      </c>
      <c r="Q195" s="68" t="str">
        <f t="shared" si="62"/>
        <v xml:space="preserve"> </v>
      </c>
    </row>
    <row r="196" spans="7:17">
      <c r="G196" s="405"/>
      <c r="H196" s="364"/>
      <c r="I196" s="407"/>
      <c r="J196" s="364"/>
      <c r="K196" s="410"/>
      <c r="L196" s="413"/>
      <c r="M196" s="376"/>
      <c r="N196" s="177" t="str">
        <f t="shared" si="77"/>
        <v xml:space="preserve"> </v>
      </c>
      <c r="O196" s="28" t="str">
        <f t="shared" si="78"/>
        <v xml:space="preserve"> </v>
      </c>
      <c r="P196" s="28" t="str">
        <f>IF(N196&lt;&gt;" ",SUM(O$9:O195)+O196/2," ")</f>
        <v xml:space="preserve"> </v>
      </c>
      <c r="Q196" s="68" t="str">
        <f t="shared" si="62"/>
        <v xml:space="preserve"> </v>
      </c>
    </row>
    <row r="197" spans="7:17">
      <c r="G197" s="405"/>
      <c r="H197" s="364"/>
      <c r="I197" s="407"/>
      <c r="J197" s="364"/>
      <c r="K197" s="410"/>
      <c r="L197" s="413"/>
      <c r="M197" s="376"/>
      <c r="N197" s="177" t="str">
        <f t="shared" si="77"/>
        <v xml:space="preserve"> </v>
      </c>
      <c r="O197" s="28" t="str">
        <f t="shared" si="78"/>
        <v xml:space="preserve"> </v>
      </c>
      <c r="P197" s="28" t="str">
        <f>IF(N197&lt;&gt;" ",SUM(O$9:O196)+O197/2," ")</f>
        <v xml:space="preserve"> </v>
      </c>
      <c r="Q197" s="68" t="str">
        <f t="shared" si="62"/>
        <v xml:space="preserve"> </v>
      </c>
    </row>
    <row r="198" spans="7:17" ht="15.75" thickBot="1">
      <c r="G198" s="406"/>
      <c r="H198" s="365"/>
      <c r="I198" s="408"/>
      <c r="J198" s="365"/>
      <c r="K198" s="411"/>
      <c r="L198" s="414"/>
      <c r="M198" s="377"/>
      <c r="N198" s="180" t="str">
        <f t="shared" si="77"/>
        <v xml:space="preserve"> </v>
      </c>
      <c r="O198" s="70" t="str">
        <f t="shared" si="78"/>
        <v xml:space="preserve"> </v>
      </c>
      <c r="P198" s="70" t="str">
        <f>IF(N198&lt;&gt;" ",SUM(O$9:O197)+O198/2," ")</f>
        <v xml:space="preserve"> </v>
      </c>
      <c r="Q198" s="71" t="str">
        <f t="shared" si="62"/>
        <v xml:space="preserve"> </v>
      </c>
    </row>
    <row r="199" spans="7:17">
      <c r="G199" s="415">
        <f>'Несущая способность по грунту 1'!G199</f>
        <v>0</v>
      </c>
      <c r="H199" s="363" t="e">
        <f>VLOOKUP(G199,Геология!$D$7:$BO$993,7,FALSE)</f>
        <v>#N/A</v>
      </c>
      <c r="I199" s="416" t="e">
        <f>VLOOKUP(G199,Геология!$D$7:$BO$993,25,FALSE)</f>
        <v>#N/A</v>
      </c>
      <c r="J199" s="363">
        <f t="shared" ref="J199" si="79">IF(L189&lt;&gt;0,K189,J189)</f>
        <v>120</v>
      </c>
      <c r="K199" s="417">
        <f>'Несущая способность по грунту 1'!K199</f>
        <v>120</v>
      </c>
      <c r="L199" s="412">
        <f t="shared" ref="L199" si="80">IF(IF(G199&lt;&gt;0,J199-K199,0)&lt;0,0,IF(G199&lt;&gt;0,J199-K199,0))</f>
        <v>0</v>
      </c>
      <c r="M199" s="375"/>
      <c r="N199" s="181" t="str">
        <f>IF(M199&lt;&gt;0,MAX(N$9:N$198)+1," ")</f>
        <v xml:space="preserve"> </v>
      </c>
      <c r="O199" s="66" t="str">
        <f>IF(N199&lt;&gt;" ",L$199/COUNT(N$199:N$208), " ")</f>
        <v xml:space="preserve"> </v>
      </c>
      <c r="P199" s="66" t="str">
        <f>IF(N199&lt;&gt;" ",SUM(O$9:O198)+O199/2," ")</f>
        <v xml:space="preserve"> </v>
      </c>
      <c r="Q199" s="67" t="str">
        <f t="shared" si="62"/>
        <v xml:space="preserve"> </v>
      </c>
    </row>
    <row r="200" spans="7:17">
      <c r="G200" s="405"/>
      <c r="H200" s="364"/>
      <c r="I200" s="407"/>
      <c r="J200" s="364"/>
      <c r="K200" s="410"/>
      <c r="L200" s="413"/>
      <c r="M200" s="376"/>
      <c r="N200" s="177" t="str">
        <f t="shared" ref="N200:N208" si="81">IF(N199=" "," ", IF(N199&lt;SUM(M$9:M$208),N199+1, " "))</f>
        <v xml:space="preserve"> </v>
      </c>
      <c r="O200" s="34" t="str">
        <f t="shared" ref="O200:O208" si="82">IF(N200&lt;&gt;" ",L$199/COUNT(N$199:N$208), " ")</f>
        <v xml:space="preserve"> </v>
      </c>
      <c r="P200" s="28" t="str">
        <f>IF(N200&lt;&gt;" ",SUM(O$9:O199)+O200/2," ")</f>
        <v xml:space="preserve"> </v>
      </c>
      <c r="Q200" s="68" t="str">
        <f t="shared" si="62"/>
        <v xml:space="preserve"> </v>
      </c>
    </row>
    <row r="201" spans="7:17">
      <c r="G201" s="405"/>
      <c r="H201" s="364"/>
      <c r="I201" s="407"/>
      <c r="J201" s="364"/>
      <c r="K201" s="410"/>
      <c r="L201" s="413"/>
      <c r="M201" s="376"/>
      <c r="N201" s="177" t="str">
        <f t="shared" si="81"/>
        <v xml:space="preserve"> </v>
      </c>
      <c r="O201" s="34" t="str">
        <f t="shared" si="82"/>
        <v xml:space="preserve"> </v>
      </c>
      <c r="P201" s="28" t="str">
        <f>IF(N201&lt;&gt;" ",SUM(O$9:O200)+O201/2," ")</f>
        <v xml:space="preserve"> </v>
      </c>
      <c r="Q201" s="68" t="str">
        <f t="shared" si="62"/>
        <v xml:space="preserve"> </v>
      </c>
    </row>
    <row r="202" spans="7:17">
      <c r="G202" s="405"/>
      <c r="H202" s="364"/>
      <c r="I202" s="407"/>
      <c r="J202" s="364"/>
      <c r="K202" s="410"/>
      <c r="L202" s="413"/>
      <c r="M202" s="376"/>
      <c r="N202" s="177" t="str">
        <f t="shared" si="81"/>
        <v xml:space="preserve"> </v>
      </c>
      <c r="O202" s="34" t="str">
        <f t="shared" si="82"/>
        <v xml:space="preserve"> </v>
      </c>
      <c r="P202" s="28" t="str">
        <f>IF(N202&lt;&gt;" ",SUM(O$9:O201)+O202/2," ")</f>
        <v xml:space="preserve"> </v>
      </c>
      <c r="Q202" s="68" t="str">
        <f t="shared" si="62"/>
        <v xml:space="preserve"> </v>
      </c>
    </row>
    <row r="203" spans="7:17">
      <c r="G203" s="405"/>
      <c r="H203" s="364"/>
      <c r="I203" s="407"/>
      <c r="J203" s="364"/>
      <c r="K203" s="410"/>
      <c r="L203" s="413"/>
      <c r="M203" s="376"/>
      <c r="N203" s="177" t="str">
        <f t="shared" si="81"/>
        <v xml:space="preserve"> </v>
      </c>
      <c r="O203" s="34" t="str">
        <f t="shared" si="82"/>
        <v xml:space="preserve"> </v>
      </c>
      <c r="P203" s="28" t="str">
        <f>IF(N203&lt;&gt;" ",SUM(O$9:O202)+O203/2," ")</f>
        <v xml:space="preserve"> </v>
      </c>
      <c r="Q203" s="68" t="str">
        <f t="shared" si="62"/>
        <v xml:space="preserve"> </v>
      </c>
    </row>
    <row r="204" spans="7:17">
      <c r="G204" s="405"/>
      <c r="H204" s="364"/>
      <c r="I204" s="407"/>
      <c r="J204" s="364"/>
      <c r="K204" s="410"/>
      <c r="L204" s="413"/>
      <c r="M204" s="376"/>
      <c r="N204" s="177" t="str">
        <f t="shared" si="81"/>
        <v xml:space="preserve"> </v>
      </c>
      <c r="O204" s="34" t="str">
        <f t="shared" si="82"/>
        <v xml:space="preserve"> </v>
      </c>
      <c r="P204" s="28" t="str">
        <f>IF(N204&lt;&gt;" ",SUM(O$9:O203)+O204/2," ")</f>
        <v xml:space="preserve"> </v>
      </c>
      <c r="Q204" s="68" t="str">
        <f t="shared" si="62"/>
        <v xml:space="preserve"> </v>
      </c>
    </row>
    <row r="205" spans="7:17">
      <c r="G205" s="405"/>
      <c r="H205" s="364"/>
      <c r="I205" s="407"/>
      <c r="J205" s="364"/>
      <c r="K205" s="410"/>
      <c r="L205" s="413"/>
      <c r="M205" s="376"/>
      <c r="N205" s="177" t="str">
        <f t="shared" si="81"/>
        <v xml:space="preserve"> </v>
      </c>
      <c r="O205" s="34" t="str">
        <f t="shared" si="82"/>
        <v xml:space="preserve"> </v>
      </c>
      <c r="P205" s="28" t="str">
        <f>IF(N205&lt;&gt;" ",SUM(O$9:O204)+O205/2," ")</f>
        <v xml:space="preserve"> </v>
      </c>
      <c r="Q205" s="68" t="str">
        <f t="shared" si="62"/>
        <v xml:space="preserve"> </v>
      </c>
    </row>
    <row r="206" spans="7:17">
      <c r="G206" s="405"/>
      <c r="H206" s="364"/>
      <c r="I206" s="407"/>
      <c r="J206" s="364"/>
      <c r="K206" s="410"/>
      <c r="L206" s="413"/>
      <c r="M206" s="376"/>
      <c r="N206" s="177" t="str">
        <f t="shared" si="81"/>
        <v xml:space="preserve"> </v>
      </c>
      <c r="O206" s="34" t="str">
        <f t="shared" si="82"/>
        <v xml:space="preserve"> </v>
      </c>
      <c r="P206" s="28" t="str">
        <f>IF(N206&lt;&gt;" ",SUM(O$9:O205)+O206/2," ")</f>
        <v xml:space="preserve"> </v>
      </c>
      <c r="Q206" s="68" t="str">
        <f t="shared" si="62"/>
        <v xml:space="preserve"> </v>
      </c>
    </row>
    <row r="207" spans="7:17">
      <c r="G207" s="405"/>
      <c r="H207" s="364"/>
      <c r="I207" s="407"/>
      <c r="J207" s="364"/>
      <c r="K207" s="410"/>
      <c r="L207" s="413"/>
      <c r="M207" s="376"/>
      <c r="N207" s="177" t="str">
        <f t="shared" si="81"/>
        <v xml:space="preserve"> </v>
      </c>
      <c r="O207" s="34" t="str">
        <f t="shared" si="82"/>
        <v xml:space="preserve"> </v>
      </c>
      <c r="P207" s="28" t="str">
        <f>IF(N207&lt;&gt;" ",SUM(O$9:O206)+O207/2," ")</f>
        <v xml:space="preserve"> </v>
      </c>
      <c r="Q207" s="68" t="str">
        <f t="shared" si="62"/>
        <v xml:space="preserve"> </v>
      </c>
    </row>
    <row r="208" spans="7:17" ht="15.75" thickBot="1">
      <c r="G208" s="406"/>
      <c r="H208" s="365"/>
      <c r="I208" s="408"/>
      <c r="J208" s="365"/>
      <c r="K208" s="411"/>
      <c r="L208" s="414"/>
      <c r="M208" s="377"/>
      <c r="N208" s="180" t="str">
        <f t="shared" si="81"/>
        <v xml:space="preserve"> </v>
      </c>
      <c r="O208" s="196" t="str">
        <f t="shared" si="82"/>
        <v xml:space="preserve"> </v>
      </c>
      <c r="P208" s="70" t="str">
        <f>IF(N208&lt;&gt;" ",SUM(O$9:O207)+O208/2," ")</f>
        <v xml:space="preserve"> </v>
      </c>
      <c r="Q208" s="71" t="str">
        <f t="shared" si="62"/>
        <v xml:space="preserve"> </v>
      </c>
    </row>
    <row r="209" spans="17:17">
      <c r="Q209" s="55"/>
    </row>
    <row r="210" spans="17:17">
      <c r="Q210" s="55"/>
    </row>
    <row r="211" spans="17:17">
      <c r="Q211" s="55"/>
    </row>
    <row r="212" spans="17:17">
      <c r="Q212" s="55"/>
    </row>
    <row r="213" spans="17:17">
      <c r="Q213" s="55"/>
    </row>
    <row r="214" spans="17:17">
      <c r="Q214" s="55"/>
    </row>
    <row r="215" spans="17:17">
      <c r="Q215" s="55"/>
    </row>
    <row r="216" spans="17:17">
      <c r="Q216" s="55"/>
    </row>
    <row r="217" spans="17:17">
      <c r="Q217" s="55"/>
    </row>
    <row r="218" spans="17:17">
      <c r="Q218" s="55"/>
    </row>
    <row r="219" spans="17:17">
      <c r="Q219" s="55"/>
    </row>
    <row r="220" spans="17:17">
      <c r="Q220" s="55"/>
    </row>
    <row r="221" spans="17:17">
      <c r="Q221" s="55"/>
    </row>
    <row r="222" spans="17:17">
      <c r="Q222" s="55"/>
    </row>
    <row r="223" spans="17:17">
      <c r="Q223" s="55"/>
    </row>
    <row r="224" spans="17:17">
      <c r="Q224" s="55"/>
    </row>
    <row r="225" spans="17:17">
      <c r="Q225" s="55"/>
    </row>
    <row r="226" spans="17:17">
      <c r="Q226" s="55"/>
    </row>
    <row r="227" spans="17:17">
      <c r="Q227" s="55"/>
    </row>
    <row r="228" spans="17:17">
      <c r="Q228" s="55"/>
    </row>
    <row r="229" spans="17:17">
      <c r="Q229" s="55"/>
    </row>
    <row r="230" spans="17:17">
      <c r="Q230" s="55"/>
    </row>
    <row r="231" spans="17:17">
      <c r="Q231" s="55"/>
    </row>
    <row r="232" spans="17:17">
      <c r="Q232" s="55"/>
    </row>
    <row r="233" spans="17:17">
      <c r="Q233" s="55"/>
    </row>
    <row r="234" spans="17:17">
      <c r="Q234" s="55"/>
    </row>
    <row r="235" spans="17:17">
      <c r="Q235" s="55"/>
    </row>
    <row r="236" spans="17:17">
      <c r="Q236" s="55"/>
    </row>
    <row r="237" spans="17:17">
      <c r="Q237" s="55"/>
    </row>
    <row r="238" spans="17:17">
      <c r="Q238" s="55"/>
    </row>
    <row r="239" spans="17:17">
      <c r="Q239" s="55"/>
    </row>
    <row r="240" spans="17:17">
      <c r="Q240" s="55"/>
    </row>
    <row r="241" spans="17:17">
      <c r="Q241" s="55"/>
    </row>
    <row r="242" spans="17:17">
      <c r="Q242" s="55"/>
    </row>
    <row r="243" spans="17:17">
      <c r="Q243" s="55"/>
    </row>
    <row r="244" spans="17:17">
      <c r="Q244" s="55"/>
    </row>
    <row r="245" spans="17:17">
      <c r="Q245" s="55"/>
    </row>
    <row r="246" spans="17:17">
      <c r="Q246" s="55"/>
    </row>
    <row r="247" spans="17:17">
      <c r="Q247" s="55"/>
    </row>
    <row r="248" spans="17:17">
      <c r="Q248" s="55"/>
    </row>
    <row r="249" spans="17:17">
      <c r="Q249" s="55"/>
    </row>
    <row r="250" spans="17:17">
      <c r="Q250" s="55"/>
    </row>
    <row r="251" spans="17:17">
      <c r="Q251" s="55"/>
    </row>
    <row r="252" spans="17:17">
      <c r="Q252" s="55"/>
    </row>
    <row r="253" spans="17:17">
      <c r="Q253" s="55"/>
    </row>
    <row r="254" spans="17:17">
      <c r="Q254" s="55"/>
    </row>
    <row r="255" spans="17:17">
      <c r="Q255" s="55"/>
    </row>
    <row r="256" spans="17:17">
      <c r="Q256" s="55"/>
    </row>
    <row r="257" spans="17:17">
      <c r="Q257" s="55"/>
    </row>
    <row r="258" spans="17:17">
      <c r="Q258" s="55"/>
    </row>
    <row r="259" spans="17:17">
      <c r="Q259" s="55"/>
    </row>
    <row r="260" spans="17:17">
      <c r="Q260" s="55"/>
    </row>
    <row r="261" spans="17:17">
      <c r="Q261" s="55"/>
    </row>
    <row r="262" spans="17:17">
      <c r="Q262" s="55"/>
    </row>
    <row r="263" spans="17:17">
      <c r="Q263" s="55"/>
    </row>
    <row r="264" spans="17:17">
      <c r="Q264" s="55"/>
    </row>
    <row r="265" spans="17:17">
      <c r="Q265" s="55"/>
    </row>
    <row r="266" spans="17:17">
      <c r="Q266" s="55"/>
    </row>
    <row r="267" spans="17:17">
      <c r="Q267" s="55"/>
    </row>
    <row r="268" spans="17:17">
      <c r="Q268" s="55"/>
    </row>
  </sheetData>
  <mergeCells count="140">
    <mergeCell ref="L189:L198"/>
    <mergeCell ref="M189:M198"/>
    <mergeCell ref="G199:G208"/>
    <mergeCell ref="H199:H208"/>
    <mergeCell ref="I199:I208"/>
    <mergeCell ref="J199:J208"/>
    <mergeCell ref="K199:K208"/>
    <mergeCell ref="L199:L208"/>
    <mergeCell ref="M199:M208"/>
    <mergeCell ref="G189:G198"/>
    <mergeCell ref="H189:H198"/>
    <mergeCell ref="I189:I198"/>
    <mergeCell ref="J189:J198"/>
    <mergeCell ref="K189:K198"/>
    <mergeCell ref="L169:L178"/>
    <mergeCell ref="M169:M178"/>
    <mergeCell ref="G179:G188"/>
    <mergeCell ref="H179:H188"/>
    <mergeCell ref="I179:I188"/>
    <mergeCell ref="J179:J188"/>
    <mergeCell ref="K179:K188"/>
    <mergeCell ref="L179:L188"/>
    <mergeCell ref="M179:M188"/>
    <mergeCell ref="G169:G178"/>
    <mergeCell ref="H169:H178"/>
    <mergeCell ref="I169:I178"/>
    <mergeCell ref="J169:J178"/>
    <mergeCell ref="K169:K178"/>
    <mergeCell ref="L149:L158"/>
    <mergeCell ref="M149:M158"/>
    <mergeCell ref="G159:G168"/>
    <mergeCell ref="H159:H168"/>
    <mergeCell ref="I159:I168"/>
    <mergeCell ref="J159:J168"/>
    <mergeCell ref="K159:K168"/>
    <mergeCell ref="L159:L168"/>
    <mergeCell ref="M159:M168"/>
    <mergeCell ref="G149:G158"/>
    <mergeCell ref="H149:H158"/>
    <mergeCell ref="I149:I158"/>
    <mergeCell ref="J149:J158"/>
    <mergeCell ref="K149:K158"/>
    <mergeCell ref="L129:L138"/>
    <mergeCell ref="M129:M138"/>
    <mergeCell ref="G139:G148"/>
    <mergeCell ref="H139:H148"/>
    <mergeCell ref="I139:I148"/>
    <mergeCell ref="J139:J148"/>
    <mergeCell ref="K139:K148"/>
    <mergeCell ref="L139:L148"/>
    <mergeCell ref="M139:M148"/>
    <mergeCell ref="G129:G138"/>
    <mergeCell ref="H129:H138"/>
    <mergeCell ref="I129:I138"/>
    <mergeCell ref="J129:J138"/>
    <mergeCell ref="K129:K138"/>
    <mergeCell ref="L109:L118"/>
    <mergeCell ref="M109:M118"/>
    <mergeCell ref="G119:G128"/>
    <mergeCell ref="H119:H128"/>
    <mergeCell ref="I119:I128"/>
    <mergeCell ref="J119:J128"/>
    <mergeCell ref="K119:K128"/>
    <mergeCell ref="L119:L128"/>
    <mergeCell ref="M119:M128"/>
    <mergeCell ref="G109:G118"/>
    <mergeCell ref="H109:H118"/>
    <mergeCell ref="I109:I118"/>
    <mergeCell ref="J109:J118"/>
    <mergeCell ref="K109:K118"/>
    <mergeCell ref="L89:L98"/>
    <mergeCell ref="M89:M98"/>
    <mergeCell ref="G99:G108"/>
    <mergeCell ref="H99:H108"/>
    <mergeCell ref="I99:I108"/>
    <mergeCell ref="J99:J108"/>
    <mergeCell ref="K99:K108"/>
    <mergeCell ref="L99:L108"/>
    <mergeCell ref="M99:M108"/>
    <mergeCell ref="G89:G98"/>
    <mergeCell ref="H89:H98"/>
    <mergeCell ref="I89:I98"/>
    <mergeCell ref="J89:J98"/>
    <mergeCell ref="K89:K98"/>
    <mergeCell ref="M69:M78"/>
    <mergeCell ref="M79:M88"/>
    <mergeCell ref="M9:M18"/>
    <mergeCell ref="M19:M28"/>
    <mergeCell ref="M29:M38"/>
    <mergeCell ref="M39:M48"/>
    <mergeCell ref="M49:M58"/>
    <mergeCell ref="M59:M68"/>
    <mergeCell ref="L69:L78"/>
    <mergeCell ref="L49:L58"/>
    <mergeCell ref="L29:L38"/>
    <mergeCell ref="L9:L18"/>
    <mergeCell ref="G79:G88"/>
    <mergeCell ref="H79:H88"/>
    <mergeCell ref="I79:I88"/>
    <mergeCell ref="J79:J88"/>
    <mergeCell ref="K79:K88"/>
    <mergeCell ref="L79:L88"/>
    <mergeCell ref="G69:G78"/>
    <mergeCell ref="H69:H78"/>
    <mergeCell ref="I69:I78"/>
    <mergeCell ref="J69:J78"/>
    <mergeCell ref="K69:K78"/>
    <mergeCell ref="G59:G68"/>
    <mergeCell ref="H59:H68"/>
    <mergeCell ref="I59:I68"/>
    <mergeCell ref="J59:J68"/>
    <mergeCell ref="K59:K68"/>
    <mergeCell ref="L59:L68"/>
    <mergeCell ref="G49:G58"/>
    <mergeCell ref="H49:H58"/>
    <mergeCell ref="I49:I58"/>
    <mergeCell ref="J49:J58"/>
    <mergeCell ref="K49:K58"/>
    <mergeCell ref="G39:G48"/>
    <mergeCell ref="H39:H48"/>
    <mergeCell ref="I39:I48"/>
    <mergeCell ref="J39:J48"/>
    <mergeCell ref="K39:K48"/>
    <mergeCell ref="L39:L48"/>
    <mergeCell ref="G29:G38"/>
    <mergeCell ref="H29:H38"/>
    <mergeCell ref="I29:I38"/>
    <mergeCell ref="J29:J38"/>
    <mergeCell ref="K29:K38"/>
    <mergeCell ref="G19:G28"/>
    <mergeCell ref="H19:H28"/>
    <mergeCell ref="I19:I28"/>
    <mergeCell ref="J19:J28"/>
    <mergeCell ref="K19:K28"/>
    <mergeCell ref="L19:L28"/>
    <mergeCell ref="G9:G18"/>
    <mergeCell ref="H9:H18"/>
    <mergeCell ref="I9:I18"/>
    <mergeCell ref="J9:J18"/>
    <mergeCell ref="K9:K18"/>
  </mergeCells>
  <conditionalFormatting sqref="M9:M18">
    <cfRule type="expression" dxfId="47" priority="6">
      <formula>$L9&gt;=0</formula>
    </cfRule>
  </conditionalFormatting>
  <conditionalFormatting sqref="M19:M208">
    <cfRule type="expression" dxfId="46" priority="5">
      <formula>$L19&gt;=0</formula>
    </cfRule>
  </conditionalFormatting>
  <conditionalFormatting sqref="O9:O208">
    <cfRule type="cellIs" dxfId="45" priority="2" operator="notEqual">
      <formula>" "</formula>
    </cfRule>
  </conditionalFormatting>
  <conditionalFormatting sqref="Q9:Q268">
    <cfRule type="cellIs" dxfId="44" priority="1" operator="notEqual">
      <formula>" 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9" tint="0.59999389629810485"/>
  </sheetPr>
  <dimension ref="A2:AZ368"/>
  <sheetViews>
    <sheetView zoomScale="85" zoomScaleNormal="85" workbookViewId="0">
      <selection activeCell="U24" sqref="U24"/>
    </sheetView>
  </sheetViews>
  <sheetFormatPr defaultRowHeight="15"/>
  <cols>
    <col min="1" max="1" width="47.5703125" customWidth="1"/>
    <col min="4" max="4" width="10.7109375" customWidth="1"/>
    <col min="5" max="5" width="19.28515625" customWidth="1"/>
    <col min="9" max="9" width="23.28515625" customWidth="1"/>
    <col min="12" max="12" width="12.5703125" customWidth="1"/>
    <col min="13" max="13" width="12.85546875" customWidth="1"/>
    <col min="14" max="14" width="7.42578125" customWidth="1"/>
    <col min="15" max="15" width="6.85546875" customWidth="1"/>
    <col min="20" max="20" width="4.140625" customWidth="1"/>
    <col min="21" max="21" width="3.42578125" customWidth="1"/>
    <col min="22" max="22" width="3" customWidth="1"/>
    <col min="23" max="23" width="2.7109375" customWidth="1"/>
    <col min="24" max="24" width="3.7109375" customWidth="1"/>
    <col min="25" max="25" width="4.140625" customWidth="1"/>
    <col min="27" max="27" width="3.7109375" customWidth="1"/>
    <col min="28" max="28" width="8.28515625" customWidth="1"/>
    <col min="29" max="29" width="3.42578125" customWidth="1"/>
    <col min="30" max="30" width="9.140625" customWidth="1"/>
    <col min="31" max="31" width="4.140625" customWidth="1"/>
    <col min="32" max="32" width="8.42578125" customWidth="1"/>
    <col min="33" max="33" width="3.5703125" customWidth="1"/>
    <col min="34" max="34" width="8.5703125" customWidth="1"/>
    <col min="35" max="35" width="4.28515625" customWidth="1"/>
    <col min="36" max="36" width="7.7109375" customWidth="1"/>
    <col min="37" max="37" width="3.7109375" customWidth="1"/>
    <col min="39" max="39" width="3.7109375" customWidth="1"/>
    <col min="44" max="44" width="19.28515625" style="104" customWidth="1"/>
    <col min="45" max="46" width="9.140625" style="103"/>
    <col min="47" max="47" width="12.28515625" style="103" customWidth="1"/>
    <col min="48" max="48" width="11.42578125" customWidth="1"/>
    <col min="50" max="50" width="9.28515625" customWidth="1"/>
    <col min="51" max="51" width="17.7109375" customWidth="1"/>
    <col min="52" max="52" width="18.5703125" customWidth="1"/>
  </cols>
  <sheetData>
    <row r="2" spans="1:52">
      <c r="A2" s="63" t="s">
        <v>153</v>
      </c>
      <c r="B2" s="33"/>
    </row>
    <row r="3" spans="1:52">
      <c r="A3" s="64" t="s">
        <v>154</v>
      </c>
      <c r="B3" s="49"/>
    </row>
    <row r="4" spans="1:52">
      <c r="A4" s="81" t="s">
        <v>157</v>
      </c>
      <c r="B4" s="81"/>
    </row>
    <row r="5" spans="1:52" ht="15.75">
      <c r="H5" s="434" t="s">
        <v>274</v>
      </c>
      <c r="I5" s="83" t="s">
        <v>57</v>
      </c>
      <c r="J5" s="187">
        <f>Скважина!C7</f>
        <v>1514</v>
      </c>
      <c r="W5" s="135"/>
      <c r="X5" s="135"/>
      <c r="Y5" s="135"/>
    </row>
    <row r="6" spans="1:52" ht="15.75" thickBot="1">
      <c r="C6" s="434" t="s">
        <v>275</v>
      </c>
      <c r="H6" s="434"/>
      <c r="W6" s="135"/>
      <c r="X6" s="135"/>
      <c r="Y6" s="435" t="s">
        <v>276</v>
      </c>
      <c r="Z6" s="435"/>
    </row>
    <row r="7" spans="1:52" ht="19.5" thickBot="1">
      <c r="A7" s="437" t="s">
        <v>220</v>
      </c>
      <c r="B7" s="437"/>
      <c r="C7" s="434"/>
      <c r="H7" s="32" t="str">
        <f>CONCATENATE("Определение осредненных параметров напластования грунтов ниже сваи по скв. №",J$5)</f>
        <v>Определение осредненных параметров напластования грунтов ниже сваи по скв. №1514</v>
      </c>
      <c r="I7" s="30"/>
      <c r="J7" s="30"/>
      <c r="K7" s="30"/>
      <c r="L7" s="30"/>
      <c r="M7" s="30"/>
      <c r="N7" s="113"/>
      <c r="O7" s="113"/>
      <c r="P7" s="113"/>
      <c r="Q7" s="113"/>
      <c r="R7" s="113"/>
      <c r="S7" s="113"/>
      <c r="W7" s="136"/>
      <c r="X7" s="136"/>
      <c r="Y7" s="435"/>
      <c r="Z7" s="435"/>
      <c r="AA7" s="123" t="s">
        <v>263</v>
      </c>
      <c r="AB7" s="131" t="s">
        <v>264</v>
      </c>
      <c r="AC7" t="s">
        <v>265</v>
      </c>
      <c r="AR7" s="432" t="s">
        <v>253</v>
      </c>
      <c r="AS7" s="433"/>
      <c r="AT7" s="433"/>
      <c r="AU7" s="433"/>
      <c r="AV7" s="433"/>
      <c r="AW7" s="433"/>
      <c r="AX7" s="433"/>
      <c r="AY7" s="433"/>
      <c r="AZ7" s="433"/>
    </row>
    <row r="8" spans="1:52" ht="63.75" thickBot="1">
      <c r="A8" s="427" t="s">
        <v>221</v>
      </c>
      <c r="B8" s="427"/>
      <c r="G8" s="73" t="s">
        <v>290</v>
      </c>
      <c r="H8" s="74" t="s">
        <v>31</v>
      </c>
      <c r="I8" s="74" t="s">
        <v>32</v>
      </c>
      <c r="J8" s="88" t="s">
        <v>171</v>
      </c>
      <c r="K8" s="74" t="s">
        <v>33</v>
      </c>
      <c r="L8" s="74" t="s">
        <v>34</v>
      </c>
      <c r="M8" s="76" t="s">
        <v>35</v>
      </c>
      <c r="N8" s="204" t="s">
        <v>182</v>
      </c>
      <c r="O8" s="205" t="s">
        <v>183</v>
      </c>
      <c r="P8" s="206" t="s">
        <v>185</v>
      </c>
      <c r="Q8" s="207" t="s">
        <v>216</v>
      </c>
      <c r="R8" s="208" t="s">
        <v>223</v>
      </c>
      <c r="S8" s="209" t="s">
        <v>224</v>
      </c>
      <c r="AR8" s="132" t="s">
        <v>259</v>
      </c>
      <c r="AS8" s="132" t="s">
        <v>257</v>
      </c>
      <c r="AT8" s="132" t="s">
        <v>258</v>
      </c>
      <c r="AU8" s="133" t="str">
        <f>CONCATENATE("Расстояние a от сваи №",AI$22,", м")</f>
        <v>Расстояние a от сваи №10, м</v>
      </c>
      <c r="AV8" s="132" t="s">
        <v>266</v>
      </c>
      <c r="AW8" s="134" t="s">
        <v>262</v>
      </c>
      <c r="AX8" s="132" t="s">
        <v>267</v>
      </c>
      <c r="AY8" s="133" t="s">
        <v>268</v>
      </c>
      <c r="AZ8" s="133" t="s">
        <v>269</v>
      </c>
    </row>
    <row r="9" spans="1:52" ht="18">
      <c r="A9" s="105" t="s">
        <v>222</v>
      </c>
      <c r="B9" s="80">
        <f>'Несущая способность по грунту 1'!$AY$9</f>
        <v>5.4169951949205437</v>
      </c>
      <c r="G9" s="404">
        <f>IF(Скважина!$C$8&gt;Скважина!$I8,Скважина!$E8,IF(Скважина!$C$8&gt;Скважина!$I9,Скважина!$E9,IF(Скважина!$C$8&gt;Скважина!$I10,Скважина!$E10,IF(Скважина!$C$8&gt;Скважина!$I11,Скважина!$E11,IF(Скважина!$C$8&gt;Скважина!$I12,Скважина!$E12,IF(Скважина!$C$8&gt;Скважина!$I13,Скважина!$E13,IF(Скважина!$C$8&gt;Скважина!$I14,Скважина!$E14,IF(Скважина!$C$8&gt;Скважина!$I15,Скважина!$E15,IF(Скважина!$C$8&gt;Скважина!$I16,Скважина!$E16,IF(Скважина!$C$8&gt;Скважина!$I17,Скважина!$E17,IF(Скважина!$C$8&gt;Скважина!$I18,Скважина!$E18,IF(Скважина!$C$8&gt;Скважина!$I19,Скважина!$E19,IF(Скважина!$C$8&gt;Скважина!$I20,Скважина!$E20,IF(Скважина!$C$8&gt;Скважина!$I21,Скважина!$E21,IF(Скважина!$C$8&gt;Скважина!$I22,Скважина!$E22,IF(Скважина!$C$8&gt;Скважина!$I23,Скважина!$E23,IF(Скважина!$C$8&gt;Скважина!$I24,Скважина!$E24,IF(Скважина!$C$8&gt;Скважина!$I25,Скважина!$E25,IF(Скважина!$C$8&gt;Скважина!$I26,Скважина!$E26,IF(Скважина!$C$8&gt;Скважина!$I27,Скважина!$E27,0))))))))))))))))))))</f>
        <v>10</v>
      </c>
      <c r="H9" s="388">
        <f>VLOOKUP('Осадка куста'!$G9,Скважина!$E$8:$K$33,2,FALSE)</f>
        <v>6</v>
      </c>
      <c r="I9" s="388" t="str">
        <f>VLOOKUP(H9,Геология!$D$7:$BO$993,7,FALSE)</f>
        <v>Суглинки полутвердые   с прослоями твердых глин</v>
      </c>
      <c r="J9" s="428">
        <f>VLOOKUP(H9,Геология!$D$7:$BO$993,23,FALSE)</f>
        <v>20.004239999999999</v>
      </c>
      <c r="K9" s="388">
        <f>Скважина!C8</f>
        <v>120</v>
      </c>
      <c r="L9" s="388">
        <f t="shared" ref="L9" si="0">IF(K29&lt;$B$21,$B$21,K29)</f>
        <v>118</v>
      </c>
      <c r="M9" s="421">
        <f>IF(IF(H9&lt;&gt;0,K9-L9,0)&lt;0,0,IF(H9&lt;&gt;0,K9-L9,0))</f>
        <v>2</v>
      </c>
      <c r="N9" s="439">
        <f>IF(H9&lt;&gt;0,VLOOKUP(H9,Геология!$D$7:$BO$993,24,FALSE)," ")</f>
        <v>0.37</v>
      </c>
      <c r="O9" s="431">
        <f>IF(N9&lt;&gt;" ",N9*M9," ")</f>
        <v>0.74</v>
      </c>
      <c r="P9" s="239">
        <f>SUM(O9:O348)/SUM(M9:M348)</f>
        <v>0.3125</v>
      </c>
      <c r="Q9" s="430">
        <f>IF(H9&lt;&gt;0,VLOOKUP(H9,Геология!$D$7:$BO$993,27,FALSE)," ")</f>
        <v>8.0291970802919703</v>
      </c>
      <c r="R9" s="431">
        <f>IF(Q9&lt;&gt;" ",Q9*M9," ")</f>
        <v>16.058394160583941</v>
      </c>
      <c r="S9" s="239">
        <f>SUM(R9:R348)/SUM(M9:M348)</f>
        <v>8.219648761619565</v>
      </c>
      <c r="Y9" s="128"/>
      <c r="Z9" s="129" t="s">
        <v>254</v>
      </c>
      <c r="AA9" s="353" t="s">
        <v>256</v>
      </c>
      <c r="AB9" s="353"/>
      <c r="AC9" s="353"/>
      <c r="AD9" s="353"/>
      <c r="AE9" s="353"/>
      <c r="AF9" s="353"/>
      <c r="AG9" s="353"/>
      <c r="AH9" s="353"/>
      <c r="AI9" s="353"/>
      <c r="AJ9" s="353"/>
      <c r="AK9" s="353"/>
      <c r="AL9" s="353"/>
      <c r="AM9" s="353"/>
      <c r="AN9" s="353"/>
      <c r="AR9" s="48">
        <f>IF(AA11&lt;&gt;0,AA11," ")</f>
        <v>1</v>
      </c>
      <c r="AS9" s="105">
        <f>$Z$10</f>
        <v>0</v>
      </c>
      <c r="AT9" s="105">
        <f>$Z$10</f>
        <v>0</v>
      </c>
      <c r="AU9" s="126">
        <f>IF(AR9&lt;&gt;" ",SQRT((AS9-$AB$24)^2+(AT9-$AE$24)^2),0)</f>
        <v>2.0124611797498111</v>
      </c>
      <c r="AV9" s="28">
        <f>IF(AU9&lt;&gt;0,$B$27*$B$9*$B$11/(2*$B$22*AU9)," ")</f>
        <v>4.2774158755461142</v>
      </c>
      <c r="AW9" s="28">
        <f>IF(AU9&lt;&gt;0,IF(AV9&gt;1,0.17*LN(AV9),0)," ")</f>
        <v>0.24706934017569096</v>
      </c>
      <c r="AX9" s="28">
        <f>AB11</f>
        <v>155.51</v>
      </c>
      <c r="AY9" s="28">
        <f>IF(AU9&lt;&gt;0,AW9*AX9/($B$9*$B$11)," ")</f>
        <v>0.49255670384731076</v>
      </c>
      <c r="AZ9" s="242">
        <f>SUM(AY9:AY43)</f>
        <v>6.7283627309179046</v>
      </c>
    </row>
    <row r="10" spans="1:52" ht="18.75" thickBot="1">
      <c r="A10" s="105" t="s">
        <v>230</v>
      </c>
      <c r="B10" s="53">
        <f>'Несущая способность по грунту 1'!$AS$9</f>
        <v>0.34396907216494843</v>
      </c>
      <c r="G10" s="405"/>
      <c r="H10" s="364"/>
      <c r="I10" s="364"/>
      <c r="J10" s="425"/>
      <c r="K10" s="364"/>
      <c r="L10" s="364"/>
      <c r="M10" s="421"/>
      <c r="N10" s="382"/>
      <c r="O10" s="420"/>
      <c r="P10" s="240"/>
      <c r="Q10" s="423"/>
      <c r="R10" s="420"/>
      <c r="S10" s="240"/>
      <c r="Y10" s="438" t="s">
        <v>255</v>
      </c>
      <c r="Z10" s="267">
        <v>0</v>
      </c>
      <c r="AA10" s="345"/>
      <c r="AB10" s="270">
        <v>0.9</v>
      </c>
      <c r="AC10" s="278"/>
      <c r="AD10" s="270">
        <v>0.9</v>
      </c>
      <c r="AE10" s="278"/>
      <c r="AF10" s="270">
        <v>2.1</v>
      </c>
      <c r="AG10" s="278"/>
      <c r="AH10" s="270">
        <v>2.1</v>
      </c>
      <c r="AI10" s="278"/>
      <c r="AJ10" s="270">
        <v>0.9</v>
      </c>
      <c r="AK10" s="278"/>
      <c r="AL10" s="270">
        <v>0.9</v>
      </c>
      <c r="AM10" s="278"/>
      <c r="AN10" s="130"/>
      <c r="AR10" s="48">
        <f>IF(AC11&lt;&gt;0,AC11," ")</f>
        <v>2</v>
      </c>
      <c r="AS10" s="105">
        <f>AS9+$AB$10</f>
        <v>0.9</v>
      </c>
      <c r="AT10" s="105">
        <f t="shared" ref="AT10:AT13" si="1">$Z$10</f>
        <v>0</v>
      </c>
      <c r="AU10" s="126">
        <f t="shared" ref="AU10:AU11" si="2">IF(AR10&lt;&gt;" ",SQRT((AS10-$AB$24)^2+(AT10-$AE$24)^2),0)</f>
        <v>1.2727922061357855</v>
      </c>
      <c r="AV10" s="28">
        <f t="shared" ref="AV10:AV12" si="3">IF(AU10&lt;&gt;0,$B$27*$B$9*$B$11/(2*$B$22*AU10)," ")</f>
        <v>6.763188333244524</v>
      </c>
      <c r="AW10" s="28">
        <f t="shared" ref="AW10:AW12" si="4">IF(AU10&lt;&gt;0,IF(AV10&gt;1,0.17*LN(AV10),0)," ")</f>
        <v>0.3249540523849942</v>
      </c>
      <c r="AX10" s="28">
        <f>AD11</f>
        <v>145.49</v>
      </c>
      <c r="AY10" s="28">
        <f>IF(AU10&lt;&gt;0,AW10*AX10/($B$9*$B$11)," ")</f>
        <v>0.60608586931162856</v>
      </c>
      <c r="AZ10" s="243"/>
    </row>
    <row r="11" spans="1:52" ht="15.75" thickBot="1">
      <c r="A11" s="105" t="s">
        <v>242</v>
      </c>
      <c r="B11" s="53">
        <f>'Несущая способность по грунту 1'!$B$21</f>
        <v>14.400000000000006</v>
      </c>
      <c r="G11" s="405"/>
      <c r="H11" s="364"/>
      <c r="I11" s="364"/>
      <c r="J11" s="425"/>
      <c r="K11" s="364"/>
      <c r="L11" s="364"/>
      <c r="M11" s="421"/>
      <c r="N11" s="382"/>
      <c r="O11" s="420"/>
      <c r="P11" s="240"/>
      <c r="Q11" s="423"/>
      <c r="R11" s="420"/>
      <c r="S11" s="240"/>
      <c r="Y11" s="438"/>
      <c r="Z11" s="273"/>
      <c r="AA11" s="123">
        <v>1</v>
      </c>
      <c r="AB11" s="343">
        <v>155.51</v>
      </c>
      <c r="AC11" s="123">
        <v>2</v>
      </c>
      <c r="AD11" s="343">
        <v>145.49</v>
      </c>
      <c r="AE11" s="123">
        <v>3</v>
      </c>
      <c r="AF11" s="343">
        <v>135.24</v>
      </c>
      <c r="AG11" s="123">
        <v>4</v>
      </c>
      <c r="AH11" s="343">
        <v>113.42</v>
      </c>
      <c r="AI11" s="123">
        <v>5</v>
      </c>
      <c r="AJ11" s="343">
        <v>97.41</v>
      </c>
      <c r="AK11" s="123">
        <v>6</v>
      </c>
      <c r="AL11" s="343">
        <v>90.84</v>
      </c>
      <c r="AM11" s="123">
        <v>7</v>
      </c>
      <c r="AN11" s="344">
        <v>84.11</v>
      </c>
      <c r="AR11" s="48">
        <f>IF(AE11&lt;&gt;0,AE11," ")</f>
        <v>3</v>
      </c>
      <c r="AS11" s="105">
        <f>AS10+$AD$10</f>
        <v>1.8</v>
      </c>
      <c r="AT11" s="105">
        <f t="shared" si="1"/>
        <v>0</v>
      </c>
      <c r="AU11" s="126">
        <f t="shared" si="2"/>
        <v>0.9</v>
      </c>
      <c r="AV11" s="28">
        <f t="shared" si="3"/>
        <v>9.5645926657578944</v>
      </c>
      <c r="AW11" s="28">
        <f t="shared" si="4"/>
        <v>0.38387156273258954</v>
      </c>
      <c r="AX11" s="28">
        <f>AF11</f>
        <v>135.24</v>
      </c>
      <c r="AY11" s="28">
        <f t="shared" ref="AY11:AY13" si="5">IF(AU11&lt;&gt;0,AW11*AX11/($B$9*$B$11)," ")</f>
        <v>0.66553386707402884</v>
      </c>
      <c r="AZ11" s="243"/>
    </row>
    <row r="12" spans="1:52" ht="15.75" thickBot="1">
      <c r="A12" s="105" t="s">
        <v>245</v>
      </c>
      <c r="B12" s="47">
        <v>0.3</v>
      </c>
      <c r="G12" s="405"/>
      <c r="H12" s="364"/>
      <c r="I12" s="364"/>
      <c r="J12" s="425"/>
      <c r="K12" s="364"/>
      <c r="L12" s="364"/>
      <c r="M12" s="421"/>
      <c r="N12" s="382"/>
      <c r="O12" s="420"/>
      <c r="P12" s="240"/>
      <c r="Q12" s="423"/>
      <c r="R12" s="420"/>
      <c r="S12" s="240"/>
      <c r="Y12" s="438"/>
      <c r="Z12" s="271">
        <v>0.9</v>
      </c>
      <c r="AA12" s="272"/>
      <c r="AB12" s="272"/>
      <c r="AC12" s="272"/>
      <c r="AD12" s="272"/>
      <c r="AE12" s="272"/>
      <c r="AF12" s="272"/>
      <c r="AG12" s="272"/>
      <c r="AH12" s="272"/>
      <c r="AI12" s="272"/>
      <c r="AJ12" s="272"/>
      <c r="AK12" s="272"/>
      <c r="AL12" s="272"/>
      <c r="AM12" s="272"/>
      <c r="AN12" s="345"/>
      <c r="AR12" s="48">
        <f>IF(AG11&lt;&gt;0,AG11," ")</f>
        <v>4</v>
      </c>
      <c r="AS12" s="105">
        <f>AS11+$AF$10</f>
        <v>3.9000000000000004</v>
      </c>
      <c r="AT12" s="105">
        <f t="shared" si="1"/>
        <v>0</v>
      </c>
      <c r="AU12" s="126">
        <f>IF(AR12&lt;&gt;" ",SQRT((AS12-$AB$24)^2+(AT12-$AE$24)^2),0)</f>
        <v>2.2847319317591732</v>
      </c>
      <c r="AV12" s="28">
        <f t="shared" si="3"/>
        <v>3.7676776340907998</v>
      </c>
      <c r="AW12" s="28">
        <f t="shared" si="4"/>
        <v>0.22549799590972247</v>
      </c>
      <c r="AX12" s="28">
        <f>AH11</f>
        <v>113.42</v>
      </c>
      <c r="AY12" s="28">
        <f t="shared" si="5"/>
        <v>0.32787732784320872</v>
      </c>
      <c r="AZ12" s="243"/>
    </row>
    <row r="13" spans="1:52" ht="15.75" thickBot="1">
      <c r="A13" s="105" t="s">
        <v>234</v>
      </c>
      <c r="B13" s="47" t="s">
        <v>235</v>
      </c>
      <c r="G13" s="405"/>
      <c r="H13" s="364"/>
      <c r="I13" s="364"/>
      <c r="J13" s="425"/>
      <c r="K13" s="364"/>
      <c r="L13" s="364"/>
      <c r="M13" s="421"/>
      <c r="N13" s="382"/>
      <c r="O13" s="420"/>
      <c r="P13" s="240"/>
      <c r="Q13" s="423"/>
      <c r="R13" s="420"/>
      <c r="S13" s="240"/>
      <c r="Y13" s="438"/>
      <c r="Z13" s="273"/>
      <c r="AA13" s="123">
        <v>8</v>
      </c>
      <c r="AB13" s="343">
        <v>155.13</v>
      </c>
      <c r="AC13" s="123">
        <v>9</v>
      </c>
      <c r="AD13" s="343">
        <v>145.33000000000001</v>
      </c>
      <c r="AE13" s="123">
        <v>10</v>
      </c>
      <c r="AF13" s="343">
        <v>134.83000000000001</v>
      </c>
      <c r="AG13" s="123">
        <v>11</v>
      </c>
      <c r="AH13" s="343">
        <v>112.78</v>
      </c>
      <c r="AI13" s="123">
        <v>12</v>
      </c>
      <c r="AJ13" s="343">
        <v>96.8</v>
      </c>
      <c r="AK13" s="123">
        <v>13</v>
      </c>
      <c r="AL13" s="343">
        <v>90.34</v>
      </c>
      <c r="AM13" s="123">
        <v>14</v>
      </c>
      <c r="AN13" s="344">
        <v>83.5</v>
      </c>
      <c r="AR13" s="48">
        <f>IF(AI11&lt;&gt;0,AI11," ")</f>
        <v>5</v>
      </c>
      <c r="AS13" s="105">
        <f>AS12+$AH$10</f>
        <v>6</v>
      </c>
      <c r="AT13" s="105">
        <f t="shared" si="1"/>
        <v>0</v>
      </c>
      <c r="AU13" s="126">
        <f>IF(AR13&lt;&gt;" ",SQRT((AS13-$AB$24)^2+(AT13-$AE$24)^2),0)</f>
        <v>4.2953463189829062</v>
      </c>
      <c r="AV13" s="28">
        <f t="shared" ref="AV13:AV43" si="6">IF(AU13&lt;&gt;0,$B$27*$B$9*$B$11/(2*$B$22*AU13)," ")</f>
        <v>2.004060385338247</v>
      </c>
      <c r="AW13" s="28">
        <f t="shared" ref="AW13" si="7">IF(AU13&lt;&gt;0,IF(AV13&gt;1,0.17*LN(AV13),0)," ")</f>
        <v>0.11817980357940346</v>
      </c>
      <c r="AX13" s="28">
        <f>AJ11</f>
        <v>97.41</v>
      </c>
      <c r="AY13" s="28">
        <f t="shared" si="5"/>
        <v>0.14757944226708242</v>
      </c>
      <c r="AZ13" s="243"/>
    </row>
    <row r="14" spans="1:52" ht="18" thickBot="1">
      <c r="A14" s="106" t="s">
        <v>237</v>
      </c>
      <c r="B14" s="53">
        <f>IF(B13=Служебный!$C$2,'Осадка куста'!B12^2,PI()*('Осадка куста'!B12^2)/4)</f>
        <v>0.09</v>
      </c>
      <c r="G14" s="405"/>
      <c r="H14" s="364"/>
      <c r="I14" s="364"/>
      <c r="J14" s="425"/>
      <c r="K14" s="364"/>
      <c r="L14" s="364"/>
      <c r="M14" s="421"/>
      <c r="N14" s="382"/>
      <c r="O14" s="420"/>
      <c r="P14" s="240"/>
      <c r="Q14" s="423"/>
      <c r="R14" s="420"/>
      <c r="S14" s="240"/>
      <c r="Y14" s="438"/>
      <c r="Z14" s="271">
        <v>0.9</v>
      </c>
      <c r="AA14" s="272"/>
      <c r="AB14" s="272"/>
      <c r="AC14" s="272"/>
      <c r="AD14" s="272"/>
      <c r="AE14" s="272"/>
      <c r="AF14" s="272"/>
      <c r="AG14" s="272"/>
      <c r="AH14" s="272"/>
      <c r="AI14" s="272"/>
      <c r="AJ14" s="272"/>
      <c r="AK14" s="272"/>
      <c r="AL14" s="272"/>
      <c r="AM14" s="272"/>
      <c r="AN14" s="345"/>
      <c r="AR14" s="48">
        <f>IF(AK11&lt;&gt;0,AK11," ")</f>
        <v>6</v>
      </c>
      <c r="AS14" s="237">
        <f>AS13+$AJ$10</f>
        <v>6.9</v>
      </c>
      <c r="AT14" s="237">
        <f>$Z$10</f>
        <v>0</v>
      </c>
      <c r="AU14" s="126">
        <f t="shared" ref="AU14" si="8">IF(AR14&lt;&gt;" ",SQRT((AS14-$AB$24)^2+(AT14-$AE$24)^2),0)</f>
        <v>5.1788029504896214</v>
      </c>
      <c r="AV14" s="28">
        <f t="shared" si="6"/>
        <v>1.6621859301227637</v>
      </c>
      <c r="AW14" s="28">
        <f t="shared" ref="AW14:AW43" si="9">IF(AU14&lt;&gt;0,IF(AV14&gt;1,0.17*LN(AV14),0)," ")</f>
        <v>8.6382705453208766E-2</v>
      </c>
      <c r="AX14" s="28">
        <f>AL11</f>
        <v>90.84</v>
      </c>
      <c r="AY14" s="28">
        <f t="shared" ref="AY14" si="10">IF(AU14&lt;&gt;0,AW14*AX14/($B$9*$B$11)," ")</f>
        <v>0.10059652641836704</v>
      </c>
      <c r="AZ14" s="243"/>
    </row>
    <row r="15" spans="1:52" ht="18.75" thickBot="1">
      <c r="A15" s="106" t="s">
        <v>238</v>
      </c>
      <c r="B15" s="47">
        <v>30000</v>
      </c>
      <c r="G15" s="405"/>
      <c r="H15" s="364"/>
      <c r="I15" s="364"/>
      <c r="J15" s="425"/>
      <c r="K15" s="364"/>
      <c r="L15" s="364"/>
      <c r="M15" s="421"/>
      <c r="N15" s="382"/>
      <c r="O15" s="420"/>
      <c r="P15" s="240"/>
      <c r="Q15" s="423"/>
      <c r="R15" s="420"/>
      <c r="S15" s="240"/>
      <c r="Y15" s="438"/>
      <c r="Z15" s="273"/>
      <c r="AA15" s="123">
        <v>15</v>
      </c>
      <c r="AB15" s="343">
        <v>154.49</v>
      </c>
      <c r="AC15" s="123">
        <v>16</v>
      </c>
      <c r="AD15" s="343">
        <v>144.47</v>
      </c>
      <c r="AE15" s="123">
        <v>17</v>
      </c>
      <c r="AF15" s="343">
        <v>134.21</v>
      </c>
      <c r="AG15" s="123">
        <v>18</v>
      </c>
      <c r="AH15" s="343">
        <v>112.06</v>
      </c>
      <c r="AI15" s="123">
        <v>19</v>
      </c>
      <c r="AJ15" s="343">
        <v>96.06</v>
      </c>
      <c r="AK15" s="123">
        <v>20</v>
      </c>
      <c r="AL15" s="343">
        <v>89.48</v>
      </c>
      <c r="AM15" s="123">
        <v>21</v>
      </c>
      <c r="AN15" s="344">
        <v>82.75</v>
      </c>
      <c r="AR15" s="48">
        <f>IF(AM11&lt;&gt;0,AM11," ")</f>
        <v>7</v>
      </c>
      <c r="AS15" s="105">
        <f>AS14+$AL$10</f>
        <v>7.8000000000000007</v>
      </c>
      <c r="AT15" s="105">
        <f>$Z$10</f>
        <v>0</v>
      </c>
      <c r="AU15" s="126">
        <f t="shared" ref="AU15:AU42" si="11">IF(AR15&lt;&gt;" ",SQRT((AS15-$AB$24)^2+(AT15-$AE$24)^2),0)</f>
        <v>6.0671245248470065</v>
      </c>
      <c r="AV15" s="28">
        <f t="shared" si="6"/>
        <v>1.4188160081318215</v>
      </c>
      <c r="AW15" s="28">
        <f t="shared" si="9"/>
        <v>5.9469863542529984E-2</v>
      </c>
      <c r="AX15" s="28">
        <f>AN11</f>
        <v>84.11</v>
      </c>
      <c r="AY15" s="28">
        <f t="shared" ref="AY15:AY43" si="12">IF(AU15&lt;&gt;0,AW15*AX15/($B$9*$B$11)," ")</f>
        <v>6.4124446951140154E-2</v>
      </c>
      <c r="AZ15" s="243"/>
    </row>
    <row r="16" spans="1:52" ht="15.75" thickBot="1">
      <c r="A16" s="106" t="s">
        <v>246</v>
      </c>
      <c r="B16" s="53">
        <f>SQRT(4*B14/PI())</f>
        <v>0.33851375012865376</v>
      </c>
      <c r="G16" s="405"/>
      <c r="H16" s="364"/>
      <c r="I16" s="364"/>
      <c r="J16" s="425"/>
      <c r="K16" s="364"/>
      <c r="L16" s="364"/>
      <c r="M16" s="421"/>
      <c r="N16" s="382"/>
      <c r="O16" s="420"/>
      <c r="P16" s="240"/>
      <c r="Q16" s="423"/>
      <c r="R16" s="420"/>
      <c r="S16" s="240"/>
      <c r="Y16" s="438"/>
      <c r="Z16" s="271"/>
      <c r="AA16" s="272"/>
      <c r="AB16" s="272"/>
      <c r="AC16" s="272"/>
      <c r="AD16" s="272"/>
      <c r="AE16" s="272"/>
      <c r="AF16" s="272"/>
      <c r="AG16" s="272"/>
      <c r="AH16" s="272"/>
      <c r="AI16" s="272"/>
      <c r="AJ16" s="272"/>
      <c r="AK16" s="272"/>
      <c r="AL16" s="119"/>
      <c r="AM16" s="272"/>
      <c r="AN16" s="130"/>
      <c r="AR16" s="48">
        <f>IF(AA13&lt;&gt;0,AA13," ")</f>
        <v>8</v>
      </c>
      <c r="AS16" s="105">
        <f>$Z$10</f>
        <v>0</v>
      </c>
      <c r="AT16" s="105">
        <f>$Z$10+$Z$12</f>
        <v>0.9</v>
      </c>
      <c r="AU16" s="126">
        <f t="shared" si="11"/>
        <v>1.8</v>
      </c>
      <c r="AV16" s="28">
        <f t="shared" si="6"/>
        <v>4.7822963328789472</v>
      </c>
      <c r="AW16" s="28">
        <f t="shared" si="9"/>
        <v>0.26603654203739885</v>
      </c>
      <c r="AX16" s="28">
        <f>AB13</f>
        <v>155.13</v>
      </c>
      <c r="AY16" s="28">
        <f t="shared" si="12"/>
        <v>0.52907366437106429</v>
      </c>
      <c r="AZ16" s="243"/>
    </row>
    <row r="17" spans="1:52" ht="15.75" thickBot="1">
      <c r="A17" s="103"/>
      <c r="B17" s="103"/>
      <c r="G17" s="405"/>
      <c r="H17" s="364"/>
      <c r="I17" s="364"/>
      <c r="J17" s="425"/>
      <c r="K17" s="364"/>
      <c r="L17" s="364"/>
      <c r="M17" s="421"/>
      <c r="N17" s="382"/>
      <c r="O17" s="420"/>
      <c r="P17" s="240"/>
      <c r="Q17" s="423"/>
      <c r="R17" s="420"/>
      <c r="S17" s="240"/>
      <c r="Y17" s="438"/>
      <c r="Z17" s="273"/>
      <c r="AA17" s="123"/>
      <c r="AB17" s="343"/>
      <c r="AC17" s="123"/>
      <c r="AD17" s="343"/>
      <c r="AE17" s="123"/>
      <c r="AF17" s="343"/>
      <c r="AG17" s="123"/>
      <c r="AH17" s="343"/>
      <c r="AI17" s="123"/>
      <c r="AJ17" s="343"/>
      <c r="AK17" s="123"/>
      <c r="AL17" s="343"/>
      <c r="AM17" s="123"/>
      <c r="AN17" s="344"/>
      <c r="AR17" s="48">
        <f>IF(AC13&lt;&gt;0,AC13," ")</f>
        <v>9</v>
      </c>
      <c r="AS17" s="105">
        <f>AS16+$AB$10</f>
        <v>0.9</v>
      </c>
      <c r="AT17" s="105">
        <f t="shared" ref="AT17:AT22" si="13">$Z$10+$Z$12</f>
        <v>0.9</v>
      </c>
      <c r="AU17" s="126">
        <f t="shared" si="11"/>
        <v>0.9</v>
      </c>
      <c r="AV17" s="28">
        <f t="shared" si="6"/>
        <v>9.5645926657578944</v>
      </c>
      <c r="AW17" s="28">
        <f t="shared" si="9"/>
        <v>0.38387156273258954</v>
      </c>
      <c r="AX17" s="28">
        <f>AD13</f>
        <v>145.33000000000001</v>
      </c>
      <c r="AY17" s="28">
        <f t="shared" si="12"/>
        <v>0.71518808711822413</v>
      </c>
      <c r="AZ17" s="243"/>
    </row>
    <row r="18" spans="1:52" ht="15.75" thickBot="1">
      <c r="A18" s="103"/>
      <c r="B18" s="103"/>
      <c r="G18" s="405"/>
      <c r="H18" s="364"/>
      <c r="I18" s="364"/>
      <c r="J18" s="425"/>
      <c r="K18" s="364"/>
      <c r="L18" s="364"/>
      <c r="M18" s="421"/>
      <c r="N18" s="382"/>
      <c r="O18" s="420"/>
      <c r="P18" s="240"/>
      <c r="Q18" s="423"/>
      <c r="R18" s="420"/>
      <c r="S18" s="240"/>
      <c r="Y18" s="438"/>
      <c r="Z18" s="271"/>
      <c r="AA18" s="272"/>
      <c r="AB18" s="272"/>
      <c r="AC18" s="272"/>
      <c r="AD18" s="272"/>
      <c r="AE18" s="272"/>
      <c r="AF18" s="272"/>
      <c r="AG18" s="272"/>
      <c r="AH18" s="272"/>
      <c r="AI18" s="272"/>
      <c r="AJ18" s="272"/>
      <c r="AK18" s="272"/>
      <c r="AL18" s="119"/>
      <c r="AM18" s="272"/>
      <c r="AN18" s="130"/>
      <c r="AR18" s="48">
        <f>IF(AE13&lt;&gt;0,AE13," ")</f>
        <v>10</v>
      </c>
      <c r="AS18" s="105">
        <f>AS17+$AD$10</f>
        <v>1.8</v>
      </c>
      <c r="AT18" s="105">
        <f t="shared" si="13"/>
        <v>0.9</v>
      </c>
      <c r="AU18" s="126">
        <f t="shared" si="11"/>
        <v>0</v>
      </c>
      <c r="AV18" s="28" t="str">
        <f t="shared" si="6"/>
        <v xml:space="preserve"> </v>
      </c>
      <c r="AW18" s="28" t="str">
        <f t="shared" si="9"/>
        <v xml:space="preserve"> </v>
      </c>
      <c r="AX18" s="28">
        <f>AF13</f>
        <v>134.83000000000001</v>
      </c>
      <c r="AY18" s="28" t="str">
        <f t="shared" si="12"/>
        <v xml:space="preserve"> </v>
      </c>
      <c r="AZ18" s="243"/>
    </row>
    <row r="19" spans="1:52" ht="15.75" thickBot="1">
      <c r="A19" s="427" t="s">
        <v>226</v>
      </c>
      <c r="B19" s="427"/>
      <c r="G19" s="405"/>
      <c r="H19" s="364"/>
      <c r="I19" s="364"/>
      <c r="J19" s="425"/>
      <c r="K19" s="364"/>
      <c r="L19" s="364"/>
      <c r="M19" s="421"/>
      <c r="N19" s="382"/>
      <c r="O19" s="420"/>
      <c r="P19" s="240"/>
      <c r="Q19" s="423"/>
      <c r="R19" s="420"/>
      <c r="S19" s="240"/>
      <c r="Y19" s="438"/>
      <c r="Z19" s="273"/>
      <c r="AA19" s="123"/>
      <c r="AB19" s="346"/>
      <c r="AC19" s="123"/>
      <c r="AD19" s="346"/>
      <c r="AE19" s="123"/>
      <c r="AF19" s="346"/>
      <c r="AG19" s="123"/>
      <c r="AH19" s="346"/>
      <c r="AI19" s="123"/>
      <c r="AJ19" s="346"/>
      <c r="AK19" s="123"/>
      <c r="AL19" s="346"/>
      <c r="AM19" s="123"/>
      <c r="AN19" s="347"/>
      <c r="AR19" s="48">
        <f>IF(AG13&lt;&gt;0,AG13," ")</f>
        <v>11</v>
      </c>
      <c r="AS19" s="105">
        <f>AS18+$AF$10</f>
        <v>3.9000000000000004</v>
      </c>
      <c r="AT19" s="105">
        <f t="shared" si="13"/>
        <v>0.9</v>
      </c>
      <c r="AU19" s="126">
        <f t="shared" si="11"/>
        <v>2.1000000000000005</v>
      </c>
      <c r="AV19" s="28">
        <f t="shared" si="6"/>
        <v>4.0991111424676676</v>
      </c>
      <c r="AW19" s="28">
        <f t="shared" si="9"/>
        <v>0.23983092646676488</v>
      </c>
      <c r="AX19" s="28">
        <f>AH13</f>
        <v>112.78</v>
      </c>
      <c r="AY19" s="28">
        <f t="shared" si="12"/>
        <v>0.34674989077129764</v>
      </c>
      <c r="AZ19" s="243"/>
    </row>
    <row r="20" spans="1:52">
      <c r="A20" s="105" t="s">
        <v>227</v>
      </c>
      <c r="B20" s="53">
        <f>B11*0.5</f>
        <v>7.2000000000000028</v>
      </c>
      <c r="G20" s="405"/>
      <c r="H20" s="364"/>
      <c r="I20" s="364"/>
      <c r="J20" s="425"/>
      <c r="K20" s="364"/>
      <c r="L20" s="364"/>
      <c r="M20" s="421"/>
      <c r="N20" s="382"/>
      <c r="O20" s="420"/>
      <c r="P20" s="240"/>
      <c r="Q20" s="423"/>
      <c r="R20" s="420"/>
      <c r="S20" s="240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238"/>
      <c r="AM20" s="103"/>
      <c r="AR20" s="48">
        <f>IF(AI13&lt;&gt;0,AI13," ")</f>
        <v>12</v>
      </c>
      <c r="AS20" s="105">
        <f>AS19+$AH$10</f>
        <v>6</v>
      </c>
      <c r="AT20" s="105">
        <f t="shared" si="13"/>
        <v>0.9</v>
      </c>
      <c r="AU20" s="126">
        <f t="shared" si="11"/>
        <v>4.2</v>
      </c>
      <c r="AV20" s="28">
        <f t="shared" si="6"/>
        <v>2.0495555712338343</v>
      </c>
      <c r="AW20" s="28">
        <f t="shared" si="9"/>
        <v>0.1219959057715742</v>
      </c>
      <c r="AX20" s="28">
        <f>AJ13</f>
        <v>96.8</v>
      </c>
      <c r="AY20" s="28">
        <f t="shared" si="12"/>
        <v>0.15139086509930583</v>
      </c>
      <c r="AZ20" s="243"/>
    </row>
    <row r="21" spans="1:52" ht="15.75" thickBot="1">
      <c r="A21" s="105" t="s">
        <v>225</v>
      </c>
      <c r="B21" s="53">
        <f>K9-B20</f>
        <v>112.8</v>
      </c>
      <c r="G21" s="405"/>
      <c r="H21" s="364"/>
      <c r="I21" s="364"/>
      <c r="J21" s="425"/>
      <c r="K21" s="364"/>
      <c r="L21" s="364"/>
      <c r="M21" s="421"/>
      <c r="N21" s="382"/>
      <c r="O21" s="420"/>
      <c r="P21" s="240"/>
      <c r="Q21" s="423"/>
      <c r="R21" s="420"/>
      <c r="S21" s="240"/>
      <c r="Z21" s="103"/>
      <c r="AA21" s="119"/>
      <c r="AB21" s="119"/>
      <c r="AC21" s="103"/>
      <c r="AD21" s="103"/>
      <c r="AE21" s="103"/>
      <c r="AF21" s="103"/>
      <c r="AG21" s="103"/>
      <c r="AH21" s="103"/>
      <c r="AI21" s="103"/>
      <c r="AJ21" s="103"/>
      <c r="AK21" s="238"/>
      <c r="AM21" s="103"/>
      <c r="AR21" s="48">
        <f>IF(AK13&lt;&gt;0,AK13," ")</f>
        <v>13</v>
      </c>
      <c r="AS21" s="237">
        <f>AS20+$AJ$10</f>
        <v>6.9</v>
      </c>
      <c r="AT21" s="237">
        <f t="shared" si="13"/>
        <v>0.9</v>
      </c>
      <c r="AU21" s="126">
        <f t="shared" si="11"/>
        <v>5.1000000000000005</v>
      </c>
      <c r="AV21" s="28">
        <f t="shared" si="6"/>
        <v>1.6878692939572753</v>
      </c>
      <c r="AW21" s="28">
        <f t="shared" si="9"/>
        <v>8.8989383316611437E-2</v>
      </c>
      <c r="AX21" s="28">
        <f>AL13</f>
        <v>90.34</v>
      </c>
      <c r="AY21" s="28">
        <f t="shared" si="12"/>
        <v>0.10306170927925438</v>
      </c>
      <c r="AZ21" s="243"/>
    </row>
    <row r="22" spans="1:52" ht="18.75" thickBot="1">
      <c r="A22" s="105" t="s">
        <v>228</v>
      </c>
      <c r="B22" s="53">
        <f>$S$9</f>
        <v>8.219648761619565</v>
      </c>
      <c r="G22" s="405"/>
      <c r="H22" s="364"/>
      <c r="I22" s="364"/>
      <c r="J22" s="425"/>
      <c r="K22" s="364"/>
      <c r="L22" s="364"/>
      <c r="M22" s="421"/>
      <c r="N22" s="382"/>
      <c r="O22" s="420"/>
      <c r="P22" s="240"/>
      <c r="Q22" s="423"/>
      <c r="R22" s="420"/>
      <c r="S22" s="240"/>
      <c r="Z22" s="439" t="s">
        <v>260</v>
      </c>
      <c r="AA22" s="440"/>
      <c r="AB22" s="440"/>
      <c r="AC22" s="440"/>
      <c r="AD22" s="440"/>
      <c r="AE22" s="440"/>
      <c r="AF22" s="440"/>
      <c r="AG22" s="441"/>
      <c r="AH22" s="442"/>
      <c r="AI22" s="123">
        <v>10</v>
      </c>
      <c r="AJ22" s="103"/>
      <c r="AK22" s="238"/>
      <c r="AM22" s="103"/>
      <c r="AR22" s="48">
        <f>IF(AM13&lt;&gt;0,AM13," ")</f>
        <v>14</v>
      </c>
      <c r="AS22" s="105">
        <f>AS20+$AL$10</f>
        <v>6.9</v>
      </c>
      <c r="AT22" s="105">
        <f t="shared" si="13"/>
        <v>0.9</v>
      </c>
      <c r="AU22" s="126">
        <f t="shared" si="11"/>
        <v>5.1000000000000005</v>
      </c>
      <c r="AV22" s="28">
        <f t="shared" si="6"/>
        <v>1.6878692939572753</v>
      </c>
      <c r="AW22" s="28">
        <f t="shared" si="9"/>
        <v>8.8989383316611437E-2</v>
      </c>
      <c r="AX22" s="28">
        <f>AN13</f>
        <v>83.5</v>
      </c>
      <c r="AY22" s="28">
        <f t="shared" si="12"/>
        <v>9.525849817154905E-2</v>
      </c>
      <c r="AZ22" s="243"/>
    </row>
    <row r="23" spans="1:52" ht="18.75" thickBot="1">
      <c r="A23" s="105" t="s">
        <v>229</v>
      </c>
      <c r="B23" s="53">
        <f>$P$9</f>
        <v>0.3125</v>
      </c>
      <c r="G23" s="405"/>
      <c r="H23" s="364"/>
      <c r="I23" s="364"/>
      <c r="J23" s="425"/>
      <c r="K23" s="364"/>
      <c r="L23" s="364"/>
      <c r="M23" s="421"/>
      <c r="N23" s="382"/>
      <c r="O23" s="420"/>
      <c r="P23" s="240"/>
      <c r="Q23" s="423"/>
      <c r="R23" s="420"/>
      <c r="S23" s="240"/>
      <c r="Z23" s="382" t="s">
        <v>261</v>
      </c>
      <c r="AA23" s="353"/>
      <c r="AB23" s="353"/>
      <c r="AC23" s="353"/>
      <c r="AD23" s="353"/>
      <c r="AE23" s="353"/>
      <c r="AF23" s="353"/>
      <c r="AG23" s="105"/>
      <c r="AH23" s="342" t="s">
        <v>264</v>
      </c>
      <c r="AI23" s="140"/>
      <c r="AJ23" s="103"/>
      <c r="AK23" s="238"/>
      <c r="AM23" s="103"/>
      <c r="AR23" s="48">
        <f>IF(AA15&lt;&gt;0,AA15," ")</f>
        <v>15</v>
      </c>
      <c r="AS23" s="105">
        <f t="shared" ref="AS23" si="14">$Z$10</f>
        <v>0</v>
      </c>
      <c r="AT23" s="105">
        <f>$Z$10+$Z$12+$Z$14</f>
        <v>1.8</v>
      </c>
      <c r="AU23" s="126">
        <f t="shared" si="11"/>
        <v>2.0124611797498111</v>
      </c>
      <c r="AV23" s="28">
        <f t="shared" si="6"/>
        <v>4.2774158755461142</v>
      </c>
      <c r="AW23" s="28">
        <f t="shared" si="9"/>
        <v>0.24706934017569096</v>
      </c>
      <c r="AX23" s="28">
        <f>AB15</f>
        <v>154.49</v>
      </c>
      <c r="AY23" s="28">
        <f t="shared" si="12"/>
        <v>0.48932599303820362</v>
      </c>
      <c r="AZ23" s="243"/>
    </row>
    <row r="24" spans="1:52" ht="15.75" thickBot="1">
      <c r="A24" s="103"/>
      <c r="B24" s="103"/>
      <c r="G24" s="405"/>
      <c r="H24" s="364"/>
      <c r="I24" s="364"/>
      <c r="J24" s="425"/>
      <c r="K24" s="364"/>
      <c r="L24" s="364"/>
      <c r="M24" s="421"/>
      <c r="N24" s="382"/>
      <c r="O24" s="420"/>
      <c r="P24" s="240"/>
      <c r="Q24" s="423"/>
      <c r="R24" s="420"/>
      <c r="S24" s="240"/>
      <c r="Z24" s="383" t="s">
        <v>257</v>
      </c>
      <c r="AA24" s="384"/>
      <c r="AB24" s="139">
        <f>VLOOKUP($AI$22,AR8:AT43,2,FALSE)</f>
        <v>1.8</v>
      </c>
      <c r="AC24" s="384" t="s">
        <v>258</v>
      </c>
      <c r="AD24" s="384"/>
      <c r="AE24" s="436">
        <f>VLOOKUP($AI$22,$AR$8:$AT$43,3,FALSE)</f>
        <v>0.9</v>
      </c>
      <c r="AF24" s="436"/>
      <c r="AG24" s="70"/>
      <c r="AH24" s="70">
        <f>VLOOKUP($AI$22,$AR$9:$AY$43,7,FALSE)</f>
        <v>134.83000000000001</v>
      </c>
      <c r="AI24" s="71"/>
      <c r="AR24" s="48">
        <f>IF(AC15&lt;&gt;0,AC15," ")</f>
        <v>16</v>
      </c>
      <c r="AS24" s="105">
        <f t="shared" ref="AS24" si="15">AS23+$AB$10</f>
        <v>0.9</v>
      </c>
      <c r="AT24" s="105">
        <f t="shared" ref="AT24:AT29" si="16">$Z$10+$Z$12+$Z$14</f>
        <v>1.8</v>
      </c>
      <c r="AU24" s="126">
        <f t="shared" si="11"/>
        <v>1.2727922061357855</v>
      </c>
      <c r="AV24" s="28">
        <f t="shared" si="6"/>
        <v>6.763188333244524</v>
      </c>
      <c r="AW24" s="28">
        <f t="shared" si="9"/>
        <v>0.3249540523849942</v>
      </c>
      <c r="AX24" s="28">
        <f>AD15</f>
        <v>144.47</v>
      </c>
      <c r="AY24" s="28">
        <f t="shared" si="12"/>
        <v>0.60183672788130438</v>
      </c>
      <c r="AZ24" s="243"/>
    </row>
    <row r="25" spans="1:52">
      <c r="A25" s="427" t="s">
        <v>248</v>
      </c>
      <c r="B25" s="427"/>
      <c r="D25" s="427" t="s">
        <v>250</v>
      </c>
      <c r="E25" s="427"/>
      <c r="G25" s="405"/>
      <c r="H25" s="364"/>
      <c r="I25" s="364"/>
      <c r="J25" s="425"/>
      <c r="K25" s="364"/>
      <c r="L25" s="364"/>
      <c r="M25" s="421"/>
      <c r="N25" s="382"/>
      <c r="O25" s="420"/>
      <c r="P25" s="240"/>
      <c r="Q25" s="423"/>
      <c r="R25" s="420"/>
      <c r="S25" s="240"/>
      <c r="AR25" s="48">
        <f>IF(AE15&lt;&gt;0,AE15," ")</f>
        <v>17</v>
      </c>
      <c r="AS25" s="105">
        <f t="shared" ref="AS25" si="17">AS24+$AD$10</f>
        <v>1.8</v>
      </c>
      <c r="AT25" s="105">
        <f t="shared" si="16"/>
        <v>1.8</v>
      </c>
      <c r="AU25" s="126">
        <f t="shared" si="11"/>
        <v>0.9</v>
      </c>
      <c r="AV25" s="28">
        <f t="shared" si="6"/>
        <v>9.5645926657578944</v>
      </c>
      <c r="AW25" s="28">
        <f t="shared" si="9"/>
        <v>0.38387156273258954</v>
      </c>
      <c r="AX25" s="28">
        <f>AF15</f>
        <v>134.21</v>
      </c>
      <c r="AY25" s="28">
        <f t="shared" si="12"/>
        <v>0.66046510130143021</v>
      </c>
      <c r="AZ25" s="243"/>
    </row>
    <row r="26" spans="1:52">
      <c r="A26" s="106" t="s">
        <v>231</v>
      </c>
      <c r="B26" s="53">
        <f>($B$10+$B$23)/2</f>
        <v>0.32823453608247422</v>
      </c>
      <c r="D26" s="28" t="s">
        <v>251</v>
      </c>
      <c r="E26" s="28" t="str">
        <f>IF($B$11/$B$16&gt;=5,"Выполнено","Расчет недоступен")</f>
        <v>Выполнено</v>
      </c>
      <c r="G26" s="405"/>
      <c r="H26" s="364"/>
      <c r="I26" s="364"/>
      <c r="J26" s="425"/>
      <c r="K26" s="364"/>
      <c r="L26" s="364"/>
      <c r="M26" s="421"/>
      <c r="N26" s="382"/>
      <c r="O26" s="420"/>
      <c r="P26" s="240"/>
      <c r="Q26" s="423"/>
      <c r="R26" s="420"/>
      <c r="S26" s="240"/>
      <c r="AR26" s="48">
        <f>IF(AG15&lt;&gt;0,AG15," ")</f>
        <v>18</v>
      </c>
      <c r="AS26" s="105">
        <f t="shared" ref="AS26" si="18">AS25+$AF$10</f>
        <v>3.9000000000000004</v>
      </c>
      <c r="AT26" s="105">
        <f t="shared" si="16"/>
        <v>1.8</v>
      </c>
      <c r="AU26" s="126">
        <f t="shared" si="11"/>
        <v>2.2847319317591732</v>
      </c>
      <c r="AV26" s="28">
        <f t="shared" si="6"/>
        <v>3.7676776340907998</v>
      </c>
      <c r="AW26" s="28">
        <f t="shared" si="9"/>
        <v>0.22549799590972247</v>
      </c>
      <c r="AX26" s="28">
        <f>AH15</f>
        <v>112.06</v>
      </c>
      <c r="AY26" s="28">
        <f t="shared" si="12"/>
        <v>0.32394580636668996</v>
      </c>
      <c r="AZ26" s="243"/>
    </row>
    <row r="27" spans="1:52" ht="18">
      <c r="A27" s="106" t="s">
        <v>232</v>
      </c>
      <c r="B27" s="53">
        <f>2.82-3.78*$B$26+2.18*($B$26^2)</f>
        <v>1.8141420988847115</v>
      </c>
      <c r="D27" s="28" t="s">
        <v>252</v>
      </c>
      <c r="E27" s="28" t="str">
        <f>IF($B$9*$B$11/($B$22*$B$16)&gt;1,"Выполнено", "Расчет недоступен")</f>
        <v>Выполнено</v>
      </c>
      <c r="G27" s="405"/>
      <c r="H27" s="364"/>
      <c r="I27" s="364"/>
      <c r="J27" s="425"/>
      <c r="K27" s="364"/>
      <c r="L27" s="364"/>
      <c r="M27" s="421"/>
      <c r="N27" s="382"/>
      <c r="O27" s="420"/>
      <c r="P27" s="240"/>
      <c r="Q27" s="423"/>
      <c r="R27" s="420"/>
      <c r="S27" s="240"/>
      <c r="AR27" s="48">
        <f>IF(AI15&lt;&gt;0,AI15," ")</f>
        <v>19</v>
      </c>
      <c r="AS27" s="105">
        <f>AS26+$AH$10</f>
        <v>6</v>
      </c>
      <c r="AT27" s="105">
        <f t="shared" si="16"/>
        <v>1.8</v>
      </c>
      <c r="AU27" s="126">
        <f t="shared" si="11"/>
        <v>4.2953463189829062</v>
      </c>
      <c r="AV27" s="28">
        <f t="shared" si="6"/>
        <v>2.004060385338247</v>
      </c>
      <c r="AW27" s="28">
        <f t="shared" si="9"/>
        <v>0.11817980357940346</v>
      </c>
      <c r="AX27" s="28">
        <f>AJ15</f>
        <v>96.06</v>
      </c>
      <c r="AY27" s="28">
        <f t="shared" si="12"/>
        <v>0.14553414663972836</v>
      </c>
      <c r="AZ27" s="243"/>
    </row>
    <row r="28" spans="1:52" ht="18.75" thickBot="1">
      <c r="A28" s="106" t="s">
        <v>233</v>
      </c>
      <c r="B28" s="53">
        <f>2.82-3.78*$B$10+2.18*($B$10^2)</f>
        <v>1.7777230024976085</v>
      </c>
      <c r="D28" s="28" t="s">
        <v>277</v>
      </c>
      <c r="E28" s="28" t="str">
        <f>IF(K9-SUM(M9:M128)=B21, "Выполнено", "Расчет недоступен")</f>
        <v>Выполнено</v>
      </c>
      <c r="G28" s="405"/>
      <c r="H28" s="364"/>
      <c r="I28" s="364"/>
      <c r="J28" s="425"/>
      <c r="K28" s="364"/>
      <c r="L28" s="364"/>
      <c r="M28" s="421"/>
      <c r="N28" s="382"/>
      <c r="O28" s="420"/>
      <c r="P28" s="240"/>
      <c r="Q28" s="423"/>
      <c r="R28" s="420"/>
      <c r="S28" s="240"/>
      <c r="AR28" s="48">
        <f>IF(AK15&lt;&gt;0,AK15," ")</f>
        <v>20</v>
      </c>
      <c r="AS28" s="237">
        <f>AS27+$AJ$10</f>
        <v>6.9</v>
      </c>
      <c r="AT28" s="237">
        <f t="shared" si="16"/>
        <v>1.8</v>
      </c>
      <c r="AU28" s="126">
        <f t="shared" si="11"/>
        <v>5.1788029504896214</v>
      </c>
      <c r="AV28" s="28">
        <f t="shared" si="6"/>
        <v>1.6621859301227637</v>
      </c>
      <c r="AW28" s="28">
        <f t="shared" si="9"/>
        <v>8.6382705453208766E-2</v>
      </c>
      <c r="AX28" s="28">
        <f>AL15</f>
        <v>89.48</v>
      </c>
      <c r="AY28" s="28">
        <f t="shared" si="12"/>
        <v>9.9090457770976248E-2</v>
      </c>
      <c r="AZ28" s="243"/>
    </row>
    <row r="29" spans="1:52">
      <c r="A29" s="106" t="s">
        <v>239</v>
      </c>
      <c r="B29" s="53">
        <f>0.17*LN($B$27*$B$9*$B$11/($B$22*$B$16))</f>
        <v>0.66793769210336718</v>
      </c>
      <c r="G29" s="404">
        <f>G9+1</f>
        <v>11</v>
      </c>
      <c r="H29" s="388">
        <f>IF(G29&lt;&gt;0,VLOOKUP('Осадка куста'!$G29,Скважина!$E$8:$K$33,2,FALSE),0)</f>
        <v>7</v>
      </c>
      <c r="I29" s="364" t="str">
        <f>IF(G29&lt;&gt;0,VLOOKUP(H29,Геология!$D$7:$BO$993,7,FALSE),0)</f>
        <v>Глины твердые   с прослоями полутвердых, суглинков и супесей</v>
      </c>
      <c r="J29" s="425">
        <f>IF(G29&lt;&gt;0,VLOOKUP(H29,Геология!$D$7:$BO$993,23,FALSE),0)</f>
        <v>19.121699999999997</v>
      </c>
      <c r="K29" s="364">
        <f>VLOOKUP(G29,Скважина!$E$8:$L$27,4)</f>
        <v>118</v>
      </c>
      <c r="L29" s="388">
        <f t="shared" ref="L29" si="19">IF(K49&lt;$B$21,$B$21,K49)</f>
        <v>117</v>
      </c>
      <c r="M29" s="421">
        <f>IF(IF(H29&lt;&gt;0,K29-L29,0)&lt;0,0,IF(H29&lt;&gt;0,K29-L29,0))</f>
        <v>1</v>
      </c>
      <c r="N29" s="382">
        <f>IF(H29&lt;&gt;0,VLOOKUP(H29,Геология!$D$7:$BO$993,24,FALSE)," ")</f>
        <v>0.25</v>
      </c>
      <c r="O29" s="420">
        <f t="shared" ref="O29" si="20">IF(N29&lt;&gt;" ",N29*M29," ")</f>
        <v>0.25</v>
      </c>
      <c r="P29" s="240"/>
      <c r="Q29" s="423">
        <f>IF(H29&lt;&gt;0,VLOOKUP(H29,Геология!$D$7:$BO$993,27,FALSE)," ")</f>
        <v>9.1999999999999993</v>
      </c>
      <c r="R29" s="431">
        <f t="shared" ref="R29" si="21">IF(Q29&lt;&gt;" ",Q29*M29," ")</f>
        <v>9.1999999999999993</v>
      </c>
      <c r="S29" s="240"/>
      <c r="AR29" s="48">
        <f>IF(AM15&lt;&gt;0,AM15," ")</f>
        <v>21</v>
      </c>
      <c r="AS29" s="105">
        <f>AS28+$AL$10</f>
        <v>7.8000000000000007</v>
      </c>
      <c r="AT29" s="105">
        <f t="shared" si="16"/>
        <v>1.8</v>
      </c>
      <c r="AU29" s="126">
        <f t="shared" si="11"/>
        <v>6.0671245248470065</v>
      </c>
      <c r="AV29" s="28">
        <f t="shared" si="6"/>
        <v>1.4188160081318215</v>
      </c>
      <c r="AW29" s="28">
        <f t="shared" si="9"/>
        <v>5.9469863542529984E-2</v>
      </c>
      <c r="AX29" s="28">
        <f>AN15</f>
        <v>82.75</v>
      </c>
      <c r="AY29" s="28">
        <f t="shared" si="12"/>
        <v>6.3087599396110416E-2</v>
      </c>
      <c r="AZ29" s="243"/>
    </row>
    <row r="30" spans="1:52">
      <c r="A30" s="106" t="s">
        <v>240</v>
      </c>
      <c r="B30" s="53">
        <f>0.17*LN($B$28*$B$11/$B$16)</f>
        <v>0.73537785812309509</v>
      </c>
      <c r="G30" s="405"/>
      <c r="H30" s="364"/>
      <c r="I30" s="364"/>
      <c r="J30" s="425"/>
      <c r="K30" s="364"/>
      <c r="L30" s="364"/>
      <c r="M30" s="421"/>
      <c r="N30" s="382"/>
      <c r="O30" s="420"/>
      <c r="P30" s="240"/>
      <c r="Q30" s="423"/>
      <c r="R30" s="420"/>
      <c r="S30" s="240"/>
      <c r="AR30" s="48" t="str">
        <f>IF(AA17&lt;&gt;0,AA17," ")</f>
        <v xml:space="preserve"> </v>
      </c>
      <c r="AS30" s="105">
        <f t="shared" ref="AS30" si="22">$Z$10</f>
        <v>0</v>
      </c>
      <c r="AT30" s="105">
        <f>$Z$10+$Z$12+$Z$14+$Z$16</f>
        <v>1.8</v>
      </c>
      <c r="AU30" s="126">
        <f t="shared" si="11"/>
        <v>0</v>
      </c>
      <c r="AV30" s="28" t="str">
        <f t="shared" si="6"/>
        <v xml:space="preserve"> </v>
      </c>
      <c r="AW30" s="28" t="str">
        <f t="shared" si="9"/>
        <v xml:space="preserve"> </v>
      </c>
      <c r="AX30" s="28">
        <f>AB17</f>
        <v>0</v>
      </c>
      <c r="AY30" s="28" t="str">
        <f t="shared" si="12"/>
        <v xml:space="preserve"> </v>
      </c>
      <c r="AZ30" s="243"/>
    </row>
    <row r="31" spans="1:52">
      <c r="A31" s="106" t="s">
        <v>241</v>
      </c>
      <c r="B31" s="53">
        <f>B15*B14/(B9*B11^2)</f>
        <v>2.4037003661260057</v>
      </c>
      <c r="G31" s="405"/>
      <c r="H31" s="364"/>
      <c r="I31" s="364"/>
      <c r="J31" s="425"/>
      <c r="K31" s="364"/>
      <c r="L31" s="364"/>
      <c r="M31" s="421"/>
      <c r="N31" s="382"/>
      <c r="O31" s="420"/>
      <c r="P31" s="240"/>
      <c r="Q31" s="423"/>
      <c r="R31" s="420"/>
      <c r="S31" s="240"/>
      <c r="AR31" s="48" t="str">
        <f>IF(AC17&lt;&gt;0,AC17," ")</f>
        <v xml:space="preserve"> </v>
      </c>
      <c r="AS31" s="105">
        <f t="shared" ref="AS31" si="23">AS30+$AB$10</f>
        <v>0.9</v>
      </c>
      <c r="AT31" s="105">
        <f t="shared" ref="AT31:AT36" si="24">$Z$10+$Z$12+$Z$14+$Z$16</f>
        <v>1.8</v>
      </c>
      <c r="AU31" s="126">
        <f t="shared" si="11"/>
        <v>0</v>
      </c>
      <c r="AV31" s="28" t="str">
        <f t="shared" si="6"/>
        <v xml:space="preserve"> </v>
      </c>
      <c r="AW31" s="28" t="str">
        <f t="shared" si="9"/>
        <v xml:space="preserve"> </v>
      </c>
      <c r="AX31" s="28">
        <f>AD17</f>
        <v>0</v>
      </c>
      <c r="AY31" s="28" t="str">
        <f t="shared" si="12"/>
        <v xml:space="preserve"> </v>
      </c>
      <c r="AZ31" s="243"/>
    </row>
    <row r="32" spans="1:52" ht="33">
      <c r="A32" s="23" t="s">
        <v>243</v>
      </c>
      <c r="B32" s="53">
        <f>2.12*(B31^(3/4))/(1+2.12*($B$31^(3/4)))</f>
        <v>0.80363548949374308</v>
      </c>
      <c r="G32" s="405"/>
      <c r="H32" s="364"/>
      <c r="I32" s="364"/>
      <c r="J32" s="425"/>
      <c r="K32" s="364"/>
      <c r="L32" s="364"/>
      <c r="M32" s="421"/>
      <c r="N32" s="382"/>
      <c r="O32" s="420"/>
      <c r="P32" s="240"/>
      <c r="Q32" s="423"/>
      <c r="R32" s="420"/>
      <c r="S32" s="240"/>
      <c r="AR32" s="48" t="str">
        <f>IF(AE17&lt;&gt;0,AE17," ")</f>
        <v xml:space="preserve"> </v>
      </c>
      <c r="AS32" s="105">
        <f t="shared" ref="AS32" si="25">AS31+$AD$10</f>
        <v>1.8</v>
      </c>
      <c r="AT32" s="105">
        <f t="shared" si="24"/>
        <v>1.8</v>
      </c>
      <c r="AU32" s="126">
        <f t="shared" si="11"/>
        <v>0</v>
      </c>
      <c r="AV32" s="28" t="str">
        <f t="shared" si="6"/>
        <v xml:space="preserve"> </v>
      </c>
      <c r="AW32" s="28" t="str">
        <f t="shared" si="9"/>
        <v xml:space="preserve"> </v>
      </c>
      <c r="AX32" s="28">
        <f>AF17</f>
        <v>0</v>
      </c>
      <c r="AY32" s="28" t="str">
        <f t="shared" si="12"/>
        <v xml:space="preserve"> </v>
      </c>
      <c r="AZ32" s="243"/>
    </row>
    <row r="33" spans="1:52">
      <c r="A33" s="105" t="s">
        <v>244</v>
      </c>
      <c r="B33" s="53">
        <f>$B$29/$B$32+0.5*((1-$B$29/$B$30)/$B$31)</f>
        <v>0.85022154974830189</v>
      </c>
      <c r="G33" s="405"/>
      <c r="H33" s="364"/>
      <c r="I33" s="364"/>
      <c r="J33" s="425"/>
      <c r="K33" s="364"/>
      <c r="L33" s="364"/>
      <c r="M33" s="421"/>
      <c r="N33" s="382"/>
      <c r="O33" s="420"/>
      <c r="P33" s="240"/>
      <c r="Q33" s="423"/>
      <c r="R33" s="420"/>
      <c r="S33" s="240"/>
      <c r="AR33" s="48" t="str">
        <f>IF(AG17&lt;&gt;0,AG17," ")</f>
        <v xml:space="preserve"> </v>
      </c>
      <c r="AS33" s="105">
        <f t="shared" ref="AS33" si="26">AS32+$AF$10</f>
        <v>3.9000000000000004</v>
      </c>
      <c r="AT33" s="105">
        <f t="shared" si="24"/>
        <v>1.8</v>
      </c>
      <c r="AU33" s="126">
        <f t="shared" si="11"/>
        <v>0</v>
      </c>
      <c r="AV33" s="28" t="str">
        <f t="shared" si="6"/>
        <v xml:space="preserve"> </v>
      </c>
      <c r="AW33" s="28" t="str">
        <f t="shared" si="9"/>
        <v xml:space="preserve"> </v>
      </c>
      <c r="AX33" s="28">
        <f>AH17</f>
        <v>0</v>
      </c>
      <c r="AY33" s="28" t="str">
        <f t="shared" si="12"/>
        <v xml:space="preserve"> </v>
      </c>
      <c r="AZ33" s="243"/>
    </row>
    <row r="34" spans="1:52">
      <c r="G34" s="405"/>
      <c r="H34" s="364"/>
      <c r="I34" s="364"/>
      <c r="J34" s="425"/>
      <c r="K34" s="364"/>
      <c r="L34" s="364"/>
      <c r="M34" s="421"/>
      <c r="N34" s="382"/>
      <c r="O34" s="420"/>
      <c r="P34" s="240"/>
      <c r="Q34" s="423"/>
      <c r="R34" s="420"/>
      <c r="S34" s="240"/>
      <c r="AR34" s="48" t="str">
        <f>IF(AI17&lt;&gt;0,AI17," ")</f>
        <v xml:space="preserve"> </v>
      </c>
      <c r="AS34" s="105">
        <f>AS33+$AH$10</f>
        <v>6</v>
      </c>
      <c r="AT34" s="105">
        <f t="shared" si="24"/>
        <v>1.8</v>
      </c>
      <c r="AU34" s="126">
        <f t="shared" si="11"/>
        <v>0</v>
      </c>
      <c r="AV34" s="28" t="str">
        <f t="shared" si="6"/>
        <v xml:space="preserve"> </v>
      </c>
      <c r="AW34" s="28" t="str">
        <f t="shared" si="9"/>
        <v xml:space="preserve"> </v>
      </c>
      <c r="AX34" s="28">
        <f>AJ17</f>
        <v>0</v>
      </c>
      <c r="AY34" s="28" t="str">
        <f t="shared" si="12"/>
        <v xml:space="preserve"> </v>
      </c>
      <c r="AZ34" s="243"/>
    </row>
    <row r="35" spans="1:52">
      <c r="A35" s="429" t="s">
        <v>247</v>
      </c>
      <c r="B35" s="429"/>
      <c r="G35" s="405"/>
      <c r="H35" s="364"/>
      <c r="I35" s="364"/>
      <c r="J35" s="425"/>
      <c r="K35" s="364"/>
      <c r="L35" s="364"/>
      <c r="M35" s="421"/>
      <c r="N35" s="382"/>
      <c r="O35" s="420"/>
      <c r="P35" s="240"/>
      <c r="Q35" s="423"/>
      <c r="R35" s="420"/>
      <c r="S35" s="240"/>
      <c r="AR35" s="48" t="str">
        <f>IF(AK17&lt;&gt;0,AK17," ")</f>
        <v xml:space="preserve"> </v>
      </c>
      <c r="AS35" s="237">
        <f>AS34+$AH$10</f>
        <v>8.1</v>
      </c>
      <c r="AT35" s="237">
        <f t="shared" si="24"/>
        <v>1.8</v>
      </c>
      <c r="AU35" s="126">
        <f t="shared" si="11"/>
        <v>0</v>
      </c>
      <c r="AV35" s="28" t="str">
        <f t="shared" si="6"/>
        <v xml:space="preserve"> </v>
      </c>
      <c r="AW35" s="28" t="str">
        <f t="shared" si="9"/>
        <v xml:space="preserve"> </v>
      </c>
      <c r="AX35" s="28">
        <f>AL17</f>
        <v>0</v>
      </c>
      <c r="AY35" s="28" t="str">
        <f t="shared" si="12"/>
        <v xml:space="preserve"> </v>
      </c>
      <c r="AZ35" s="243"/>
    </row>
    <row r="36" spans="1:52" ht="45">
      <c r="A36" s="23" t="s">
        <v>310</v>
      </c>
      <c r="B36" s="53">
        <f>AH24</f>
        <v>134.83000000000001</v>
      </c>
      <c r="G36" s="405"/>
      <c r="H36" s="364"/>
      <c r="I36" s="364"/>
      <c r="J36" s="425"/>
      <c r="K36" s="364"/>
      <c r="L36" s="364"/>
      <c r="M36" s="421"/>
      <c r="N36" s="382"/>
      <c r="O36" s="420"/>
      <c r="P36" s="240"/>
      <c r="Q36" s="423"/>
      <c r="R36" s="420"/>
      <c r="S36" s="240"/>
      <c r="AR36" s="48" t="str">
        <f>IF(AM17&lt;&gt;0,AM17," ")</f>
        <v xml:space="preserve"> </v>
      </c>
      <c r="AS36" s="105">
        <f>AS35+$AL$10</f>
        <v>9</v>
      </c>
      <c r="AT36" s="105">
        <f t="shared" si="24"/>
        <v>1.8</v>
      </c>
      <c r="AU36" s="126">
        <f t="shared" si="11"/>
        <v>0</v>
      </c>
      <c r="AV36" s="28" t="str">
        <f t="shared" si="6"/>
        <v xml:space="preserve"> </v>
      </c>
      <c r="AW36" s="28" t="str">
        <f t="shared" si="9"/>
        <v xml:space="preserve"> </v>
      </c>
      <c r="AX36" s="28">
        <f>AN17</f>
        <v>0</v>
      </c>
      <c r="AY36" s="28" t="str">
        <f t="shared" si="12"/>
        <v xml:space="preserve"> </v>
      </c>
      <c r="AZ36" s="243"/>
    </row>
    <row r="37" spans="1:52">
      <c r="A37" s="105" t="s">
        <v>249</v>
      </c>
      <c r="B37" s="82">
        <f>($B$33*$B$36/($B$9*1000*$B$11))*1000</f>
        <v>1.4695951177167352</v>
      </c>
      <c r="G37" s="405"/>
      <c r="H37" s="364"/>
      <c r="I37" s="364"/>
      <c r="J37" s="425"/>
      <c r="K37" s="364"/>
      <c r="L37" s="364"/>
      <c r="M37" s="421"/>
      <c r="N37" s="382"/>
      <c r="O37" s="420"/>
      <c r="P37" s="240"/>
      <c r="Q37" s="423"/>
      <c r="R37" s="420"/>
      <c r="S37" s="240"/>
      <c r="AR37" s="48" t="str">
        <f>IF(AA19&lt;&gt;0,AA19," ")</f>
        <v xml:space="preserve"> </v>
      </c>
      <c r="AS37" s="105">
        <f t="shared" ref="AS37" si="27">$Z$10</f>
        <v>0</v>
      </c>
      <c r="AT37" s="105">
        <f>$Z$10+$Z$12+$Z$14+$Z$16+$Z$18</f>
        <v>1.8</v>
      </c>
      <c r="AU37" s="126">
        <f t="shared" si="11"/>
        <v>0</v>
      </c>
      <c r="AV37" s="28" t="str">
        <f t="shared" si="6"/>
        <v xml:space="preserve"> </v>
      </c>
      <c r="AW37" s="28" t="str">
        <f t="shared" si="9"/>
        <v xml:space="preserve"> </v>
      </c>
      <c r="AX37" s="28">
        <f>AB19</f>
        <v>0</v>
      </c>
      <c r="AY37" s="28" t="str">
        <f t="shared" si="12"/>
        <v xml:space="preserve"> </v>
      </c>
      <c r="AZ37" s="243"/>
    </row>
    <row r="38" spans="1:52">
      <c r="G38" s="405"/>
      <c r="H38" s="364"/>
      <c r="I38" s="364"/>
      <c r="J38" s="425"/>
      <c r="K38" s="364"/>
      <c r="L38" s="364"/>
      <c r="M38" s="421"/>
      <c r="N38" s="382"/>
      <c r="O38" s="420"/>
      <c r="P38" s="240"/>
      <c r="Q38" s="423"/>
      <c r="R38" s="420"/>
      <c r="S38" s="240"/>
      <c r="AR38" s="48" t="str">
        <f>IF(AC19&lt;&gt;0,AC19," ")</f>
        <v xml:space="preserve"> </v>
      </c>
      <c r="AS38" s="105">
        <f t="shared" ref="AS38" si="28">AS37+$AB$10</f>
        <v>0.9</v>
      </c>
      <c r="AT38" s="105">
        <f t="shared" ref="AT38:AT43" si="29">$Z$10+$Z$12+$Z$14+$Z$16+$Z$18</f>
        <v>1.8</v>
      </c>
      <c r="AU38" s="126">
        <f t="shared" si="11"/>
        <v>0</v>
      </c>
      <c r="AV38" s="28" t="str">
        <f t="shared" si="6"/>
        <v xml:space="preserve"> </v>
      </c>
      <c r="AW38" s="28" t="str">
        <f t="shared" si="9"/>
        <v xml:space="preserve"> </v>
      </c>
      <c r="AX38" s="28">
        <f>AD19</f>
        <v>0</v>
      </c>
      <c r="AY38" s="28" t="str">
        <f t="shared" si="12"/>
        <v xml:space="preserve"> </v>
      </c>
      <c r="AZ38" s="243"/>
    </row>
    <row r="39" spans="1:52">
      <c r="A39" s="429" t="s">
        <v>271</v>
      </c>
      <c r="B39" s="429"/>
      <c r="G39" s="405"/>
      <c r="H39" s="364"/>
      <c r="I39" s="364"/>
      <c r="J39" s="425"/>
      <c r="K39" s="364"/>
      <c r="L39" s="364"/>
      <c r="M39" s="421"/>
      <c r="N39" s="382"/>
      <c r="O39" s="420"/>
      <c r="P39" s="240"/>
      <c r="Q39" s="423"/>
      <c r="R39" s="420"/>
      <c r="S39" s="240"/>
      <c r="AR39" s="48" t="str">
        <f>IF(AE19&lt;&gt;0,AE19," ")</f>
        <v xml:space="preserve"> </v>
      </c>
      <c r="AS39" s="105">
        <f t="shared" ref="AS39" si="30">AS38+$AD$10</f>
        <v>1.8</v>
      </c>
      <c r="AT39" s="105">
        <f t="shared" si="29"/>
        <v>1.8</v>
      </c>
      <c r="AU39" s="126">
        <f t="shared" si="11"/>
        <v>0</v>
      </c>
      <c r="AV39" s="28" t="str">
        <f t="shared" si="6"/>
        <v xml:space="preserve"> </v>
      </c>
      <c r="AW39" s="28" t="str">
        <f t="shared" si="9"/>
        <v xml:space="preserve"> </v>
      </c>
      <c r="AX39" s="28">
        <f>AF19</f>
        <v>0</v>
      </c>
      <c r="AY39" s="28" t="str">
        <f t="shared" si="12"/>
        <v xml:space="preserve"> </v>
      </c>
      <c r="AZ39" s="243"/>
    </row>
    <row r="40" spans="1:52" ht="33">
      <c r="A40" s="23" t="s">
        <v>270</v>
      </c>
      <c r="B40" s="82">
        <f>$AZ$9</f>
        <v>6.7283627309179046</v>
      </c>
      <c r="G40" s="405"/>
      <c r="H40" s="364"/>
      <c r="I40" s="364"/>
      <c r="J40" s="425"/>
      <c r="K40" s="364"/>
      <c r="L40" s="364"/>
      <c r="M40" s="421"/>
      <c r="N40" s="382"/>
      <c r="O40" s="420"/>
      <c r="P40" s="240"/>
      <c r="Q40" s="423"/>
      <c r="R40" s="420"/>
      <c r="S40" s="240"/>
      <c r="AR40" s="48" t="str">
        <f>IF(AG19&lt;&gt;0,AG19," ")</f>
        <v xml:space="preserve"> </v>
      </c>
      <c r="AS40" s="105">
        <f t="shared" ref="AS40" si="31">AS39+$AF$10</f>
        <v>3.9000000000000004</v>
      </c>
      <c r="AT40" s="105">
        <f t="shared" si="29"/>
        <v>1.8</v>
      </c>
      <c r="AU40" s="126">
        <f t="shared" si="11"/>
        <v>0</v>
      </c>
      <c r="AV40" s="28" t="str">
        <f t="shared" si="6"/>
        <v xml:space="preserve"> </v>
      </c>
      <c r="AW40" s="28" t="str">
        <f t="shared" si="9"/>
        <v xml:space="preserve"> </v>
      </c>
      <c r="AX40" s="28">
        <f>AH19</f>
        <v>0</v>
      </c>
      <c r="AY40" s="28" t="str">
        <f t="shared" si="12"/>
        <v xml:space="preserve"> </v>
      </c>
      <c r="AZ40" s="243"/>
    </row>
    <row r="41" spans="1:52" ht="18">
      <c r="A41" s="28" t="s">
        <v>272</v>
      </c>
      <c r="B41" s="82">
        <f>B37+B40</f>
        <v>8.1979578486346405</v>
      </c>
      <c r="G41" s="405"/>
      <c r="H41" s="364"/>
      <c r="I41" s="364"/>
      <c r="J41" s="425"/>
      <c r="K41" s="364"/>
      <c r="L41" s="364"/>
      <c r="M41" s="421"/>
      <c r="N41" s="382"/>
      <c r="O41" s="420"/>
      <c r="P41" s="240"/>
      <c r="Q41" s="423"/>
      <c r="R41" s="420"/>
      <c r="S41" s="240"/>
      <c r="AR41" s="48" t="str">
        <f>IF(AI19&lt;&gt;0,AI19," ")</f>
        <v xml:space="preserve"> </v>
      </c>
      <c r="AS41" s="105">
        <f t="shared" ref="AS41" si="32">AS40+$AH$10</f>
        <v>6</v>
      </c>
      <c r="AT41" s="105">
        <f t="shared" si="29"/>
        <v>1.8</v>
      </c>
      <c r="AU41" s="126">
        <f t="shared" si="11"/>
        <v>0</v>
      </c>
      <c r="AV41" s="28" t="str">
        <f t="shared" si="6"/>
        <v xml:space="preserve"> </v>
      </c>
      <c r="AW41" s="28" t="str">
        <f t="shared" si="9"/>
        <v xml:space="preserve"> </v>
      </c>
      <c r="AX41" s="28">
        <f>AJ19</f>
        <v>0</v>
      </c>
      <c r="AY41" s="28" t="str">
        <f t="shared" si="12"/>
        <v xml:space="preserve"> </v>
      </c>
      <c r="AZ41" s="243"/>
    </row>
    <row r="42" spans="1:52">
      <c r="G42" s="405"/>
      <c r="H42" s="364"/>
      <c r="I42" s="364"/>
      <c r="J42" s="425"/>
      <c r="K42" s="364"/>
      <c r="L42" s="364"/>
      <c r="M42" s="421"/>
      <c r="N42" s="382"/>
      <c r="O42" s="420"/>
      <c r="P42" s="240"/>
      <c r="Q42" s="423"/>
      <c r="R42" s="420"/>
      <c r="S42" s="240"/>
      <c r="AR42" s="48" t="str">
        <f>IF(AK19&lt;&gt;0,AK19," ")</f>
        <v xml:space="preserve"> </v>
      </c>
      <c r="AS42" s="237">
        <f>AS41+$AJ$10</f>
        <v>6.9</v>
      </c>
      <c r="AT42" s="237">
        <f t="shared" si="29"/>
        <v>1.8</v>
      </c>
      <c r="AU42" s="126">
        <f t="shared" si="11"/>
        <v>0</v>
      </c>
      <c r="AV42" s="28" t="str">
        <f t="shared" si="6"/>
        <v xml:space="preserve"> </v>
      </c>
      <c r="AW42" s="28" t="str">
        <f t="shared" si="9"/>
        <v xml:space="preserve"> </v>
      </c>
      <c r="AX42" s="28">
        <f>AL19</f>
        <v>0</v>
      </c>
      <c r="AY42" s="28" t="str">
        <f t="shared" si="12"/>
        <v xml:space="preserve"> </v>
      </c>
      <c r="AZ42" s="243"/>
    </row>
    <row r="43" spans="1:52">
      <c r="A43" s="28" t="s">
        <v>273</v>
      </c>
      <c r="B43" s="141">
        <f>B36/(B41/1000)</f>
        <v>16446.778879505433</v>
      </c>
      <c r="G43" s="405"/>
      <c r="H43" s="364"/>
      <c r="I43" s="364"/>
      <c r="J43" s="425"/>
      <c r="K43" s="364"/>
      <c r="L43" s="364"/>
      <c r="M43" s="421"/>
      <c r="N43" s="382"/>
      <c r="O43" s="420"/>
      <c r="P43" s="240"/>
      <c r="Q43" s="423"/>
      <c r="R43" s="420"/>
      <c r="S43" s="240"/>
      <c r="AR43" s="48" t="str">
        <f>IF(AM19&lt;&gt;0,AM19," ")</f>
        <v xml:space="preserve"> </v>
      </c>
      <c r="AS43" s="105">
        <f>AS42+$AL$10</f>
        <v>7.8000000000000007</v>
      </c>
      <c r="AT43" s="105">
        <f t="shared" si="29"/>
        <v>1.8</v>
      </c>
      <c r="AU43" s="126">
        <f t="shared" ref="AU43" si="33">SQRT((AS43-$AB$24)^2+(AT43-$AE$24)^2)</f>
        <v>6.0671245248470065</v>
      </c>
      <c r="AV43" s="28">
        <f t="shared" si="6"/>
        <v>1.4188160081318215</v>
      </c>
      <c r="AW43" s="28">
        <f t="shared" si="9"/>
        <v>5.9469863542529984E-2</v>
      </c>
      <c r="AX43" s="28">
        <f>AN19</f>
        <v>0</v>
      </c>
      <c r="AY43" s="28">
        <f t="shared" si="12"/>
        <v>0</v>
      </c>
      <c r="AZ43" s="243"/>
    </row>
    <row r="44" spans="1:52">
      <c r="G44" s="405"/>
      <c r="H44" s="364"/>
      <c r="I44" s="364"/>
      <c r="J44" s="425"/>
      <c r="K44" s="364"/>
      <c r="L44" s="364"/>
      <c r="M44" s="421"/>
      <c r="N44" s="382"/>
      <c r="O44" s="420"/>
      <c r="P44" s="240"/>
      <c r="Q44" s="423"/>
      <c r="R44" s="420"/>
      <c r="S44" s="240"/>
    </row>
    <row r="45" spans="1:52">
      <c r="G45" s="405"/>
      <c r="H45" s="364"/>
      <c r="I45" s="364"/>
      <c r="J45" s="425"/>
      <c r="K45" s="364"/>
      <c r="L45" s="364"/>
      <c r="M45" s="421"/>
      <c r="N45" s="382"/>
      <c r="O45" s="420"/>
      <c r="P45" s="240"/>
      <c r="Q45" s="423"/>
      <c r="R45" s="420"/>
      <c r="S45" s="240"/>
    </row>
    <row r="46" spans="1:52">
      <c r="G46" s="405"/>
      <c r="H46" s="364"/>
      <c r="I46" s="364"/>
      <c r="J46" s="425"/>
      <c r="K46" s="364"/>
      <c r="L46" s="364"/>
      <c r="M46" s="421"/>
      <c r="N46" s="382"/>
      <c r="O46" s="420"/>
      <c r="P46" s="240"/>
      <c r="Q46" s="423"/>
      <c r="R46" s="420"/>
      <c r="S46" s="240"/>
    </row>
    <row r="47" spans="1:52">
      <c r="G47" s="405"/>
      <c r="H47" s="364"/>
      <c r="I47" s="364"/>
      <c r="J47" s="425"/>
      <c r="K47" s="364"/>
      <c r="L47" s="364"/>
      <c r="M47" s="421"/>
      <c r="N47" s="382"/>
      <c r="O47" s="420"/>
      <c r="P47" s="240"/>
      <c r="Q47" s="423"/>
      <c r="R47" s="420"/>
      <c r="S47" s="240"/>
    </row>
    <row r="48" spans="1:52" ht="15.75" thickBot="1">
      <c r="G48" s="405"/>
      <c r="H48" s="364"/>
      <c r="I48" s="364"/>
      <c r="J48" s="425"/>
      <c r="K48" s="364"/>
      <c r="L48" s="364"/>
      <c r="M48" s="421"/>
      <c r="N48" s="382"/>
      <c r="O48" s="420"/>
      <c r="P48" s="240"/>
      <c r="Q48" s="423"/>
      <c r="R48" s="420"/>
      <c r="S48" s="240"/>
    </row>
    <row r="49" spans="7:19">
      <c r="G49" s="404">
        <f t="shared" ref="G49" si="34">G29+1</f>
        <v>12</v>
      </c>
      <c r="H49" s="388">
        <f>IF(G49&lt;&gt;0,VLOOKUP('Осадка куста'!$G49,Скважина!$E$8:$K$33,2,FALSE),0)</f>
        <v>5</v>
      </c>
      <c r="I49" s="364" t="str">
        <f>IF(G49&lt;&gt;0,VLOOKUP(H49,Геология!$D$7:$BO$993,7,FALSE),0)</f>
        <v xml:space="preserve">Супеси твердые   </v>
      </c>
      <c r="J49" s="425">
        <f>IF(G49&lt;&gt;0,VLOOKUP(H49,Геология!$D$7:$BO$993,23,FALSE),0)</f>
        <v>19.611999999999998</v>
      </c>
      <c r="K49" s="364">
        <f>VLOOKUP(G49,Скважина!$E$8:$L$27,4)</f>
        <v>117</v>
      </c>
      <c r="L49" s="388">
        <f t="shared" ref="L49" si="35">IF(K69&lt;$B$21,$B$21,K69)</f>
        <v>112.8</v>
      </c>
      <c r="M49" s="421">
        <f t="shared" ref="M49" si="36">IF(IF(H49&lt;&gt;0,K49-L49,0)&lt;0,0,IF(H49&lt;&gt;0,K49-L49,0))</f>
        <v>4.2000000000000028</v>
      </c>
      <c r="N49" s="382">
        <f>IF(H49&lt;&gt;0,VLOOKUP(H49,Геология!$D$7:$BO$993,24,FALSE)," ")</f>
        <v>0.3</v>
      </c>
      <c r="O49" s="420">
        <f t="shared" ref="O49" si="37">IF(N49&lt;&gt;" ",N49*M49," ")</f>
        <v>1.2600000000000009</v>
      </c>
      <c r="P49" s="240"/>
      <c r="Q49" s="423">
        <f>IF(H49&lt;&gt;0,VLOOKUP(H49,Геология!$D$7:$BO$993,27,FALSE)," ")</f>
        <v>8.0769230769230766</v>
      </c>
      <c r="R49" s="431">
        <f t="shared" ref="R49" si="38">IF(Q49&lt;&gt;" ",Q49*M49," ")</f>
        <v>33.923076923076948</v>
      </c>
      <c r="S49" s="240"/>
    </row>
    <row r="50" spans="7:19">
      <c r="G50" s="405"/>
      <c r="H50" s="364"/>
      <c r="I50" s="364"/>
      <c r="J50" s="425"/>
      <c r="K50" s="364"/>
      <c r="L50" s="364"/>
      <c r="M50" s="421"/>
      <c r="N50" s="382"/>
      <c r="O50" s="420"/>
      <c r="P50" s="240"/>
      <c r="Q50" s="423"/>
      <c r="R50" s="420"/>
      <c r="S50" s="240"/>
    </row>
    <row r="51" spans="7:19">
      <c r="G51" s="405"/>
      <c r="H51" s="364"/>
      <c r="I51" s="364"/>
      <c r="J51" s="425"/>
      <c r="K51" s="364"/>
      <c r="L51" s="364"/>
      <c r="M51" s="421"/>
      <c r="N51" s="382"/>
      <c r="O51" s="420"/>
      <c r="P51" s="240"/>
      <c r="Q51" s="423"/>
      <c r="R51" s="420"/>
      <c r="S51" s="240"/>
    </row>
    <row r="52" spans="7:19">
      <c r="G52" s="405"/>
      <c r="H52" s="364"/>
      <c r="I52" s="364"/>
      <c r="J52" s="425"/>
      <c r="K52" s="364"/>
      <c r="L52" s="364"/>
      <c r="M52" s="421"/>
      <c r="N52" s="382"/>
      <c r="O52" s="420"/>
      <c r="P52" s="240"/>
      <c r="Q52" s="423"/>
      <c r="R52" s="420"/>
      <c r="S52" s="240"/>
    </row>
    <row r="53" spans="7:19">
      <c r="G53" s="405"/>
      <c r="H53" s="364"/>
      <c r="I53" s="364"/>
      <c r="J53" s="425"/>
      <c r="K53" s="364"/>
      <c r="L53" s="364"/>
      <c r="M53" s="421"/>
      <c r="N53" s="382"/>
      <c r="O53" s="420"/>
      <c r="P53" s="240"/>
      <c r="Q53" s="423"/>
      <c r="R53" s="420"/>
      <c r="S53" s="240"/>
    </row>
    <row r="54" spans="7:19">
      <c r="G54" s="405"/>
      <c r="H54" s="364"/>
      <c r="I54" s="364"/>
      <c r="J54" s="425"/>
      <c r="K54" s="364"/>
      <c r="L54" s="364"/>
      <c r="M54" s="421"/>
      <c r="N54" s="382"/>
      <c r="O54" s="420"/>
      <c r="P54" s="240"/>
      <c r="Q54" s="423"/>
      <c r="R54" s="420"/>
      <c r="S54" s="240"/>
    </row>
    <row r="55" spans="7:19">
      <c r="G55" s="405"/>
      <c r="H55" s="364"/>
      <c r="I55" s="364"/>
      <c r="J55" s="425"/>
      <c r="K55" s="364"/>
      <c r="L55" s="364"/>
      <c r="M55" s="421"/>
      <c r="N55" s="382"/>
      <c r="O55" s="420"/>
      <c r="P55" s="240"/>
      <c r="Q55" s="423"/>
      <c r="R55" s="420"/>
      <c r="S55" s="240"/>
    </row>
    <row r="56" spans="7:19">
      <c r="G56" s="405"/>
      <c r="H56" s="364"/>
      <c r="I56" s="364"/>
      <c r="J56" s="425"/>
      <c r="K56" s="364"/>
      <c r="L56" s="364"/>
      <c r="M56" s="421"/>
      <c r="N56" s="382"/>
      <c r="O56" s="420"/>
      <c r="P56" s="240"/>
      <c r="Q56" s="423"/>
      <c r="R56" s="420"/>
      <c r="S56" s="240"/>
    </row>
    <row r="57" spans="7:19">
      <c r="G57" s="405"/>
      <c r="H57" s="364"/>
      <c r="I57" s="364"/>
      <c r="J57" s="425"/>
      <c r="K57" s="364"/>
      <c r="L57" s="364"/>
      <c r="M57" s="421"/>
      <c r="N57" s="382"/>
      <c r="O57" s="420"/>
      <c r="P57" s="240"/>
      <c r="Q57" s="423"/>
      <c r="R57" s="420"/>
      <c r="S57" s="240"/>
    </row>
    <row r="58" spans="7:19">
      <c r="G58" s="405"/>
      <c r="H58" s="364"/>
      <c r="I58" s="364"/>
      <c r="J58" s="425"/>
      <c r="K58" s="364"/>
      <c r="L58" s="364"/>
      <c r="M58" s="421"/>
      <c r="N58" s="382"/>
      <c r="O58" s="420"/>
      <c r="P58" s="240"/>
      <c r="Q58" s="423"/>
      <c r="R58" s="420"/>
      <c r="S58" s="240"/>
    </row>
    <row r="59" spans="7:19">
      <c r="G59" s="405"/>
      <c r="H59" s="364"/>
      <c r="I59" s="364"/>
      <c r="J59" s="425"/>
      <c r="K59" s="364"/>
      <c r="L59" s="364"/>
      <c r="M59" s="421"/>
      <c r="N59" s="382"/>
      <c r="O59" s="420"/>
      <c r="P59" s="240"/>
      <c r="Q59" s="423"/>
      <c r="R59" s="420"/>
      <c r="S59" s="240"/>
    </row>
    <row r="60" spans="7:19">
      <c r="G60" s="405"/>
      <c r="H60" s="364"/>
      <c r="I60" s="364"/>
      <c r="J60" s="425"/>
      <c r="K60" s="364"/>
      <c r="L60" s="364"/>
      <c r="M60" s="421"/>
      <c r="N60" s="382"/>
      <c r="O60" s="420"/>
      <c r="P60" s="240"/>
      <c r="Q60" s="423"/>
      <c r="R60" s="420"/>
      <c r="S60" s="240"/>
    </row>
    <row r="61" spans="7:19">
      <c r="G61" s="405"/>
      <c r="H61" s="364"/>
      <c r="I61" s="364"/>
      <c r="J61" s="425"/>
      <c r="K61" s="364"/>
      <c r="L61" s="364"/>
      <c r="M61" s="421"/>
      <c r="N61" s="382"/>
      <c r="O61" s="420"/>
      <c r="P61" s="240"/>
      <c r="Q61" s="423"/>
      <c r="R61" s="420"/>
      <c r="S61" s="240"/>
    </row>
    <row r="62" spans="7:19">
      <c r="G62" s="405"/>
      <c r="H62" s="364"/>
      <c r="I62" s="364"/>
      <c r="J62" s="425"/>
      <c r="K62" s="364"/>
      <c r="L62" s="364"/>
      <c r="M62" s="421"/>
      <c r="N62" s="382"/>
      <c r="O62" s="420"/>
      <c r="P62" s="240"/>
      <c r="Q62" s="423"/>
      <c r="R62" s="420"/>
      <c r="S62" s="240"/>
    </row>
    <row r="63" spans="7:19">
      <c r="G63" s="405"/>
      <c r="H63" s="364"/>
      <c r="I63" s="364"/>
      <c r="J63" s="425"/>
      <c r="K63" s="364"/>
      <c r="L63" s="364"/>
      <c r="M63" s="421"/>
      <c r="N63" s="382"/>
      <c r="O63" s="420"/>
      <c r="P63" s="240"/>
      <c r="Q63" s="423"/>
      <c r="R63" s="420"/>
      <c r="S63" s="240"/>
    </row>
    <row r="64" spans="7:19">
      <c r="G64" s="405"/>
      <c r="H64" s="364"/>
      <c r="I64" s="364"/>
      <c r="J64" s="425"/>
      <c r="K64" s="364"/>
      <c r="L64" s="364"/>
      <c r="M64" s="421"/>
      <c r="N64" s="382"/>
      <c r="O64" s="420"/>
      <c r="P64" s="240"/>
      <c r="Q64" s="423"/>
      <c r="R64" s="420"/>
      <c r="S64" s="240"/>
    </row>
    <row r="65" spans="7:19">
      <c r="G65" s="405"/>
      <c r="H65" s="364"/>
      <c r="I65" s="364"/>
      <c r="J65" s="425"/>
      <c r="K65" s="364"/>
      <c r="L65" s="364"/>
      <c r="M65" s="421"/>
      <c r="N65" s="382"/>
      <c r="O65" s="420"/>
      <c r="P65" s="240"/>
      <c r="Q65" s="423"/>
      <c r="R65" s="420"/>
      <c r="S65" s="240"/>
    </row>
    <row r="66" spans="7:19">
      <c r="G66" s="405"/>
      <c r="H66" s="364"/>
      <c r="I66" s="364"/>
      <c r="J66" s="425"/>
      <c r="K66" s="364"/>
      <c r="L66" s="364"/>
      <c r="M66" s="421"/>
      <c r="N66" s="382"/>
      <c r="O66" s="420"/>
      <c r="P66" s="240"/>
      <c r="Q66" s="423"/>
      <c r="R66" s="420"/>
      <c r="S66" s="240"/>
    </row>
    <row r="67" spans="7:19">
      <c r="G67" s="405"/>
      <c r="H67" s="364"/>
      <c r="I67" s="364"/>
      <c r="J67" s="425"/>
      <c r="K67" s="364"/>
      <c r="L67" s="364"/>
      <c r="M67" s="421"/>
      <c r="N67" s="382"/>
      <c r="O67" s="420"/>
      <c r="P67" s="240"/>
      <c r="Q67" s="423"/>
      <c r="R67" s="420"/>
      <c r="S67" s="240"/>
    </row>
    <row r="68" spans="7:19" ht="15.75" thickBot="1">
      <c r="G68" s="405"/>
      <c r="H68" s="364"/>
      <c r="I68" s="364"/>
      <c r="J68" s="425"/>
      <c r="K68" s="364"/>
      <c r="L68" s="364"/>
      <c r="M68" s="421"/>
      <c r="N68" s="382"/>
      <c r="O68" s="420"/>
      <c r="P68" s="240"/>
      <c r="Q68" s="423"/>
      <c r="R68" s="420"/>
      <c r="S68" s="240"/>
    </row>
    <row r="69" spans="7:19">
      <c r="G69" s="404">
        <f t="shared" ref="G69" si="39">G49+1</f>
        <v>13</v>
      </c>
      <c r="H69" s="388">
        <f>IF(G69&lt;&gt;0,VLOOKUP('Осадка куста'!$G69,Скважина!$E$8:$K$33,2,FALSE),0)</f>
        <v>0</v>
      </c>
      <c r="I69" s="364" t="e">
        <f>IF(G69&lt;&gt;0,VLOOKUP(H69,Геология!$D$7:$BO$993,7,FALSE),0)</f>
        <v>#N/A</v>
      </c>
      <c r="J69" s="425" t="e">
        <f>IF(G69&lt;&gt;0,VLOOKUP(H69,Геология!$D$7:$BO$993,23,FALSE),0)</f>
        <v>#N/A</v>
      </c>
      <c r="K69" s="364">
        <f>VLOOKUP(G69,Скважина!$E$8:$L$27,4)</f>
        <v>0</v>
      </c>
      <c r="L69" s="388">
        <f t="shared" ref="L69" si="40">IF(K89&lt;$B$21,$B$21,K89)</f>
        <v>112.8</v>
      </c>
      <c r="M69" s="421">
        <f t="shared" ref="M69" si="41">IF(IF(H69&lt;&gt;0,K69-L69,0)&lt;0,0,IF(H69&lt;&gt;0,K69-L69,0))</f>
        <v>0</v>
      </c>
      <c r="N69" s="382" t="str">
        <f>IF(H69&lt;&gt;0,VLOOKUP(H69,Геология!$D$7:$BO$993,24,FALSE)," ")</f>
        <v xml:space="preserve"> </v>
      </c>
      <c r="O69" s="420" t="str">
        <f t="shared" ref="O69" si="42">IF(N69&lt;&gt;" ",N69*M69," ")</f>
        <v xml:space="preserve"> </v>
      </c>
      <c r="P69" s="240"/>
      <c r="Q69" s="423" t="str">
        <f>IF(H69&lt;&gt;0,VLOOKUP(H69,Геология!$D$7:$BO$993,27,FALSE)," ")</f>
        <v xml:space="preserve"> </v>
      </c>
      <c r="R69" s="431" t="str">
        <f t="shared" ref="R69" si="43">IF(Q69&lt;&gt;" ",Q69*M69," ")</f>
        <v xml:space="preserve"> </v>
      </c>
      <c r="S69" s="240"/>
    </row>
    <row r="70" spans="7:19">
      <c r="G70" s="405"/>
      <c r="H70" s="364"/>
      <c r="I70" s="364"/>
      <c r="J70" s="425"/>
      <c r="K70" s="364"/>
      <c r="L70" s="364"/>
      <c r="M70" s="421"/>
      <c r="N70" s="382"/>
      <c r="O70" s="420"/>
      <c r="P70" s="240"/>
      <c r="Q70" s="423"/>
      <c r="R70" s="420"/>
      <c r="S70" s="240"/>
    </row>
    <row r="71" spans="7:19">
      <c r="G71" s="405"/>
      <c r="H71" s="364"/>
      <c r="I71" s="364"/>
      <c r="J71" s="425"/>
      <c r="K71" s="364"/>
      <c r="L71" s="364"/>
      <c r="M71" s="421"/>
      <c r="N71" s="382"/>
      <c r="O71" s="420"/>
      <c r="P71" s="240"/>
      <c r="Q71" s="423"/>
      <c r="R71" s="420"/>
      <c r="S71" s="240"/>
    </row>
    <row r="72" spans="7:19">
      <c r="G72" s="405"/>
      <c r="H72" s="364"/>
      <c r="I72" s="364"/>
      <c r="J72" s="425"/>
      <c r="K72" s="364"/>
      <c r="L72" s="364"/>
      <c r="M72" s="421"/>
      <c r="N72" s="382"/>
      <c r="O72" s="420"/>
      <c r="P72" s="240"/>
      <c r="Q72" s="423"/>
      <c r="R72" s="420"/>
      <c r="S72" s="240"/>
    </row>
    <row r="73" spans="7:19">
      <c r="G73" s="405"/>
      <c r="H73" s="364"/>
      <c r="I73" s="364"/>
      <c r="J73" s="425"/>
      <c r="K73" s="364"/>
      <c r="L73" s="364"/>
      <c r="M73" s="421"/>
      <c r="N73" s="382"/>
      <c r="O73" s="420"/>
      <c r="P73" s="240"/>
      <c r="Q73" s="423"/>
      <c r="R73" s="420"/>
      <c r="S73" s="240"/>
    </row>
    <row r="74" spans="7:19">
      <c r="G74" s="405"/>
      <c r="H74" s="364"/>
      <c r="I74" s="364"/>
      <c r="J74" s="425"/>
      <c r="K74" s="364"/>
      <c r="L74" s="364"/>
      <c r="M74" s="421"/>
      <c r="N74" s="382"/>
      <c r="O74" s="420"/>
      <c r="P74" s="240"/>
      <c r="Q74" s="423"/>
      <c r="R74" s="420"/>
      <c r="S74" s="240"/>
    </row>
    <row r="75" spans="7:19">
      <c r="G75" s="405"/>
      <c r="H75" s="364"/>
      <c r="I75" s="364"/>
      <c r="J75" s="425"/>
      <c r="K75" s="364"/>
      <c r="L75" s="364"/>
      <c r="M75" s="421"/>
      <c r="N75" s="382"/>
      <c r="O75" s="420"/>
      <c r="P75" s="240"/>
      <c r="Q75" s="423"/>
      <c r="R75" s="420"/>
      <c r="S75" s="240"/>
    </row>
    <row r="76" spans="7:19">
      <c r="G76" s="405"/>
      <c r="H76" s="364"/>
      <c r="I76" s="364"/>
      <c r="J76" s="425"/>
      <c r="K76" s="364"/>
      <c r="L76" s="364"/>
      <c r="M76" s="421"/>
      <c r="N76" s="382"/>
      <c r="O76" s="420"/>
      <c r="P76" s="240"/>
      <c r="Q76" s="423"/>
      <c r="R76" s="420"/>
      <c r="S76" s="240"/>
    </row>
    <row r="77" spans="7:19">
      <c r="G77" s="405"/>
      <c r="H77" s="364"/>
      <c r="I77" s="364"/>
      <c r="J77" s="425"/>
      <c r="K77" s="364"/>
      <c r="L77" s="364"/>
      <c r="M77" s="421"/>
      <c r="N77" s="382"/>
      <c r="O77" s="420"/>
      <c r="P77" s="240"/>
      <c r="Q77" s="423"/>
      <c r="R77" s="420"/>
      <c r="S77" s="240"/>
    </row>
    <row r="78" spans="7:19">
      <c r="G78" s="405"/>
      <c r="H78" s="364"/>
      <c r="I78" s="364"/>
      <c r="J78" s="425"/>
      <c r="K78" s="364"/>
      <c r="L78" s="364"/>
      <c r="M78" s="421"/>
      <c r="N78" s="382"/>
      <c r="O78" s="420"/>
      <c r="P78" s="240"/>
      <c r="Q78" s="423"/>
      <c r="R78" s="420"/>
      <c r="S78" s="240"/>
    </row>
    <row r="79" spans="7:19">
      <c r="G79" s="405"/>
      <c r="H79" s="364"/>
      <c r="I79" s="364"/>
      <c r="J79" s="425"/>
      <c r="K79" s="364"/>
      <c r="L79" s="364"/>
      <c r="M79" s="421"/>
      <c r="N79" s="382"/>
      <c r="O79" s="420"/>
      <c r="P79" s="240"/>
      <c r="Q79" s="423"/>
      <c r="R79" s="420"/>
      <c r="S79" s="240"/>
    </row>
    <row r="80" spans="7:19">
      <c r="G80" s="405"/>
      <c r="H80" s="364"/>
      <c r="I80" s="364"/>
      <c r="J80" s="425"/>
      <c r="K80" s="364"/>
      <c r="L80" s="364"/>
      <c r="M80" s="421"/>
      <c r="N80" s="382"/>
      <c r="O80" s="420"/>
      <c r="P80" s="240"/>
      <c r="Q80" s="423"/>
      <c r="R80" s="420"/>
      <c r="S80" s="240"/>
    </row>
    <row r="81" spans="7:19">
      <c r="G81" s="405"/>
      <c r="H81" s="364"/>
      <c r="I81" s="364"/>
      <c r="J81" s="425"/>
      <c r="K81" s="364"/>
      <c r="L81" s="364"/>
      <c r="M81" s="421"/>
      <c r="N81" s="382"/>
      <c r="O81" s="420"/>
      <c r="P81" s="240"/>
      <c r="Q81" s="423"/>
      <c r="R81" s="420"/>
      <c r="S81" s="240"/>
    </row>
    <row r="82" spans="7:19">
      <c r="G82" s="405"/>
      <c r="H82" s="364"/>
      <c r="I82" s="364"/>
      <c r="J82" s="425"/>
      <c r="K82" s="364"/>
      <c r="L82" s="364"/>
      <c r="M82" s="421"/>
      <c r="N82" s="382"/>
      <c r="O82" s="420"/>
      <c r="P82" s="240"/>
      <c r="Q82" s="423"/>
      <c r="R82" s="420"/>
      <c r="S82" s="240"/>
    </row>
    <row r="83" spans="7:19">
      <c r="G83" s="405"/>
      <c r="H83" s="364"/>
      <c r="I83" s="364"/>
      <c r="J83" s="425"/>
      <c r="K83" s="364"/>
      <c r="L83" s="364"/>
      <c r="M83" s="421"/>
      <c r="N83" s="382"/>
      <c r="O83" s="420"/>
      <c r="P83" s="240"/>
      <c r="Q83" s="423"/>
      <c r="R83" s="420"/>
      <c r="S83" s="240"/>
    </row>
    <row r="84" spans="7:19">
      <c r="G84" s="405"/>
      <c r="H84" s="364"/>
      <c r="I84" s="364"/>
      <c r="J84" s="425"/>
      <c r="K84" s="364"/>
      <c r="L84" s="364"/>
      <c r="M84" s="421"/>
      <c r="N84" s="382"/>
      <c r="O84" s="420"/>
      <c r="P84" s="240"/>
      <c r="Q84" s="423"/>
      <c r="R84" s="420"/>
      <c r="S84" s="240"/>
    </row>
    <row r="85" spans="7:19">
      <c r="G85" s="405"/>
      <c r="H85" s="364"/>
      <c r="I85" s="364"/>
      <c r="J85" s="425"/>
      <c r="K85" s="364"/>
      <c r="L85" s="364"/>
      <c r="M85" s="421"/>
      <c r="N85" s="382"/>
      <c r="O85" s="420"/>
      <c r="P85" s="240"/>
      <c r="Q85" s="423"/>
      <c r="R85" s="420"/>
      <c r="S85" s="240"/>
    </row>
    <row r="86" spans="7:19">
      <c r="G86" s="405"/>
      <c r="H86" s="364"/>
      <c r="I86" s="364"/>
      <c r="J86" s="425"/>
      <c r="K86" s="364"/>
      <c r="L86" s="364"/>
      <c r="M86" s="421"/>
      <c r="N86" s="382"/>
      <c r="O86" s="420"/>
      <c r="P86" s="240"/>
      <c r="Q86" s="423"/>
      <c r="R86" s="420"/>
      <c r="S86" s="240"/>
    </row>
    <row r="87" spans="7:19">
      <c r="G87" s="405"/>
      <c r="H87" s="364"/>
      <c r="I87" s="364"/>
      <c r="J87" s="425"/>
      <c r="K87" s="364"/>
      <c r="L87" s="364"/>
      <c r="M87" s="421"/>
      <c r="N87" s="382"/>
      <c r="O87" s="420"/>
      <c r="P87" s="240"/>
      <c r="Q87" s="423"/>
      <c r="R87" s="420"/>
      <c r="S87" s="240"/>
    </row>
    <row r="88" spans="7:19" ht="15.75" thickBot="1">
      <c r="G88" s="405"/>
      <c r="H88" s="364"/>
      <c r="I88" s="364"/>
      <c r="J88" s="425"/>
      <c r="K88" s="364"/>
      <c r="L88" s="364"/>
      <c r="M88" s="421"/>
      <c r="N88" s="382"/>
      <c r="O88" s="420"/>
      <c r="P88" s="240"/>
      <c r="Q88" s="423"/>
      <c r="R88" s="420"/>
      <c r="S88" s="240"/>
    </row>
    <row r="89" spans="7:19">
      <c r="G89" s="404">
        <f t="shared" ref="G89" si="44">G69+1</f>
        <v>14</v>
      </c>
      <c r="H89" s="388">
        <f>IF(G89&lt;&gt;0,VLOOKUP('Осадка куста'!$G89,Скважина!$E$8:$K$33,2,FALSE),0)</f>
        <v>0</v>
      </c>
      <c r="I89" s="364" t="e">
        <f>IF(G89&lt;&gt;0,VLOOKUP(H89,Геология!$D$7:$BO$993,7,FALSE),0)</f>
        <v>#N/A</v>
      </c>
      <c r="J89" s="425" t="e">
        <f>IF(G89&lt;&gt;0,VLOOKUP(H89,Геология!$D$7:$BO$993,23,FALSE),0)</f>
        <v>#N/A</v>
      </c>
      <c r="K89" s="364">
        <f>VLOOKUP(G89,Скважина!$E$8:$L$27,4)</f>
        <v>0</v>
      </c>
      <c r="L89" s="388">
        <f t="shared" ref="L89" si="45">IF(K109&lt;$B$21,$B$21,K109)</f>
        <v>112.8</v>
      </c>
      <c r="M89" s="421">
        <f t="shared" ref="M89" si="46">IF(IF(H89&lt;&gt;0,K89-L89,0)&lt;0,0,IF(H89&lt;&gt;0,K89-L89,0))</f>
        <v>0</v>
      </c>
      <c r="N89" s="382" t="str">
        <f>IF(H89&lt;&gt;0,VLOOKUP(H89,Геология!$D$7:$BO$993,24,FALSE)," ")</f>
        <v xml:space="preserve"> </v>
      </c>
      <c r="O89" s="420" t="str">
        <f t="shared" ref="O89" si="47">IF(N89&lt;&gt;" ",N89*M89," ")</f>
        <v xml:space="preserve"> </v>
      </c>
      <c r="P89" s="240"/>
      <c r="Q89" s="423" t="str">
        <f>IF(H89&lt;&gt;0,VLOOKUP(H89,Геология!$D$7:$BO$993,27,FALSE)," ")</f>
        <v xml:space="preserve"> </v>
      </c>
      <c r="R89" s="431" t="str">
        <f t="shared" ref="R89" si="48">IF(Q89&lt;&gt;" ",Q89*M89," ")</f>
        <v xml:space="preserve"> </v>
      </c>
      <c r="S89" s="240"/>
    </row>
    <row r="90" spans="7:19">
      <c r="G90" s="405"/>
      <c r="H90" s="364"/>
      <c r="I90" s="364"/>
      <c r="J90" s="425"/>
      <c r="K90" s="364"/>
      <c r="L90" s="364"/>
      <c r="M90" s="421"/>
      <c r="N90" s="382"/>
      <c r="O90" s="420"/>
      <c r="P90" s="240"/>
      <c r="Q90" s="423"/>
      <c r="R90" s="420"/>
      <c r="S90" s="240"/>
    </row>
    <row r="91" spans="7:19">
      <c r="G91" s="405"/>
      <c r="H91" s="364"/>
      <c r="I91" s="364"/>
      <c r="J91" s="425"/>
      <c r="K91" s="364"/>
      <c r="L91" s="364"/>
      <c r="M91" s="421"/>
      <c r="N91" s="382"/>
      <c r="O91" s="420"/>
      <c r="P91" s="240"/>
      <c r="Q91" s="423"/>
      <c r="R91" s="420"/>
      <c r="S91" s="240"/>
    </row>
    <row r="92" spans="7:19">
      <c r="G92" s="405"/>
      <c r="H92" s="364"/>
      <c r="I92" s="364"/>
      <c r="J92" s="425"/>
      <c r="K92" s="364"/>
      <c r="L92" s="364"/>
      <c r="M92" s="421"/>
      <c r="N92" s="382"/>
      <c r="O92" s="420"/>
      <c r="P92" s="240"/>
      <c r="Q92" s="423"/>
      <c r="R92" s="420"/>
      <c r="S92" s="240"/>
    </row>
    <row r="93" spans="7:19">
      <c r="G93" s="405"/>
      <c r="H93" s="364"/>
      <c r="I93" s="364"/>
      <c r="J93" s="425"/>
      <c r="K93" s="364"/>
      <c r="L93" s="364"/>
      <c r="M93" s="421"/>
      <c r="N93" s="382"/>
      <c r="O93" s="420"/>
      <c r="P93" s="240"/>
      <c r="Q93" s="423"/>
      <c r="R93" s="420"/>
      <c r="S93" s="240"/>
    </row>
    <row r="94" spans="7:19">
      <c r="G94" s="405"/>
      <c r="H94" s="364"/>
      <c r="I94" s="364"/>
      <c r="J94" s="425"/>
      <c r="K94" s="364"/>
      <c r="L94" s="364"/>
      <c r="M94" s="421"/>
      <c r="N94" s="382"/>
      <c r="O94" s="420"/>
      <c r="P94" s="240"/>
      <c r="Q94" s="423"/>
      <c r="R94" s="420"/>
      <c r="S94" s="240"/>
    </row>
    <row r="95" spans="7:19">
      <c r="G95" s="405"/>
      <c r="H95" s="364"/>
      <c r="I95" s="364"/>
      <c r="J95" s="425"/>
      <c r="K95" s="364"/>
      <c r="L95" s="364"/>
      <c r="M95" s="421"/>
      <c r="N95" s="382"/>
      <c r="O95" s="420"/>
      <c r="P95" s="240"/>
      <c r="Q95" s="423"/>
      <c r="R95" s="420"/>
      <c r="S95" s="240"/>
    </row>
    <row r="96" spans="7:19">
      <c r="G96" s="405"/>
      <c r="H96" s="364"/>
      <c r="I96" s="364"/>
      <c r="J96" s="425"/>
      <c r="K96" s="364"/>
      <c r="L96" s="364"/>
      <c r="M96" s="421"/>
      <c r="N96" s="382"/>
      <c r="O96" s="420"/>
      <c r="P96" s="240"/>
      <c r="Q96" s="423"/>
      <c r="R96" s="420"/>
      <c r="S96" s="240"/>
    </row>
    <row r="97" spans="7:19">
      <c r="G97" s="405"/>
      <c r="H97" s="364"/>
      <c r="I97" s="364"/>
      <c r="J97" s="425"/>
      <c r="K97" s="364"/>
      <c r="L97" s="364"/>
      <c r="M97" s="421"/>
      <c r="N97" s="382"/>
      <c r="O97" s="420"/>
      <c r="P97" s="240"/>
      <c r="Q97" s="423"/>
      <c r="R97" s="420"/>
      <c r="S97" s="240"/>
    </row>
    <row r="98" spans="7:19">
      <c r="G98" s="405"/>
      <c r="H98" s="364"/>
      <c r="I98" s="364"/>
      <c r="J98" s="425"/>
      <c r="K98" s="364"/>
      <c r="L98" s="364"/>
      <c r="M98" s="421"/>
      <c r="N98" s="382"/>
      <c r="O98" s="420"/>
      <c r="P98" s="240"/>
      <c r="Q98" s="423"/>
      <c r="R98" s="420"/>
      <c r="S98" s="240"/>
    </row>
    <row r="99" spans="7:19">
      <c r="G99" s="405"/>
      <c r="H99" s="364"/>
      <c r="I99" s="364"/>
      <c r="J99" s="425"/>
      <c r="K99" s="364"/>
      <c r="L99" s="364"/>
      <c r="M99" s="421"/>
      <c r="N99" s="382"/>
      <c r="O99" s="420"/>
      <c r="P99" s="240"/>
      <c r="Q99" s="423"/>
      <c r="R99" s="420"/>
      <c r="S99" s="240"/>
    </row>
    <row r="100" spans="7:19">
      <c r="G100" s="405"/>
      <c r="H100" s="364"/>
      <c r="I100" s="364"/>
      <c r="J100" s="425"/>
      <c r="K100" s="364"/>
      <c r="L100" s="364"/>
      <c r="M100" s="421"/>
      <c r="N100" s="382"/>
      <c r="O100" s="420"/>
      <c r="P100" s="240"/>
      <c r="Q100" s="423"/>
      <c r="R100" s="420"/>
      <c r="S100" s="240"/>
    </row>
    <row r="101" spans="7:19">
      <c r="G101" s="405"/>
      <c r="H101" s="364"/>
      <c r="I101" s="364"/>
      <c r="J101" s="425"/>
      <c r="K101" s="364"/>
      <c r="L101" s="364"/>
      <c r="M101" s="421"/>
      <c r="N101" s="382"/>
      <c r="O101" s="420"/>
      <c r="P101" s="240"/>
      <c r="Q101" s="423"/>
      <c r="R101" s="420"/>
      <c r="S101" s="240"/>
    </row>
    <row r="102" spans="7:19">
      <c r="G102" s="405"/>
      <c r="H102" s="364"/>
      <c r="I102" s="364"/>
      <c r="J102" s="425"/>
      <c r="K102" s="364"/>
      <c r="L102" s="364"/>
      <c r="M102" s="421"/>
      <c r="N102" s="382"/>
      <c r="O102" s="420"/>
      <c r="P102" s="240"/>
      <c r="Q102" s="423"/>
      <c r="R102" s="420"/>
      <c r="S102" s="240"/>
    </row>
    <row r="103" spans="7:19">
      <c r="G103" s="405"/>
      <c r="H103" s="364"/>
      <c r="I103" s="364"/>
      <c r="J103" s="425"/>
      <c r="K103" s="364"/>
      <c r="L103" s="364"/>
      <c r="M103" s="421"/>
      <c r="N103" s="382"/>
      <c r="O103" s="420"/>
      <c r="P103" s="240"/>
      <c r="Q103" s="423"/>
      <c r="R103" s="420"/>
      <c r="S103" s="240"/>
    </row>
    <row r="104" spans="7:19">
      <c r="G104" s="405"/>
      <c r="H104" s="364"/>
      <c r="I104" s="364"/>
      <c r="J104" s="425"/>
      <c r="K104" s="364"/>
      <c r="L104" s="364"/>
      <c r="M104" s="421"/>
      <c r="N104" s="382"/>
      <c r="O104" s="420"/>
      <c r="P104" s="240"/>
      <c r="Q104" s="423"/>
      <c r="R104" s="420"/>
      <c r="S104" s="240"/>
    </row>
    <row r="105" spans="7:19">
      <c r="G105" s="405"/>
      <c r="H105" s="364"/>
      <c r="I105" s="364"/>
      <c r="J105" s="425"/>
      <c r="K105" s="364"/>
      <c r="L105" s="364"/>
      <c r="M105" s="421"/>
      <c r="N105" s="382"/>
      <c r="O105" s="420"/>
      <c r="P105" s="240"/>
      <c r="Q105" s="423"/>
      <c r="R105" s="420"/>
      <c r="S105" s="240"/>
    </row>
    <row r="106" spans="7:19">
      <c r="G106" s="405"/>
      <c r="H106" s="364"/>
      <c r="I106" s="364"/>
      <c r="J106" s="425"/>
      <c r="K106" s="364"/>
      <c r="L106" s="364"/>
      <c r="M106" s="421"/>
      <c r="N106" s="382"/>
      <c r="O106" s="420"/>
      <c r="P106" s="240"/>
      <c r="Q106" s="423"/>
      <c r="R106" s="420"/>
      <c r="S106" s="240"/>
    </row>
    <row r="107" spans="7:19">
      <c r="G107" s="405"/>
      <c r="H107" s="364"/>
      <c r="I107" s="364"/>
      <c r="J107" s="425"/>
      <c r="K107" s="364"/>
      <c r="L107" s="364"/>
      <c r="M107" s="421"/>
      <c r="N107" s="382"/>
      <c r="O107" s="420"/>
      <c r="P107" s="240"/>
      <c r="Q107" s="423"/>
      <c r="R107" s="420"/>
      <c r="S107" s="240"/>
    </row>
    <row r="108" spans="7:19" ht="15.75" thickBot="1">
      <c r="G108" s="405"/>
      <c r="H108" s="364"/>
      <c r="I108" s="364"/>
      <c r="J108" s="425"/>
      <c r="K108" s="364"/>
      <c r="L108" s="364"/>
      <c r="M108" s="421"/>
      <c r="N108" s="382"/>
      <c r="O108" s="420"/>
      <c r="P108" s="240"/>
      <c r="Q108" s="423"/>
      <c r="R108" s="420"/>
      <c r="S108" s="240"/>
    </row>
    <row r="109" spans="7:19">
      <c r="G109" s="404">
        <f t="shared" ref="G109" si="49">G89+1</f>
        <v>15</v>
      </c>
      <c r="H109" s="388">
        <f>IF(G109&lt;&gt;0,VLOOKUP('Осадка куста'!$G109,Скважина!$E$8:$K$33,2,FALSE),0)</f>
        <v>0</v>
      </c>
      <c r="I109" s="364" t="e">
        <f>IF(G109&lt;&gt;0,VLOOKUP(H109,Геология!$D$7:$BO$993,7,FALSE),0)</f>
        <v>#N/A</v>
      </c>
      <c r="J109" s="425" t="e">
        <f>IF(G109&lt;&gt;0,VLOOKUP(H109,Геология!$D$7:$BO$993,23,FALSE),0)</f>
        <v>#N/A</v>
      </c>
      <c r="K109" s="364">
        <f>VLOOKUP(G109,Скважина!$E$8:$L$27,4)</f>
        <v>0</v>
      </c>
      <c r="L109" s="388">
        <f t="shared" ref="L109" si="50">IF(K129&lt;$B$21,$B$21,K129)</f>
        <v>112.8</v>
      </c>
      <c r="M109" s="421">
        <f t="shared" ref="M109" si="51">IF(IF(H109&lt;&gt;0,K109-L109,0)&lt;0,0,IF(H109&lt;&gt;0,K109-L109,0))</f>
        <v>0</v>
      </c>
      <c r="N109" s="382" t="str">
        <f>IF(H109&lt;&gt;0,VLOOKUP(H109,Геология!$D$7:$BO$993,24,FALSE)," ")</f>
        <v xml:space="preserve"> </v>
      </c>
      <c r="O109" s="420" t="str">
        <f t="shared" ref="O109" si="52">IF(N109&lt;&gt;" ",N109*M109," ")</f>
        <v xml:space="preserve"> </v>
      </c>
      <c r="P109" s="240"/>
      <c r="Q109" s="423" t="str">
        <f>IF(H109&lt;&gt;0,VLOOKUP(H109,Геология!$D$7:$BO$993,27,FALSE)," ")</f>
        <v xml:space="preserve"> </v>
      </c>
      <c r="R109" s="431" t="str">
        <f t="shared" ref="R109" si="53">IF(Q109&lt;&gt;" ",Q109*M109," ")</f>
        <v xml:space="preserve"> </v>
      </c>
      <c r="S109" s="240"/>
    </row>
    <row r="110" spans="7:19">
      <c r="G110" s="405"/>
      <c r="H110" s="364"/>
      <c r="I110" s="364"/>
      <c r="J110" s="425"/>
      <c r="K110" s="364"/>
      <c r="L110" s="364"/>
      <c r="M110" s="421"/>
      <c r="N110" s="382"/>
      <c r="O110" s="420"/>
      <c r="P110" s="240"/>
      <c r="Q110" s="423"/>
      <c r="R110" s="420"/>
      <c r="S110" s="240"/>
    </row>
    <row r="111" spans="7:19">
      <c r="G111" s="405"/>
      <c r="H111" s="364"/>
      <c r="I111" s="364"/>
      <c r="J111" s="425"/>
      <c r="K111" s="364"/>
      <c r="L111" s="364"/>
      <c r="M111" s="421"/>
      <c r="N111" s="382"/>
      <c r="O111" s="420"/>
      <c r="P111" s="240"/>
      <c r="Q111" s="423"/>
      <c r="R111" s="420"/>
      <c r="S111" s="240"/>
    </row>
    <row r="112" spans="7:19">
      <c r="G112" s="405"/>
      <c r="H112" s="364"/>
      <c r="I112" s="364"/>
      <c r="J112" s="425"/>
      <c r="K112" s="364"/>
      <c r="L112" s="364"/>
      <c r="M112" s="421"/>
      <c r="N112" s="382"/>
      <c r="O112" s="420"/>
      <c r="P112" s="240"/>
      <c r="Q112" s="423"/>
      <c r="R112" s="420"/>
      <c r="S112" s="240"/>
    </row>
    <row r="113" spans="7:19">
      <c r="G113" s="405"/>
      <c r="H113" s="364"/>
      <c r="I113" s="364"/>
      <c r="J113" s="425"/>
      <c r="K113" s="364"/>
      <c r="L113" s="364"/>
      <c r="M113" s="421"/>
      <c r="N113" s="382"/>
      <c r="O113" s="420"/>
      <c r="P113" s="240"/>
      <c r="Q113" s="423"/>
      <c r="R113" s="420"/>
      <c r="S113" s="240"/>
    </row>
    <row r="114" spans="7:19">
      <c r="G114" s="405"/>
      <c r="H114" s="364"/>
      <c r="I114" s="364"/>
      <c r="J114" s="425"/>
      <c r="K114" s="364"/>
      <c r="L114" s="364"/>
      <c r="M114" s="421"/>
      <c r="N114" s="382"/>
      <c r="O114" s="420"/>
      <c r="P114" s="240"/>
      <c r="Q114" s="423"/>
      <c r="R114" s="420"/>
      <c r="S114" s="240"/>
    </row>
    <row r="115" spans="7:19">
      <c r="G115" s="405"/>
      <c r="H115" s="364"/>
      <c r="I115" s="364"/>
      <c r="J115" s="425"/>
      <c r="K115" s="364"/>
      <c r="L115" s="364"/>
      <c r="M115" s="421"/>
      <c r="N115" s="382"/>
      <c r="O115" s="420"/>
      <c r="P115" s="240"/>
      <c r="Q115" s="423"/>
      <c r="R115" s="420"/>
      <c r="S115" s="240"/>
    </row>
    <row r="116" spans="7:19">
      <c r="G116" s="405"/>
      <c r="H116" s="364"/>
      <c r="I116" s="364"/>
      <c r="J116" s="425"/>
      <c r="K116" s="364"/>
      <c r="L116" s="364"/>
      <c r="M116" s="421"/>
      <c r="N116" s="382"/>
      <c r="O116" s="420"/>
      <c r="P116" s="240"/>
      <c r="Q116" s="423"/>
      <c r="R116" s="420"/>
      <c r="S116" s="240"/>
    </row>
    <row r="117" spans="7:19">
      <c r="G117" s="405"/>
      <c r="H117" s="364"/>
      <c r="I117" s="364"/>
      <c r="J117" s="425"/>
      <c r="K117" s="364"/>
      <c r="L117" s="364"/>
      <c r="M117" s="421"/>
      <c r="N117" s="382"/>
      <c r="O117" s="420"/>
      <c r="P117" s="240"/>
      <c r="Q117" s="423"/>
      <c r="R117" s="420"/>
      <c r="S117" s="240"/>
    </row>
    <row r="118" spans="7:19">
      <c r="G118" s="405"/>
      <c r="H118" s="364"/>
      <c r="I118" s="364"/>
      <c r="J118" s="425"/>
      <c r="K118" s="364"/>
      <c r="L118" s="364"/>
      <c r="M118" s="421"/>
      <c r="N118" s="382"/>
      <c r="O118" s="420"/>
      <c r="P118" s="240"/>
      <c r="Q118" s="423"/>
      <c r="R118" s="420"/>
      <c r="S118" s="240"/>
    </row>
    <row r="119" spans="7:19">
      <c r="G119" s="405"/>
      <c r="H119" s="364"/>
      <c r="I119" s="364"/>
      <c r="J119" s="425"/>
      <c r="K119" s="364"/>
      <c r="L119" s="364"/>
      <c r="M119" s="421"/>
      <c r="N119" s="382"/>
      <c r="O119" s="420"/>
      <c r="P119" s="240"/>
      <c r="Q119" s="423"/>
      <c r="R119" s="420"/>
      <c r="S119" s="240"/>
    </row>
    <row r="120" spans="7:19">
      <c r="G120" s="405"/>
      <c r="H120" s="364"/>
      <c r="I120" s="364"/>
      <c r="J120" s="425"/>
      <c r="K120" s="364"/>
      <c r="L120" s="364"/>
      <c r="M120" s="421"/>
      <c r="N120" s="382"/>
      <c r="O120" s="420"/>
      <c r="P120" s="240"/>
      <c r="Q120" s="423"/>
      <c r="R120" s="420"/>
      <c r="S120" s="240"/>
    </row>
    <row r="121" spans="7:19">
      <c r="G121" s="405"/>
      <c r="H121" s="364"/>
      <c r="I121" s="364"/>
      <c r="J121" s="425"/>
      <c r="K121" s="364"/>
      <c r="L121" s="364"/>
      <c r="M121" s="421"/>
      <c r="N121" s="382"/>
      <c r="O121" s="420"/>
      <c r="P121" s="240"/>
      <c r="Q121" s="423"/>
      <c r="R121" s="420"/>
      <c r="S121" s="240"/>
    </row>
    <row r="122" spans="7:19">
      <c r="G122" s="405"/>
      <c r="H122" s="364"/>
      <c r="I122" s="364"/>
      <c r="J122" s="425"/>
      <c r="K122" s="364"/>
      <c r="L122" s="364"/>
      <c r="M122" s="421"/>
      <c r="N122" s="382"/>
      <c r="O122" s="420"/>
      <c r="P122" s="240"/>
      <c r="Q122" s="423"/>
      <c r="R122" s="420"/>
      <c r="S122" s="240"/>
    </row>
    <row r="123" spans="7:19">
      <c r="G123" s="405"/>
      <c r="H123" s="364"/>
      <c r="I123" s="364"/>
      <c r="J123" s="425"/>
      <c r="K123" s="364"/>
      <c r="L123" s="364"/>
      <c r="M123" s="421"/>
      <c r="N123" s="382"/>
      <c r="O123" s="420"/>
      <c r="P123" s="240"/>
      <c r="Q123" s="423"/>
      <c r="R123" s="420"/>
      <c r="S123" s="240"/>
    </row>
    <row r="124" spans="7:19">
      <c r="G124" s="405"/>
      <c r="H124" s="364"/>
      <c r="I124" s="364"/>
      <c r="J124" s="425"/>
      <c r="K124" s="364"/>
      <c r="L124" s="364"/>
      <c r="M124" s="421"/>
      <c r="N124" s="382"/>
      <c r="O124" s="420"/>
      <c r="P124" s="240"/>
      <c r="Q124" s="423"/>
      <c r="R124" s="420"/>
      <c r="S124" s="240"/>
    </row>
    <row r="125" spans="7:19">
      <c r="G125" s="405"/>
      <c r="H125" s="364"/>
      <c r="I125" s="364"/>
      <c r="J125" s="425"/>
      <c r="K125" s="364"/>
      <c r="L125" s="364"/>
      <c r="M125" s="421"/>
      <c r="N125" s="382"/>
      <c r="O125" s="420"/>
      <c r="P125" s="240"/>
      <c r="Q125" s="423"/>
      <c r="R125" s="420"/>
      <c r="S125" s="240"/>
    </row>
    <row r="126" spans="7:19">
      <c r="G126" s="405"/>
      <c r="H126" s="364"/>
      <c r="I126" s="364"/>
      <c r="J126" s="425"/>
      <c r="K126" s="364"/>
      <c r="L126" s="364"/>
      <c r="M126" s="421"/>
      <c r="N126" s="382"/>
      <c r="O126" s="420"/>
      <c r="P126" s="240"/>
      <c r="Q126" s="423"/>
      <c r="R126" s="420"/>
      <c r="S126" s="240"/>
    </row>
    <row r="127" spans="7:19">
      <c r="G127" s="405"/>
      <c r="H127" s="364"/>
      <c r="I127" s="364"/>
      <c r="J127" s="425"/>
      <c r="K127" s="364"/>
      <c r="L127" s="364"/>
      <c r="M127" s="421"/>
      <c r="N127" s="382"/>
      <c r="O127" s="420"/>
      <c r="P127" s="240"/>
      <c r="Q127" s="423"/>
      <c r="R127" s="420"/>
      <c r="S127" s="240"/>
    </row>
    <row r="128" spans="7:19" ht="15.75" thickBot="1">
      <c r="G128" s="405"/>
      <c r="H128" s="364"/>
      <c r="I128" s="364"/>
      <c r="J128" s="425"/>
      <c r="K128" s="364"/>
      <c r="L128" s="364"/>
      <c r="M128" s="421"/>
      <c r="N128" s="382"/>
      <c r="O128" s="420"/>
      <c r="P128" s="240"/>
      <c r="Q128" s="423"/>
      <c r="R128" s="420"/>
      <c r="S128" s="240"/>
    </row>
    <row r="129" spans="7:19">
      <c r="G129" s="404">
        <f t="shared" ref="G129" si="54">G109+1</f>
        <v>16</v>
      </c>
      <c r="H129" s="388">
        <f>IF(G129&lt;&gt;0,VLOOKUP('Осадка куста'!$G129,Скважина!$E$8:$K$33,2,FALSE),0)</f>
        <v>0</v>
      </c>
      <c r="I129" s="364" t="e">
        <f>IF(G129&lt;&gt;0,VLOOKUP(H129,Геология!$D$7:$BO$993,7,FALSE),0)</f>
        <v>#N/A</v>
      </c>
      <c r="J129" s="425" t="e">
        <f>IF(G129&lt;&gt;0,VLOOKUP(H129,Геология!$D$7:$BO$993,23,FALSE),0)</f>
        <v>#N/A</v>
      </c>
      <c r="K129" s="364">
        <f>VLOOKUP(G129,Скважина!$E$8:$L$27,4)</f>
        <v>0</v>
      </c>
      <c r="L129" s="388">
        <f t="shared" ref="L129" si="55">IF(K149&lt;$B$21,$B$21,K149)</f>
        <v>112.8</v>
      </c>
      <c r="M129" s="421">
        <f t="shared" ref="M129" si="56">IF(IF(H129&lt;&gt;0,K129-L129,0)&lt;0,0,IF(H129&lt;&gt;0,K129-L129,0))</f>
        <v>0</v>
      </c>
      <c r="N129" s="382" t="str">
        <f>IF(H129&lt;&gt;0,VLOOKUP(H129,Геология!$D$7:$BO$993,24,FALSE)," ")</f>
        <v xml:space="preserve"> </v>
      </c>
      <c r="O129" s="420" t="str">
        <f t="shared" ref="O129" si="57">IF(N129&lt;&gt;" ",N129*M129," ")</f>
        <v xml:space="preserve"> </v>
      </c>
      <c r="P129" s="240"/>
      <c r="Q129" s="423" t="str">
        <f>IF(H129&lt;&gt;0,VLOOKUP(H129,Геология!$D$7:$BO$993,27,FALSE)," ")</f>
        <v xml:space="preserve"> </v>
      </c>
      <c r="R129" s="431" t="str">
        <f t="shared" ref="R129" si="58">IF(Q129&lt;&gt;" ",Q129*M129," ")</f>
        <v xml:space="preserve"> </v>
      </c>
      <c r="S129" s="240"/>
    </row>
    <row r="130" spans="7:19">
      <c r="G130" s="405"/>
      <c r="H130" s="364"/>
      <c r="I130" s="364"/>
      <c r="J130" s="425"/>
      <c r="K130" s="364"/>
      <c r="L130" s="364"/>
      <c r="M130" s="421"/>
      <c r="N130" s="382"/>
      <c r="O130" s="420"/>
      <c r="P130" s="240"/>
      <c r="Q130" s="423"/>
      <c r="R130" s="420"/>
      <c r="S130" s="240"/>
    </row>
    <row r="131" spans="7:19">
      <c r="G131" s="405"/>
      <c r="H131" s="364"/>
      <c r="I131" s="364"/>
      <c r="J131" s="425"/>
      <c r="K131" s="364"/>
      <c r="L131" s="364"/>
      <c r="M131" s="421"/>
      <c r="N131" s="382"/>
      <c r="O131" s="420"/>
      <c r="P131" s="240"/>
      <c r="Q131" s="423"/>
      <c r="R131" s="420"/>
      <c r="S131" s="240"/>
    </row>
    <row r="132" spans="7:19">
      <c r="G132" s="405"/>
      <c r="H132" s="364"/>
      <c r="I132" s="364"/>
      <c r="J132" s="425"/>
      <c r="K132" s="364"/>
      <c r="L132" s="364"/>
      <c r="M132" s="421"/>
      <c r="N132" s="382"/>
      <c r="O132" s="420"/>
      <c r="P132" s="240"/>
      <c r="Q132" s="423"/>
      <c r="R132" s="420"/>
      <c r="S132" s="240"/>
    </row>
    <row r="133" spans="7:19">
      <c r="G133" s="405"/>
      <c r="H133" s="364"/>
      <c r="I133" s="364"/>
      <c r="J133" s="425"/>
      <c r="K133" s="364"/>
      <c r="L133" s="364"/>
      <c r="M133" s="421"/>
      <c r="N133" s="382"/>
      <c r="O133" s="420"/>
      <c r="P133" s="240"/>
      <c r="Q133" s="423"/>
      <c r="R133" s="420"/>
      <c r="S133" s="240"/>
    </row>
    <row r="134" spans="7:19">
      <c r="G134" s="405"/>
      <c r="H134" s="364"/>
      <c r="I134" s="364"/>
      <c r="J134" s="425"/>
      <c r="K134" s="364"/>
      <c r="L134" s="364"/>
      <c r="M134" s="421"/>
      <c r="N134" s="382"/>
      <c r="O134" s="420"/>
      <c r="P134" s="240"/>
      <c r="Q134" s="423"/>
      <c r="R134" s="420"/>
      <c r="S134" s="240"/>
    </row>
    <row r="135" spans="7:19">
      <c r="G135" s="405"/>
      <c r="H135" s="364"/>
      <c r="I135" s="364"/>
      <c r="J135" s="425"/>
      <c r="K135" s="364"/>
      <c r="L135" s="364"/>
      <c r="M135" s="421"/>
      <c r="N135" s="382"/>
      <c r="O135" s="420"/>
      <c r="P135" s="240"/>
      <c r="Q135" s="423"/>
      <c r="R135" s="420"/>
      <c r="S135" s="240"/>
    </row>
    <row r="136" spans="7:19">
      <c r="G136" s="405"/>
      <c r="H136" s="364"/>
      <c r="I136" s="364"/>
      <c r="J136" s="425"/>
      <c r="K136" s="364"/>
      <c r="L136" s="364"/>
      <c r="M136" s="421"/>
      <c r="N136" s="382"/>
      <c r="O136" s="420"/>
      <c r="P136" s="240"/>
      <c r="Q136" s="423"/>
      <c r="R136" s="420"/>
      <c r="S136" s="240"/>
    </row>
    <row r="137" spans="7:19">
      <c r="G137" s="405"/>
      <c r="H137" s="364"/>
      <c r="I137" s="364"/>
      <c r="J137" s="425"/>
      <c r="K137" s="364"/>
      <c r="L137" s="364"/>
      <c r="M137" s="421"/>
      <c r="N137" s="382"/>
      <c r="O137" s="420"/>
      <c r="P137" s="240"/>
      <c r="Q137" s="423"/>
      <c r="R137" s="420"/>
      <c r="S137" s="240"/>
    </row>
    <row r="138" spans="7:19">
      <c r="G138" s="405"/>
      <c r="H138" s="364"/>
      <c r="I138" s="364"/>
      <c r="J138" s="425"/>
      <c r="K138" s="364"/>
      <c r="L138" s="364"/>
      <c r="M138" s="421"/>
      <c r="N138" s="382"/>
      <c r="O138" s="420"/>
      <c r="P138" s="240"/>
      <c r="Q138" s="423"/>
      <c r="R138" s="420"/>
      <c r="S138" s="240"/>
    </row>
    <row r="139" spans="7:19">
      <c r="G139" s="405"/>
      <c r="H139" s="364"/>
      <c r="I139" s="364"/>
      <c r="J139" s="425"/>
      <c r="K139" s="364"/>
      <c r="L139" s="364"/>
      <c r="M139" s="421"/>
      <c r="N139" s="382"/>
      <c r="O139" s="420"/>
      <c r="P139" s="240"/>
      <c r="Q139" s="423"/>
      <c r="R139" s="420"/>
      <c r="S139" s="240"/>
    </row>
    <row r="140" spans="7:19">
      <c r="G140" s="405"/>
      <c r="H140" s="364"/>
      <c r="I140" s="364"/>
      <c r="J140" s="425"/>
      <c r="K140" s="364"/>
      <c r="L140" s="364"/>
      <c r="M140" s="421"/>
      <c r="N140" s="382"/>
      <c r="O140" s="420"/>
      <c r="P140" s="240"/>
      <c r="Q140" s="423"/>
      <c r="R140" s="420"/>
      <c r="S140" s="240"/>
    </row>
    <row r="141" spans="7:19">
      <c r="G141" s="405"/>
      <c r="H141" s="364"/>
      <c r="I141" s="364"/>
      <c r="J141" s="425"/>
      <c r="K141" s="364"/>
      <c r="L141" s="364"/>
      <c r="M141" s="421"/>
      <c r="N141" s="382"/>
      <c r="O141" s="420"/>
      <c r="P141" s="240"/>
      <c r="Q141" s="423"/>
      <c r="R141" s="420"/>
      <c r="S141" s="240"/>
    </row>
    <row r="142" spans="7:19">
      <c r="G142" s="405"/>
      <c r="H142" s="364"/>
      <c r="I142" s="364"/>
      <c r="J142" s="425"/>
      <c r="K142" s="364"/>
      <c r="L142" s="364"/>
      <c r="M142" s="421"/>
      <c r="N142" s="382"/>
      <c r="O142" s="420"/>
      <c r="P142" s="240"/>
      <c r="Q142" s="423"/>
      <c r="R142" s="420"/>
      <c r="S142" s="240"/>
    </row>
    <row r="143" spans="7:19">
      <c r="G143" s="405"/>
      <c r="H143" s="364"/>
      <c r="I143" s="364"/>
      <c r="J143" s="425"/>
      <c r="K143" s="364"/>
      <c r="L143" s="364"/>
      <c r="M143" s="421"/>
      <c r="N143" s="382"/>
      <c r="O143" s="420"/>
      <c r="P143" s="240"/>
      <c r="Q143" s="423"/>
      <c r="R143" s="420"/>
      <c r="S143" s="240"/>
    </row>
    <row r="144" spans="7:19">
      <c r="G144" s="405"/>
      <c r="H144" s="364"/>
      <c r="I144" s="364"/>
      <c r="J144" s="425"/>
      <c r="K144" s="364"/>
      <c r="L144" s="364"/>
      <c r="M144" s="421"/>
      <c r="N144" s="382"/>
      <c r="O144" s="420"/>
      <c r="P144" s="240"/>
      <c r="Q144" s="423"/>
      <c r="R144" s="420"/>
      <c r="S144" s="240"/>
    </row>
    <row r="145" spans="7:19">
      <c r="G145" s="405"/>
      <c r="H145" s="364"/>
      <c r="I145" s="364"/>
      <c r="J145" s="425"/>
      <c r="K145" s="364"/>
      <c r="L145" s="364"/>
      <c r="M145" s="421"/>
      <c r="N145" s="382"/>
      <c r="O145" s="420"/>
      <c r="P145" s="240"/>
      <c r="Q145" s="423"/>
      <c r="R145" s="420"/>
      <c r="S145" s="240"/>
    </row>
    <row r="146" spans="7:19">
      <c r="G146" s="405"/>
      <c r="H146" s="364"/>
      <c r="I146" s="364"/>
      <c r="J146" s="425"/>
      <c r="K146" s="364"/>
      <c r="L146" s="364"/>
      <c r="M146" s="421"/>
      <c r="N146" s="382"/>
      <c r="O146" s="420"/>
      <c r="P146" s="240"/>
      <c r="Q146" s="423"/>
      <c r="R146" s="420"/>
      <c r="S146" s="240"/>
    </row>
    <row r="147" spans="7:19">
      <c r="G147" s="405"/>
      <c r="H147" s="364"/>
      <c r="I147" s="364"/>
      <c r="J147" s="425"/>
      <c r="K147" s="364"/>
      <c r="L147" s="364"/>
      <c r="M147" s="421"/>
      <c r="N147" s="382"/>
      <c r="O147" s="420"/>
      <c r="P147" s="240"/>
      <c r="Q147" s="423"/>
      <c r="R147" s="420"/>
      <c r="S147" s="240"/>
    </row>
    <row r="148" spans="7:19" ht="15.75" thickBot="1">
      <c r="G148" s="405"/>
      <c r="H148" s="364"/>
      <c r="I148" s="364"/>
      <c r="J148" s="425"/>
      <c r="K148" s="364"/>
      <c r="L148" s="364"/>
      <c r="M148" s="421"/>
      <c r="N148" s="382"/>
      <c r="O148" s="420"/>
      <c r="P148" s="240"/>
      <c r="Q148" s="423"/>
      <c r="R148" s="420"/>
      <c r="S148" s="240"/>
    </row>
    <row r="149" spans="7:19">
      <c r="G149" s="404">
        <f t="shared" ref="G149" si="59">G129+1</f>
        <v>17</v>
      </c>
      <c r="H149" s="388">
        <f>IF(G149&lt;&gt;0,VLOOKUP('Осадка куста'!$G149,Скважина!$E$8:$K$33,2,FALSE),0)</f>
        <v>0</v>
      </c>
      <c r="I149" s="364" t="e">
        <f>IF(G149&lt;&gt;0,VLOOKUP(H149,Геология!$D$7:$BO$993,7,FALSE),0)</f>
        <v>#N/A</v>
      </c>
      <c r="J149" s="425" t="e">
        <f>IF(G149&lt;&gt;0,VLOOKUP(H149,Геология!$D$7:$BO$993,23,FALSE),0)</f>
        <v>#N/A</v>
      </c>
      <c r="K149" s="364">
        <f>VLOOKUP(G149,Скважина!$E$8:$L$27,4)</f>
        <v>0</v>
      </c>
      <c r="L149" s="388">
        <f t="shared" ref="L149" si="60">IF(K169&lt;$B$21,$B$21,K169)</f>
        <v>112.8</v>
      </c>
      <c r="M149" s="421">
        <f t="shared" ref="M149" si="61">IF(IF(H149&lt;&gt;0,K149-L149,0)&lt;0,0,IF(H149&lt;&gt;0,K149-L149,0))</f>
        <v>0</v>
      </c>
      <c r="N149" s="382" t="str">
        <f>IF(H149&lt;&gt;0,VLOOKUP(H149,Геология!$D$7:$BO$993,24,FALSE)," ")</f>
        <v xml:space="preserve"> </v>
      </c>
      <c r="O149" s="420" t="str">
        <f t="shared" ref="O149" si="62">IF(N149&lt;&gt;" ",N149*M149," ")</f>
        <v xml:space="preserve"> </v>
      </c>
      <c r="P149" s="240"/>
      <c r="Q149" s="423" t="str">
        <f>IF(H149&lt;&gt;0,VLOOKUP(H149,Геология!$D$7:$BO$993,27,FALSE)," ")</f>
        <v xml:space="preserve"> </v>
      </c>
      <c r="R149" s="431" t="str">
        <f t="shared" ref="R149" si="63">IF(Q149&lt;&gt;" ",Q149*M149," ")</f>
        <v xml:space="preserve"> </v>
      </c>
      <c r="S149" s="240"/>
    </row>
    <row r="150" spans="7:19">
      <c r="G150" s="405"/>
      <c r="H150" s="364"/>
      <c r="I150" s="364"/>
      <c r="J150" s="425"/>
      <c r="K150" s="364"/>
      <c r="L150" s="364"/>
      <c r="M150" s="421"/>
      <c r="N150" s="382"/>
      <c r="O150" s="420"/>
      <c r="P150" s="240"/>
      <c r="Q150" s="423"/>
      <c r="R150" s="420"/>
      <c r="S150" s="240"/>
    </row>
    <row r="151" spans="7:19">
      <c r="G151" s="405"/>
      <c r="H151" s="364"/>
      <c r="I151" s="364"/>
      <c r="J151" s="425"/>
      <c r="K151" s="364"/>
      <c r="L151" s="364"/>
      <c r="M151" s="421"/>
      <c r="N151" s="382"/>
      <c r="O151" s="420"/>
      <c r="P151" s="240"/>
      <c r="Q151" s="423"/>
      <c r="R151" s="420"/>
      <c r="S151" s="240"/>
    </row>
    <row r="152" spans="7:19">
      <c r="G152" s="405"/>
      <c r="H152" s="364"/>
      <c r="I152" s="364"/>
      <c r="J152" s="425"/>
      <c r="K152" s="364"/>
      <c r="L152" s="364"/>
      <c r="M152" s="421"/>
      <c r="N152" s="382"/>
      <c r="O152" s="420"/>
      <c r="P152" s="240"/>
      <c r="Q152" s="423"/>
      <c r="R152" s="420"/>
      <c r="S152" s="240"/>
    </row>
    <row r="153" spans="7:19">
      <c r="G153" s="405"/>
      <c r="H153" s="364"/>
      <c r="I153" s="364"/>
      <c r="J153" s="425"/>
      <c r="K153" s="364"/>
      <c r="L153" s="364"/>
      <c r="M153" s="421"/>
      <c r="N153" s="382"/>
      <c r="O153" s="420"/>
      <c r="P153" s="240"/>
      <c r="Q153" s="423"/>
      <c r="R153" s="420"/>
      <c r="S153" s="240"/>
    </row>
    <row r="154" spans="7:19">
      <c r="G154" s="405"/>
      <c r="H154" s="364"/>
      <c r="I154" s="364"/>
      <c r="J154" s="425"/>
      <c r="K154" s="364"/>
      <c r="L154" s="364"/>
      <c r="M154" s="421"/>
      <c r="N154" s="382"/>
      <c r="O154" s="420"/>
      <c r="P154" s="240"/>
      <c r="Q154" s="423"/>
      <c r="R154" s="420"/>
      <c r="S154" s="240"/>
    </row>
    <row r="155" spans="7:19">
      <c r="G155" s="405"/>
      <c r="H155" s="364"/>
      <c r="I155" s="364"/>
      <c r="J155" s="425"/>
      <c r="K155" s="364"/>
      <c r="L155" s="364"/>
      <c r="M155" s="421"/>
      <c r="N155" s="382"/>
      <c r="O155" s="420"/>
      <c r="P155" s="240"/>
      <c r="Q155" s="423"/>
      <c r="R155" s="420"/>
      <c r="S155" s="240"/>
    </row>
    <row r="156" spans="7:19">
      <c r="G156" s="405"/>
      <c r="H156" s="364"/>
      <c r="I156" s="364"/>
      <c r="J156" s="425"/>
      <c r="K156" s="364"/>
      <c r="L156" s="364"/>
      <c r="M156" s="421"/>
      <c r="N156" s="382"/>
      <c r="O156" s="420"/>
      <c r="P156" s="240"/>
      <c r="Q156" s="423"/>
      <c r="R156" s="420"/>
      <c r="S156" s="240"/>
    </row>
    <row r="157" spans="7:19">
      <c r="G157" s="405"/>
      <c r="H157" s="364"/>
      <c r="I157" s="364"/>
      <c r="J157" s="425"/>
      <c r="K157" s="364"/>
      <c r="L157" s="364"/>
      <c r="M157" s="421"/>
      <c r="N157" s="382"/>
      <c r="O157" s="420"/>
      <c r="P157" s="240"/>
      <c r="Q157" s="423"/>
      <c r="R157" s="420"/>
      <c r="S157" s="240"/>
    </row>
    <row r="158" spans="7:19">
      <c r="G158" s="405"/>
      <c r="H158" s="364"/>
      <c r="I158" s="364"/>
      <c r="J158" s="425"/>
      <c r="K158" s="364"/>
      <c r="L158" s="364"/>
      <c r="M158" s="421"/>
      <c r="N158" s="382"/>
      <c r="O158" s="420"/>
      <c r="P158" s="240"/>
      <c r="Q158" s="423"/>
      <c r="R158" s="420"/>
      <c r="S158" s="240"/>
    </row>
    <row r="159" spans="7:19">
      <c r="G159" s="405"/>
      <c r="H159" s="364"/>
      <c r="I159" s="364"/>
      <c r="J159" s="425"/>
      <c r="K159" s="364"/>
      <c r="L159" s="364"/>
      <c r="M159" s="421"/>
      <c r="N159" s="382"/>
      <c r="O159" s="420"/>
      <c r="P159" s="240"/>
      <c r="Q159" s="423"/>
      <c r="R159" s="420"/>
      <c r="S159" s="240"/>
    </row>
    <row r="160" spans="7:19">
      <c r="G160" s="405"/>
      <c r="H160" s="364"/>
      <c r="I160" s="364"/>
      <c r="J160" s="425"/>
      <c r="K160" s="364"/>
      <c r="L160" s="364"/>
      <c r="M160" s="421"/>
      <c r="N160" s="382"/>
      <c r="O160" s="420"/>
      <c r="P160" s="240"/>
      <c r="Q160" s="423"/>
      <c r="R160" s="420"/>
      <c r="S160" s="240"/>
    </row>
    <row r="161" spans="7:19">
      <c r="G161" s="405"/>
      <c r="H161" s="364"/>
      <c r="I161" s="364"/>
      <c r="J161" s="425"/>
      <c r="K161" s="364"/>
      <c r="L161" s="364"/>
      <c r="M161" s="421"/>
      <c r="N161" s="382"/>
      <c r="O161" s="420"/>
      <c r="P161" s="240"/>
      <c r="Q161" s="423"/>
      <c r="R161" s="420"/>
      <c r="S161" s="240"/>
    </row>
    <row r="162" spans="7:19">
      <c r="G162" s="405"/>
      <c r="H162" s="364"/>
      <c r="I162" s="364"/>
      <c r="J162" s="425"/>
      <c r="K162" s="364"/>
      <c r="L162" s="364"/>
      <c r="M162" s="421"/>
      <c r="N162" s="382"/>
      <c r="O162" s="420"/>
      <c r="P162" s="240"/>
      <c r="Q162" s="423"/>
      <c r="R162" s="420"/>
      <c r="S162" s="240"/>
    </row>
    <row r="163" spans="7:19">
      <c r="G163" s="405"/>
      <c r="H163" s="364"/>
      <c r="I163" s="364"/>
      <c r="J163" s="425"/>
      <c r="K163" s="364"/>
      <c r="L163" s="364"/>
      <c r="M163" s="421"/>
      <c r="N163" s="382"/>
      <c r="O163" s="420"/>
      <c r="P163" s="240"/>
      <c r="Q163" s="423"/>
      <c r="R163" s="420"/>
      <c r="S163" s="240"/>
    </row>
    <row r="164" spans="7:19">
      <c r="G164" s="405"/>
      <c r="H164" s="364"/>
      <c r="I164" s="364"/>
      <c r="J164" s="425"/>
      <c r="K164" s="364"/>
      <c r="L164" s="364"/>
      <c r="M164" s="421"/>
      <c r="N164" s="382"/>
      <c r="O164" s="420"/>
      <c r="P164" s="240"/>
      <c r="Q164" s="423"/>
      <c r="R164" s="420"/>
      <c r="S164" s="240"/>
    </row>
    <row r="165" spans="7:19">
      <c r="G165" s="405"/>
      <c r="H165" s="364"/>
      <c r="I165" s="364"/>
      <c r="J165" s="425"/>
      <c r="K165" s="364"/>
      <c r="L165" s="364"/>
      <c r="M165" s="421"/>
      <c r="N165" s="382"/>
      <c r="O165" s="420"/>
      <c r="P165" s="240"/>
      <c r="Q165" s="423"/>
      <c r="R165" s="420"/>
      <c r="S165" s="240"/>
    </row>
    <row r="166" spans="7:19">
      <c r="G166" s="405"/>
      <c r="H166" s="364"/>
      <c r="I166" s="364"/>
      <c r="J166" s="425"/>
      <c r="K166" s="364"/>
      <c r="L166" s="364"/>
      <c r="M166" s="421"/>
      <c r="N166" s="382"/>
      <c r="O166" s="420"/>
      <c r="P166" s="240"/>
      <c r="Q166" s="423"/>
      <c r="R166" s="420"/>
      <c r="S166" s="240"/>
    </row>
    <row r="167" spans="7:19">
      <c r="G167" s="405"/>
      <c r="H167" s="364"/>
      <c r="I167" s="364"/>
      <c r="J167" s="425"/>
      <c r="K167" s="364"/>
      <c r="L167" s="364"/>
      <c r="M167" s="421"/>
      <c r="N167" s="382"/>
      <c r="O167" s="420"/>
      <c r="P167" s="240"/>
      <c r="Q167" s="423"/>
      <c r="R167" s="420"/>
      <c r="S167" s="240"/>
    </row>
    <row r="168" spans="7:19" ht="15.75" thickBot="1">
      <c r="G168" s="405"/>
      <c r="H168" s="364"/>
      <c r="I168" s="364"/>
      <c r="J168" s="425"/>
      <c r="K168" s="364"/>
      <c r="L168" s="364"/>
      <c r="M168" s="421"/>
      <c r="N168" s="382"/>
      <c r="O168" s="420"/>
      <c r="P168" s="240"/>
      <c r="Q168" s="423"/>
      <c r="R168" s="420"/>
      <c r="S168" s="240"/>
    </row>
    <row r="169" spans="7:19">
      <c r="G169" s="404">
        <f t="shared" ref="G169" si="64">G149+1</f>
        <v>18</v>
      </c>
      <c r="H169" s="388">
        <f>IF(G169&lt;&gt;0,VLOOKUP('Осадка куста'!$G169,Скважина!$E$8:$K$33,2,FALSE),0)</f>
        <v>0</v>
      </c>
      <c r="I169" s="364" t="e">
        <f>IF(G169&lt;&gt;0,VLOOKUP(H169,Геология!$D$7:$BO$993,7,FALSE),0)</f>
        <v>#N/A</v>
      </c>
      <c r="J169" s="425" t="e">
        <f>IF(G169&lt;&gt;0,VLOOKUP(H169,Геология!$D$7:$BO$993,23,FALSE),0)</f>
        <v>#N/A</v>
      </c>
      <c r="K169" s="364">
        <f>VLOOKUP(G169,Скважина!$E$8:$L$27,4)</f>
        <v>0</v>
      </c>
      <c r="L169" s="388">
        <f t="shared" ref="L169" si="65">IF(K189&lt;$B$21,$B$21,K189)</f>
        <v>112.8</v>
      </c>
      <c r="M169" s="421">
        <f t="shared" ref="M169" si="66">IF(IF(H169&lt;&gt;0,K169-L169,0)&lt;0,0,IF(H169&lt;&gt;0,K169-L169,0))</f>
        <v>0</v>
      </c>
      <c r="N169" s="382" t="str">
        <f>IF(H169&lt;&gt;0,VLOOKUP(H169,Геология!$D$7:$BO$993,24,FALSE)," ")</f>
        <v xml:space="preserve"> </v>
      </c>
      <c r="O169" s="420" t="str">
        <f t="shared" ref="O169" si="67">IF(N169&lt;&gt;" ",N169*M169," ")</f>
        <v xml:space="preserve"> </v>
      </c>
      <c r="P169" s="240"/>
      <c r="Q169" s="423" t="str">
        <f>IF(H169&lt;&gt;0,VLOOKUP(H169,Геология!$D$7:$BO$993,27,FALSE)," ")</f>
        <v xml:space="preserve"> </v>
      </c>
      <c r="R169" s="431" t="str">
        <f t="shared" ref="R169" si="68">IF(Q169&lt;&gt;" ",Q169*M169," ")</f>
        <v xml:space="preserve"> </v>
      </c>
      <c r="S169" s="240"/>
    </row>
    <row r="170" spans="7:19">
      <c r="G170" s="405"/>
      <c r="H170" s="364"/>
      <c r="I170" s="364"/>
      <c r="J170" s="425"/>
      <c r="K170" s="364"/>
      <c r="L170" s="364"/>
      <c r="M170" s="421"/>
      <c r="N170" s="382"/>
      <c r="O170" s="420"/>
      <c r="P170" s="240"/>
      <c r="Q170" s="423"/>
      <c r="R170" s="420"/>
      <c r="S170" s="240"/>
    </row>
    <row r="171" spans="7:19">
      <c r="G171" s="405"/>
      <c r="H171" s="364"/>
      <c r="I171" s="364"/>
      <c r="J171" s="425"/>
      <c r="K171" s="364"/>
      <c r="L171" s="364"/>
      <c r="M171" s="421"/>
      <c r="N171" s="382"/>
      <c r="O171" s="420"/>
      <c r="P171" s="240"/>
      <c r="Q171" s="423"/>
      <c r="R171" s="420"/>
      <c r="S171" s="240"/>
    </row>
    <row r="172" spans="7:19">
      <c r="G172" s="405"/>
      <c r="H172" s="364"/>
      <c r="I172" s="364"/>
      <c r="J172" s="425"/>
      <c r="K172" s="364"/>
      <c r="L172" s="364"/>
      <c r="M172" s="421"/>
      <c r="N172" s="382"/>
      <c r="O172" s="420"/>
      <c r="P172" s="240"/>
      <c r="Q172" s="423"/>
      <c r="R172" s="420"/>
      <c r="S172" s="240"/>
    </row>
    <row r="173" spans="7:19">
      <c r="G173" s="405"/>
      <c r="H173" s="364"/>
      <c r="I173" s="364"/>
      <c r="J173" s="425"/>
      <c r="K173" s="364"/>
      <c r="L173" s="364"/>
      <c r="M173" s="421"/>
      <c r="N173" s="382"/>
      <c r="O173" s="420"/>
      <c r="P173" s="240"/>
      <c r="Q173" s="423"/>
      <c r="R173" s="420"/>
      <c r="S173" s="240"/>
    </row>
    <row r="174" spans="7:19">
      <c r="G174" s="405"/>
      <c r="H174" s="364"/>
      <c r="I174" s="364"/>
      <c r="J174" s="425"/>
      <c r="K174" s="364"/>
      <c r="L174" s="364"/>
      <c r="M174" s="421"/>
      <c r="N174" s="382"/>
      <c r="O174" s="420"/>
      <c r="P174" s="240"/>
      <c r="Q174" s="423"/>
      <c r="R174" s="420"/>
      <c r="S174" s="240"/>
    </row>
    <row r="175" spans="7:19">
      <c r="G175" s="405"/>
      <c r="H175" s="364"/>
      <c r="I175" s="364"/>
      <c r="J175" s="425"/>
      <c r="K175" s="364"/>
      <c r="L175" s="364"/>
      <c r="M175" s="421"/>
      <c r="N175" s="382"/>
      <c r="O175" s="420"/>
      <c r="P175" s="240"/>
      <c r="Q175" s="423"/>
      <c r="R175" s="420"/>
      <c r="S175" s="240"/>
    </row>
    <row r="176" spans="7:19">
      <c r="G176" s="405"/>
      <c r="H176" s="364"/>
      <c r="I176" s="364"/>
      <c r="J176" s="425"/>
      <c r="K176" s="364"/>
      <c r="L176" s="364"/>
      <c r="M176" s="421"/>
      <c r="N176" s="382"/>
      <c r="O176" s="420"/>
      <c r="P176" s="240"/>
      <c r="Q176" s="423"/>
      <c r="R176" s="420"/>
      <c r="S176" s="240"/>
    </row>
    <row r="177" spans="7:19">
      <c r="G177" s="405"/>
      <c r="H177" s="364"/>
      <c r="I177" s="364"/>
      <c r="J177" s="425"/>
      <c r="K177" s="364"/>
      <c r="L177" s="364"/>
      <c r="M177" s="421"/>
      <c r="N177" s="382"/>
      <c r="O177" s="420"/>
      <c r="P177" s="240"/>
      <c r="Q177" s="423"/>
      <c r="R177" s="420"/>
      <c r="S177" s="240"/>
    </row>
    <row r="178" spans="7:19">
      <c r="G178" s="405"/>
      <c r="H178" s="364"/>
      <c r="I178" s="364"/>
      <c r="J178" s="425"/>
      <c r="K178" s="364"/>
      <c r="L178" s="364"/>
      <c r="M178" s="421"/>
      <c r="N178" s="382"/>
      <c r="O178" s="420"/>
      <c r="P178" s="240"/>
      <c r="Q178" s="423"/>
      <c r="R178" s="420"/>
      <c r="S178" s="240"/>
    </row>
    <row r="179" spans="7:19">
      <c r="G179" s="405"/>
      <c r="H179" s="364"/>
      <c r="I179" s="364"/>
      <c r="J179" s="425"/>
      <c r="K179" s="364"/>
      <c r="L179" s="364"/>
      <c r="M179" s="421"/>
      <c r="N179" s="382"/>
      <c r="O179" s="420"/>
      <c r="P179" s="240"/>
      <c r="Q179" s="423"/>
      <c r="R179" s="420"/>
      <c r="S179" s="240"/>
    </row>
    <row r="180" spans="7:19">
      <c r="G180" s="405"/>
      <c r="H180" s="364"/>
      <c r="I180" s="364"/>
      <c r="J180" s="425"/>
      <c r="K180" s="364"/>
      <c r="L180" s="364"/>
      <c r="M180" s="421"/>
      <c r="N180" s="382"/>
      <c r="O180" s="420"/>
      <c r="P180" s="240"/>
      <c r="Q180" s="423"/>
      <c r="R180" s="420"/>
      <c r="S180" s="240"/>
    </row>
    <row r="181" spans="7:19">
      <c r="G181" s="405"/>
      <c r="H181" s="364"/>
      <c r="I181" s="364"/>
      <c r="J181" s="425"/>
      <c r="K181" s="364"/>
      <c r="L181" s="364"/>
      <c r="M181" s="421"/>
      <c r="N181" s="382"/>
      <c r="O181" s="420"/>
      <c r="P181" s="240"/>
      <c r="Q181" s="423"/>
      <c r="R181" s="420"/>
      <c r="S181" s="240"/>
    </row>
    <row r="182" spans="7:19">
      <c r="G182" s="405"/>
      <c r="H182" s="364"/>
      <c r="I182" s="364"/>
      <c r="J182" s="425"/>
      <c r="K182" s="364"/>
      <c r="L182" s="364"/>
      <c r="M182" s="421"/>
      <c r="N182" s="382"/>
      <c r="O182" s="420"/>
      <c r="P182" s="240"/>
      <c r="Q182" s="423"/>
      <c r="R182" s="420"/>
      <c r="S182" s="240"/>
    </row>
    <row r="183" spans="7:19">
      <c r="G183" s="405"/>
      <c r="H183" s="364"/>
      <c r="I183" s="364"/>
      <c r="J183" s="425"/>
      <c r="K183" s="364"/>
      <c r="L183" s="364"/>
      <c r="M183" s="421"/>
      <c r="N183" s="382"/>
      <c r="O183" s="420"/>
      <c r="P183" s="240"/>
      <c r="Q183" s="423"/>
      <c r="R183" s="420"/>
      <c r="S183" s="240"/>
    </row>
    <row r="184" spans="7:19">
      <c r="G184" s="405"/>
      <c r="H184" s="364"/>
      <c r="I184" s="364"/>
      <c r="J184" s="425"/>
      <c r="K184" s="364"/>
      <c r="L184" s="364"/>
      <c r="M184" s="421"/>
      <c r="N184" s="382"/>
      <c r="O184" s="420"/>
      <c r="P184" s="240"/>
      <c r="Q184" s="423"/>
      <c r="R184" s="420"/>
      <c r="S184" s="240"/>
    </row>
    <row r="185" spans="7:19">
      <c r="G185" s="405"/>
      <c r="H185" s="364"/>
      <c r="I185" s="364"/>
      <c r="J185" s="425"/>
      <c r="K185" s="364"/>
      <c r="L185" s="364"/>
      <c r="M185" s="421"/>
      <c r="N185" s="382"/>
      <c r="O185" s="420"/>
      <c r="P185" s="240"/>
      <c r="Q185" s="423"/>
      <c r="R185" s="420"/>
      <c r="S185" s="240"/>
    </row>
    <row r="186" spans="7:19">
      <c r="G186" s="405"/>
      <c r="H186" s="364"/>
      <c r="I186" s="364"/>
      <c r="J186" s="425"/>
      <c r="K186" s="364"/>
      <c r="L186" s="364"/>
      <c r="M186" s="421"/>
      <c r="N186" s="382"/>
      <c r="O186" s="420"/>
      <c r="P186" s="240"/>
      <c r="Q186" s="423"/>
      <c r="R186" s="420"/>
      <c r="S186" s="240"/>
    </row>
    <row r="187" spans="7:19">
      <c r="G187" s="405"/>
      <c r="H187" s="364"/>
      <c r="I187" s="364"/>
      <c r="J187" s="425"/>
      <c r="K187" s="364"/>
      <c r="L187" s="364"/>
      <c r="M187" s="421"/>
      <c r="N187" s="382"/>
      <c r="O187" s="420"/>
      <c r="P187" s="240"/>
      <c r="Q187" s="423"/>
      <c r="R187" s="420"/>
      <c r="S187" s="240"/>
    </row>
    <row r="188" spans="7:19" ht="15.75" thickBot="1">
      <c r="G188" s="405"/>
      <c r="H188" s="364"/>
      <c r="I188" s="364"/>
      <c r="J188" s="425"/>
      <c r="K188" s="364"/>
      <c r="L188" s="364"/>
      <c r="M188" s="421"/>
      <c r="N188" s="382"/>
      <c r="O188" s="420"/>
      <c r="P188" s="240"/>
      <c r="Q188" s="423"/>
      <c r="R188" s="420"/>
      <c r="S188" s="240"/>
    </row>
    <row r="189" spans="7:19">
      <c r="G189" s="404">
        <f t="shared" ref="G189" si="69">G169+1</f>
        <v>19</v>
      </c>
      <c r="H189" s="388">
        <f>IF(G189&lt;&gt;0,VLOOKUP('Осадка куста'!$G189,Скважина!$E$8:$K$33,2,FALSE),0)</f>
        <v>0</v>
      </c>
      <c r="I189" s="364" t="e">
        <f>IF(G189&lt;&gt;0,VLOOKUP(H189,Геология!$D$7:$BO$993,7,FALSE),0)</f>
        <v>#N/A</v>
      </c>
      <c r="J189" s="425" t="e">
        <f>IF(G189&lt;&gt;0,VLOOKUP(H189,Геология!$D$7:$BO$993,23,FALSE),0)</f>
        <v>#N/A</v>
      </c>
      <c r="K189" s="364">
        <f>VLOOKUP(G189,Скважина!$E$8:$L$27,4)</f>
        <v>0</v>
      </c>
      <c r="L189" s="388">
        <f t="shared" ref="L189" si="70">IF(K209&lt;$B$21,$B$21,K209)</f>
        <v>112.8</v>
      </c>
      <c r="M189" s="421">
        <f t="shared" ref="M189" si="71">IF(IF(H189&lt;&gt;0,K189-L189,0)&lt;0,0,IF(H189&lt;&gt;0,K189-L189,0))</f>
        <v>0</v>
      </c>
      <c r="N189" s="382" t="str">
        <f>IF(H189&lt;&gt;0,VLOOKUP(H189,Геология!$D$7:$BO$993,24,FALSE)," ")</f>
        <v xml:space="preserve"> </v>
      </c>
      <c r="O189" s="420" t="str">
        <f t="shared" ref="O189" si="72">IF(N189&lt;&gt;" ",N189*M189," ")</f>
        <v xml:space="preserve"> </v>
      </c>
      <c r="P189" s="240"/>
      <c r="Q189" s="423" t="str">
        <f>IF(H189&lt;&gt;0,VLOOKUP(H189,Геология!$D$7:$BO$993,27,FALSE)," ")</f>
        <v xml:space="preserve"> </v>
      </c>
      <c r="R189" s="431" t="str">
        <f t="shared" ref="R189" si="73">IF(Q189&lt;&gt;" ",Q189*M189," ")</f>
        <v xml:space="preserve"> </v>
      </c>
      <c r="S189" s="240"/>
    </row>
    <row r="190" spans="7:19">
      <c r="G190" s="405"/>
      <c r="H190" s="364"/>
      <c r="I190" s="364"/>
      <c r="J190" s="425"/>
      <c r="K190" s="364"/>
      <c r="L190" s="364"/>
      <c r="M190" s="421"/>
      <c r="N190" s="382"/>
      <c r="O190" s="420"/>
      <c r="P190" s="240"/>
      <c r="Q190" s="423"/>
      <c r="R190" s="420"/>
      <c r="S190" s="240"/>
    </row>
    <row r="191" spans="7:19">
      <c r="G191" s="405"/>
      <c r="H191" s="364"/>
      <c r="I191" s="364"/>
      <c r="J191" s="425"/>
      <c r="K191" s="364"/>
      <c r="L191" s="364"/>
      <c r="M191" s="421"/>
      <c r="N191" s="382"/>
      <c r="O191" s="420"/>
      <c r="P191" s="240"/>
      <c r="Q191" s="423"/>
      <c r="R191" s="420"/>
      <c r="S191" s="240"/>
    </row>
    <row r="192" spans="7:19">
      <c r="G192" s="405"/>
      <c r="H192" s="364"/>
      <c r="I192" s="364"/>
      <c r="J192" s="425"/>
      <c r="K192" s="364"/>
      <c r="L192" s="364"/>
      <c r="M192" s="421"/>
      <c r="N192" s="382"/>
      <c r="O192" s="420"/>
      <c r="P192" s="240"/>
      <c r="Q192" s="423"/>
      <c r="R192" s="420"/>
      <c r="S192" s="240"/>
    </row>
    <row r="193" spans="7:19">
      <c r="G193" s="405"/>
      <c r="H193" s="364"/>
      <c r="I193" s="364"/>
      <c r="J193" s="425"/>
      <c r="K193" s="364"/>
      <c r="L193" s="364"/>
      <c r="M193" s="421"/>
      <c r="N193" s="382"/>
      <c r="O193" s="420"/>
      <c r="P193" s="240"/>
      <c r="Q193" s="423"/>
      <c r="R193" s="420"/>
      <c r="S193" s="240"/>
    </row>
    <row r="194" spans="7:19">
      <c r="G194" s="405"/>
      <c r="H194" s="364"/>
      <c r="I194" s="364"/>
      <c r="J194" s="425"/>
      <c r="K194" s="364"/>
      <c r="L194" s="364"/>
      <c r="M194" s="421"/>
      <c r="N194" s="382"/>
      <c r="O194" s="420"/>
      <c r="P194" s="240"/>
      <c r="Q194" s="423"/>
      <c r="R194" s="420"/>
      <c r="S194" s="240"/>
    </row>
    <row r="195" spans="7:19">
      <c r="G195" s="405"/>
      <c r="H195" s="364"/>
      <c r="I195" s="364"/>
      <c r="J195" s="425"/>
      <c r="K195" s="364"/>
      <c r="L195" s="364"/>
      <c r="M195" s="421"/>
      <c r="N195" s="382"/>
      <c r="O195" s="420"/>
      <c r="P195" s="240"/>
      <c r="Q195" s="423"/>
      <c r="R195" s="420"/>
      <c r="S195" s="240"/>
    </row>
    <row r="196" spans="7:19">
      <c r="G196" s="405"/>
      <c r="H196" s="364"/>
      <c r="I196" s="364"/>
      <c r="J196" s="425"/>
      <c r="K196" s="364"/>
      <c r="L196" s="364"/>
      <c r="M196" s="421"/>
      <c r="N196" s="382"/>
      <c r="O196" s="420"/>
      <c r="P196" s="240"/>
      <c r="Q196" s="423"/>
      <c r="R196" s="420"/>
      <c r="S196" s="240"/>
    </row>
    <row r="197" spans="7:19">
      <c r="G197" s="405"/>
      <c r="H197" s="364"/>
      <c r="I197" s="364"/>
      <c r="J197" s="425"/>
      <c r="K197" s="364"/>
      <c r="L197" s="364"/>
      <c r="M197" s="421"/>
      <c r="N197" s="382"/>
      <c r="O197" s="420"/>
      <c r="P197" s="240"/>
      <c r="Q197" s="423"/>
      <c r="R197" s="420"/>
      <c r="S197" s="240"/>
    </row>
    <row r="198" spans="7:19">
      <c r="G198" s="405"/>
      <c r="H198" s="364"/>
      <c r="I198" s="364"/>
      <c r="J198" s="425"/>
      <c r="K198" s="364"/>
      <c r="L198" s="364"/>
      <c r="M198" s="421"/>
      <c r="N198" s="382"/>
      <c r="O198" s="420"/>
      <c r="P198" s="240"/>
      <c r="Q198" s="423"/>
      <c r="R198" s="420"/>
      <c r="S198" s="240"/>
    </row>
    <row r="199" spans="7:19">
      <c r="G199" s="405"/>
      <c r="H199" s="364"/>
      <c r="I199" s="364"/>
      <c r="J199" s="425"/>
      <c r="K199" s="364"/>
      <c r="L199" s="364"/>
      <c r="M199" s="421"/>
      <c r="N199" s="382"/>
      <c r="O199" s="420"/>
      <c r="P199" s="240"/>
      <c r="Q199" s="423"/>
      <c r="R199" s="420"/>
      <c r="S199" s="240"/>
    </row>
    <row r="200" spans="7:19">
      <c r="G200" s="405"/>
      <c r="H200" s="364"/>
      <c r="I200" s="364"/>
      <c r="J200" s="425"/>
      <c r="K200" s="364"/>
      <c r="L200" s="364"/>
      <c r="M200" s="421"/>
      <c r="N200" s="382"/>
      <c r="O200" s="420"/>
      <c r="P200" s="240"/>
      <c r="Q200" s="423"/>
      <c r="R200" s="420"/>
      <c r="S200" s="240"/>
    </row>
    <row r="201" spans="7:19">
      <c r="G201" s="405"/>
      <c r="H201" s="364"/>
      <c r="I201" s="364"/>
      <c r="J201" s="425"/>
      <c r="K201" s="364"/>
      <c r="L201" s="364"/>
      <c r="M201" s="421"/>
      <c r="N201" s="382"/>
      <c r="O201" s="420"/>
      <c r="P201" s="240"/>
      <c r="Q201" s="423"/>
      <c r="R201" s="420"/>
      <c r="S201" s="240"/>
    </row>
    <row r="202" spans="7:19">
      <c r="G202" s="405"/>
      <c r="H202" s="364"/>
      <c r="I202" s="364"/>
      <c r="J202" s="425"/>
      <c r="K202" s="364"/>
      <c r="L202" s="364"/>
      <c r="M202" s="421"/>
      <c r="N202" s="382"/>
      <c r="O202" s="420"/>
      <c r="P202" s="240"/>
      <c r="Q202" s="423"/>
      <c r="R202" s="420"/>
      <c r="S202" s="240"/>
    </row>
    <row r="203" spans="7:19">
      <c r="G203" s="405"/>
      <c r="H203" s="364"/>
      <c r="I203" s="364"/>
      <c r="J203" s="425"/>
      <c r="K203" s="364"/>
      <c r="L203" s="364"/>
      <c r="M203" s="421"/>
      <c r="N203" s="382"/>
      <c r="O203" s="420"/>
      <c r="P203" s="240"/>
      <c r="Q203" s="423"/>
      <c r="R203" s="420"/>
      <c r="S203" s="240"/>
    </row>
    <row r="204" spans="7:19">
      <c r="G204" s="405"/>
      <c r="H204" s="364"/>
      <c r="I204" s="364"/>
      <c r="J204" s="425"/>
      <c r="K204" s="364"/>
      <c r="L204" s="364"/>
      <c r="M204" s="421"/>
      <c r="N204" s="382"/>
      <c r="O204" s="420"/>
      <c r="P204" s="240"/>
      <c r="Q204" s="423"/>
      <c r="R204" s="420"/>
      <c r="S204" s="240"/>
    </row>
    <row r="205" spans="7:19">
      <c r="G205" s="405"/>
      <c r="H205" s="364"/>
      <c r="I205" s="364"/>
      <c r="J205" s="425"/>
      <c r="K205" s="364"/>
      <c r="L205" s="364"/>
      <c r="M205" s="421"/>
      <c r="N205" s="382"/>
      <c r="O205" s="420"/>
      <c r="P205" s="240"/>
      <c r="Q205" s="423"/>
      <c r="R205" s="420"/>
      <c r="S205" s="240"/>
    </row>
    <row r="206" spans="7:19">
      <c r="G206" s="405"/>
      <c r="H206" s="364"/>
      <c r="I206" s="364"/>
      <c r="J206" s="425"/>
      <c r="K206" s="364"/>
      <c r="L206" s="364"/>
      <c r="M206" s="421"/>
      <c r="N206" s="382"/>
      <c r="O206" s="420"/>
      <c r="P206" s="240"/>
      <c r="Q206" s="423"/>
      <c r="R206" s="420"/>
      <c r="S206" s="240"/>
    </row>
    <row r="207" spans="7:19">
      <c r="G207" s="405"/>
      <c r="H207" s="364"/>
      <c r="I207" s="364"/>
      <c r="J207" s="425"/>
      <c r="K207" s="364"/>
      <c r="L207" s="364"/>
      <c r="M207" s="421"/>
      <c r="N207" s="382"/>
      <c r="O207" s="420"/>
      <c r="P207" s="240"/>
      <c r="Q207" s="423"/>
      <c r="R207" s="420"/>
      <c r="S207" s="240"/>
    </row>
    <row r="208" spans="7:19" ht="15.75" thickBot="1">
      <c r="G208" s="405"/>
      <c r="H208" s="364"/>
      <c r="I208" s="364"/>
      <c r="J208" s="425"/>
      <c r="K208" s="364"/>
      <c r="L208" s="364"/>
      <c r="M208" s="421"/>
      <c r="N208" s="382"/>
      <c r="O208" s="420"/>
      <c r="P208" s="240"/>
      <c r="Q208" s="423"/>
      <c r="R208" s="420"/>
      <c r="S208" s="240"/>
    </row>
    <row r="209" spans="7:19">
      <c r="G209" s="404">
        <f t="shared" ref="G209" si="74">G189+1</f>
        <v>20</v>
      </c>
      <c r="H209" s="388">
        <f>IF(G209&lt;&gt;0,VLOOKUP('Осадка куста'!$G209,Скважина!$E$8:$K$33,2,FALSE),0)</f>
        <v>0</v>
      </c>
      <c r="I209" s="364" t="e">
        <f>IF(G209&lt;&gt;0,VLOOKUP(H209,Геология!$D$7:$BO$993,7,FALSE),0)</f>
        <v>#N/A</v>
      </c>
      <c r="J209" s="425" t="e">
        <f>IF(G209&lt;&gt;0,VLOOKUP(H209,Геология!$D$7:$BO$993,23,FALSE),0)</f>
        <v>#N/A</v>
      </c>
      <c r="K209" s="364">
        <f>VLOOKUP(G209,Скважина!$E$8:$L$27,4)</f>
        <v>0</v>
      </c>
      <c r="L209" s="388">
        <f t="shared" ref="L209" si="75">IF(K229&lt;$B$21,$B$21,K229)</f>
        <v>112.8</v>
      </c>
      <c r="M209" s="421">
        <f t="shared" ref="M209" si="76">IF(IF(H209&lt;&gt;0,K209-L209,0)&lt;0,0,IF(H209&lt;&gt;0,K209-L209,0))</f>
        <v>0</v>
      </c>
      <c r="N209" s="382" t="str">
        <f>IF(H209&lt;&gt;0,VLOOKUP(H209,Геология!$D$7:$BO$993,24,FALSE)," ")</f>
        <v xml:space="preserve"> </v>
      </c>
      <c r="O209" s="420" t="str">
        <f t="shared" ref="O209" si="77">IF(N209&lt;&gt;" ",N209*M209," ")</f>
        <v xml:space="preserve"> </v>
      </c>
      <c r="P209" s="240"/>
      <c r="Q209" s="423" t="str">
        <f>IF(H209&lt;&gt;0,VLOOKUP(H209,Геология!$D$7:$BO$993,27,FALSE)," ")</f>
        <v xml:space="preserve"> </v>
      </c>
      <c r="R209" s="431" t="str">
        <f t="shared" ref="R209" si="78">IF(Q209&lt;&gt;" ",Q209*M209," ")</f>
        <v xml:space="preserve"> </v>
      </c>
      <c r="S209" s="240"/>
    </row>
    <row r="210" spans="7:19">
      <c r="G210" s="405"/>
      <c r="H210" s="364"/>
      <c r="I210" s="364"/>
      <c r="J210" s="425"/>
      <c r="K210" s="364"/>
      <c r="L210" s="364"/>
      <c r="M210" s="421"/>
      <c r="N210" s="382"/>
      <c r="O210" s="420"/>
      <c r="P210" s="240"/>
      <c r="Q210" s="423"/>
      <c r="R210" s="420"/>
      <c r="S210" s="240"/>
    </row>
    <row r="211" spans="7:19">
      <c r="G211" s="405"/>
      <c r="H211" s="364"/>
      <c r="I211" s="364"/>
      <c r="J211" s="425"/>
      <c r="K211" s="364"/>
      <c r="L211" s="364"/>
      <c r="M211" s="421"/>
      <c r="N211" s="382"/>
      <c r="O211" s="420"/>
      <c r="P211" s="240"/>
      <c r="Q211" s="423"/>
      <c r="R211" s="420"/>
      <c r="S211" s="240"/>
    </row>
    <row r="212" spans="7:19">
      <c r="G212" s="405"/>
      <c r="H212" s="364"/>
      <c r="I212" s="364"/>
      <c r="J212" s="425"/>
      <c r="K212" s="364"/>
      <c r="L212" s="364"/>
      <c r="M212" s="421"/>
      <c r="N212" s="382"/>
      <c r="O212" s="420"/>
      <c r="P212" s="240"/>
      <c r="Q212" s="423"/>
      <c r="R212" s="420"/>
      <c r="S212" s="240"/>
    </row>
    <row r="213" spans="7:19">
      <c r="G213" s="405"/>
      <c r="H213" s="364"/>
      <c r="I213" s="364"/>
      <c r="J213" s="425"/>
      <c r="K213" s="364"/>
      <c r="L213" s="364"/>
      <c r="M213" s="421"/>
      <c r="N213" s="382"/>
      <c r="O213" s="420"/>
      <c r="P213" s="240"/>
      <c r="Q213" s="423"/>
      <c r="R213" s="420"/>
      <c r="S213" s="240"/>
    </row>
    <row r="214" spans="7:19">
      <c r="G214" s="405"/>
      <c r="H214" s="364"/>
      <c r="I214" s="364"/>
      <c r="J214" s="425"/>
      <c r="K214" s="364"/>
      <c r="L214" s="364"/>
      <c r="M214" s="421"/>
      <c r="N214" s="382"/>
      <c r="O214" s="420"/>
      <c r="P214" s="240"/>
      <c r="Q214" s="423"/>
      <c r="R214" s="420"/>
      <c r="S214" s="240"/>
    </row>
    <row r="215" spans="7:19">
      <c r="G215" s="405"/>
      <c r="H215" s="364"/>
      <c r="I215" s="364"/>
      <c r="J215" s="425"/>
      <c r="K215" s="364"/>
      <c r="L215" s="364"/>
      <c r="M215" s="421"/>
      <c r="N215" s="382"/>
      <c r="O215" s="420"/>
      <c r="P215" s="240"/>
      <c r="Q215" s="423"/>
      <c r="R215" s="420"/>
      <c r="S215" s="240"/>
    </row>
    <row r="216" spans="7:19">
      <c r="G216" s="405"/>
      <c r="H216" s="364"/>
      <c r="I216" s="364"/>
      <c r="J216" s="425"/>
      <c r="K216" s="364"/>
      <c r="L216" s="364"/>
      <c r="M216" s="421"/>
      <c r="N216" s="382"/>
      <c r="O216" s="420"/>
      <c r="P216" s="240"/>
      <c r="Q216" s="423"/>
      <c r="R216" s="420"/>
      <c r="S216" s="240"/>
    </row>
    <row r="217" spans="7:19">
      <c r="G217" s="405"/>
      <c r="H217" s="364"/>
      <c r="I217" s="364"/>
      <c r="J217" s="425"/>
      <c r="K217" s="364"/>
      <c r="L217" s="364"/>
      <c r="M217" s="421"/>
      <c r="N217" s="382"/>
      <c r="O217" s="420"/>
      <c r="P217" s="240"/>
      <c r="Q217" s="423"/>
      <c r="R217" s="420"/>
      <c r="S217" s="240"/>
    </row>
    <row r="218" spans="7:19">
      <c r="G218" s="405"/>
      <c r="H218" s="364"/>
      <c r="I218" s="364"/>
      <c r="J218" s="425"/>
      <c r="K218" s="364"/>
      <c r="L218" s="364"/>
      <c r="M218" s="421"/>
      <c r="N218" s="382"/>
      <c r="O218" s="420"/>
      <c r="P218" s="240"/>
      <c r="Q218" s="423"/>
      <c r="R218" s="420"/>
      <c r="S218" s="240"/>
    </row>
    <row r="219" spans="7:19">
      <c r="G219" s="405"/>
      <c r="H219" s="364"/>
      <c r="I219" s="364"/>
      <c r="J219" s="425"/>
      <c r="K219" s="364"/>
      <c r="L219" s="364"/>
      <c r="M219" s="421"/>
      <c r="N219" s="382"/>
      <c r="O219" s="420"/>
      <c r="P219" s="240"/>
      <c r="Q219" s="423"/>
      <c r="R219" s="420"/>
      <c r="S219" s="240"/>
    </row>
    <row r="220" spans="7:19">
      <c r="G220" s="405"/>
      <c r="H220" s="364"/>
      <c r="I220" s="364"/>
      <c r="J220" s="425"/>
      <c r="K220" s="364"/>
      <c r="L220" s="364"/>
      <c r="M220" s="421"/>
      <c r="N220" s="382"/>
      <c r="O220" s="420"/>
      <c r="P220" s="240"/>
      <c r="Q220" s="423"/>
      <c r="R220" s="420"/>
      <c r="S220" s="240"/>
    </row>
    <row r="221" spans="7:19">
      <c r="G221" s="405"/>
      <c r="H221" s="364"/>
      <c r="I221" s="364"/>
      <c r="J221" s="425"/>
      <c r="K221" s="364"/>
      <c r="L221" s="364"/>
      <c r="M221" s="421"/>
      <c r="N221" s="382"/>
      <c r="O221" s="420"/>
      <c r="P221" s="240"/>
      <c r="Q221" s="423"/>
      <c r="R221" s="420"/>
      <c r="S221" s="240"/>
    </row>
    <row r="222" spans="7:19">
      <c r="G222" s="405"/>
      <c r="H222" s="364"/>
      <c r="I222" s="364"/>
      <c r="J222" s="425"/>
      <c r="K222" s="364"/>
      <c r="L222" s="364"/>
      <c r="M222" s="421"/>
      <c r="N222" s="382"/>
      <c r="O222" s="420"/>
      <c r="P222" s="240"/>
      <c r="Q222" s="423"/>
      <c r="R222" s="420"/>
      <c r="S222" s="240"/>
    </row>
    <row r="223" spans="7:19">
      <c r="G223" s="405"/>
      <c r="H223" s="364"/>
      <c r="I223" s="364"/>
      <c r="J223" s="425"/>
      <c r="K223" s="364"/>
      <c r="L223" s="364"/>
      <c r="M223" s="421"/>
      <c r="N223" s="382"/>
      <c r="O223" s="420"/>
      <c r="P223" s="240"/>
      <c r="Q223" s="423"/>
      <c r="R223" s="420"/>
      <c r="S223" s="240"/>
    </row>
    <row r="224" spans="7:19">
      <c r="G224" s="405"/>
      <c r="H224" s="364"/>
      <c r="I224" s="364"/>
      <c r="J224" s="425"/>
      <c r="K224" s="364"/>
      <c r="L224" s="364"/>
      <c r="M224" s="421"/>
      <c r="N224" s="382"/>
      <c r="O224" s="420"/>
      <c r="P224" s="240"/>
      <c r="Q224" s="423"/>
      <c r="R224" s="420"/>
      <c r="S224" s="240"/>
    </row>
    <row r="225" spans="7:19">
      <c r="G225" s="405"/>
      <c r="H225" s="364"/>
      <c r="I225" s="364"/>
      <c r="J225" s="425"/>
      <c r="K225" s="364"/>
      <c r="L225" s="364"/>
      <c r="M225" s="421"/>
      <c r="N225" s="382"/>
      <c r="O225" s="420"/>
      <c r="P225" s="240"/>
      <c r="Q225" s="423"/>
      <c r="R225" s="420"/>
      <c r="S225" s="240"/>
    </row>
    <row r="226" spans="7:19">
      <c r="G226" s="405"/>
      <c r="H226" s="364"/>
      <c r="I226" s="364"/>
      <c r="J226" s="425"/>
      <c r="K226" s="364"/>
      <c r="L226" s="364"/>
      <c r="M226" s="421"/>
      <c r="N226" s="382"/>
      <c r="O226" s="420"/>
      <c r="P226" s="240"/>
      <c r="Q226" s="423"/>
      <c r="R226" s="420"/>
      <c r="S226" s="240"/>
    </row>
    <row r="227" spans="7:19">
      <c r="G227" s="405"/>
      <c r="H227" s="364"/>
      <c r="I227" s="364"/>
      <c r="J227" s="425"/>
      <c r="K227" s="364"/>
      <c r="L227" s="364"/>
      <c r="M227" s="421"/>
      <c r="N227" s="382"/>
      <c r="O227" s="420"/>
      <c r="P227" s="240"/>
      <c r="Q227" s="423"/>
      <c r="R227" s="420"/>
      <c r="S227" s="240"/>
    </row>
    <row r="228" spans="7:19" ht="15.75" thickBot="1">
      <c r="G228" s="405"/>
      <c r="H228" s="364"/>
      <c r="I228" s="364"/>
      <c r="J228" s="425"/>
      <c r="K228" s="364"/>
      <c r="L228" s="364"/>
      <c r="M228" s="421"/>
      <c r="N228" s="382"/>
      <c r="O228" s="420"/>
      <c r="P228" s="240"/>
      <c r="Q228" s="423"/>
      <c r="R228" s="420"/>
      <c r="S228" s="240"/>
    </row>
    <row r="229" spans="7:19">
      <c r="G229" s="404">
        <f t="shared" ref="G229" si="79">G209+1</f>
        <v>21</v>
      </c>
      <c r="H229" s="388">
        <f>IF(G229&lt;&gt;0,VLOOKUP('Осадка куста'!$G229,Скважина!$E$8:$K$33,2,FALSE),0)</f>
        <v>0</v>
      </c>
      <c r="I229" s="364" t="e">
        <f>IF(G229&lt;&gt;0,VLOOKUP(H229,Геология!$D$7:$BO$993,7,FALSE),0)</f>
        <v>#N/A</v>
      </c>
      <c r="J229" s="425" t="e">
        <f>IF(G229&lt;&gt;0,VLOOKUP(H229,Геология!$D$7:$BO$993,23,FALSE),0)</f>
        <v>#N/A</v>
      </c>
      <c r="K229" s="364">
        <f>VLOOKUP(G229,Скважина!$E$8:$L$27,4)</f>
        <v>0</v>
      </c>
      <c r="L229" s="388">
        <f t="shared" ref="L229" si="80">IF(K249&lt;$B$21,$B$21,K249)</f>
        <v>112.8</v>
      </c>
      <c r="M229" s="421">
        <f t="shared" ref="M229" si="81">IF(IF(H229&lt;&gt;0,K229-L229,0)&lt;0,0,IF(H229&lt;&gt;0,K229-L229,0))</f>
        <v>0</v>
      </c>
      <c r="N229" s="382" t="str">
        <f>IF(H229&lt;&gt;0,VLOOKUP(H229,Геология!$D$7:$BO$993,24,FALSE)," ")</f>
        <v xml:space="preserve"> </v>
      </c>
      <c r="O229" s="420" t="str">
        <f t="shared" ref="O229" si="82">IF(N229&lt;&gt;" ",N229*M229," ")</f>
        <v xml:space="preserve"> </v>
      </c>
      <c r="P229" s="240"/>
      <c r="Q229" s="423" t="str">
        <f>IF(H229&lt;&gt;0,VLOOKUP(H229,Геология!$D$7:$BO$993,27,FALSE)," ")</f>
        <v xml:space="preserve"> </v>
      </c>
      <c r="R229" s="431" t="str">
        <f t="shared" ref="R229" si="83">IF(Q229&lt;&gt;" ",Q229*M229," ")</f>
        <v xml:space="preserve"> </v>
      </c>
      <c r="S229" s="240"/>
    </row>
    <row r="230" spans="7:19">
      <c r="G230" s="405"/>
      <c r="H230" s="364"/>
      <c r="I230" s="364"/>
      <c r="J230" s="425"/>
      <c r="K230" s="364"/>
      <c r="L230" s="364"/>
      <c r="M230" s="421"/>
      <c r="N230" s="382"/>
      <c r="O230" s="420"/>
      <c r="P230" s="240"/>
      <c r="Q230" s="423"/>
      <c r="R230" s="420"/>
      <c r="S230" s="240"/>
    </row>
    <row r="231" spans="7:19">
      <c r="G231" s="405"/>
      <c r="H231" s="364"/>
      <c r="I231" s="364"/>
      <c r="J231" s="425"/>
      <c r="K231" s="364"/>
      <c r="L231" s="364"/>
      <c r="M231" s="421"/>
      <c r="N231" s="382"/>
      <c r="O231" s="420"/>
      <c r="P231" s="240"/>
      <c r="Q231" s="423"/>
      <c r="R231" s="420"/>
      <c r="S231" s="240"/>
    </row>
    <row r="232" spans="7:19">
      <c r="G232" s="405"/>
      <c r="H232" s="364"/>
      <c r="I232" s="364"/>
      <c r="J232" s="425"/>
      <c r="K232" s="364"/>
      <c r="L232" s="364"/>
      <c r="M232" s="421"/>
      <c r="N232" s="382"/>
      <c r="O232" s="420"/>
      <c r="P232" s="240"/>
      <c r="Q232" s="423"/>
      <c r="R232" s="420"/>
      <c r="S232" s="240"/>
    </row>
    <row r="233" spans="7:19">
      <c r="G233" s="405"/>
      <c r="H233" s="364"/>
      <c r="I233" s="364"/>
      <c r="J233" s="425"/>
      <c r="K233" s="364"/>
      <c r="L233" s="364"/>
      <c r="M233" s="421"/>
      <c r="N233" s="382"/>
      <c r="O233" s="420"/>
      <c r="P233" s="240"/>
      <c r="Q233" s="423"/>
      <c r="R233" s="420"/>
      <c r="S233" s="240"/>
    </row>
    <row r="234" spans="7:19">
      <c r="G234" s="405"/>
      <c r="H234" s="364"/>
      <c r="I234" s="364"/>
      <c r="J234" s="425"/>
      <c r="K234" s="364"/>
      <c r="L234" s="364"/>
      <c r="M234" s="421"/>
      <c r="N234" s="382"/>
      <c r="O234" s="420"/>
      <c r="P234" s="240"/>
      <c r="Q234" s="423"/>
      <c r="R234" s="420"/>
      <c r="S234" s="240"/>
    </row>
    <row r="235" spans="7:19">
      <c r="G235" s="405"/>
      <c r="H235" s="364"/>
      <c r="I235" s="364"/>
      <c r="J235" s="425"/>
      <c r="K235" s="364"/>
      <c r="L235" s="364"/>
      <c r="M235" s="421"/>
      <c r="N235" s="382"/>
      <c r="O235" s="420"/>
      <c r="P235" s="240"/>
      <c r="Q235" s="423"/>
      <c r="R235" s="420"/>
      <c r="S235" s="240"/>
    </row>
    <row r="236" spans="7:19">
      <c r="G236" s="405"/>
      <c r="H236" s="364"/>
      <c r="I236" s="364"/>
      <c r="J236" s="425"/>
      <c r="K236" s="364"/>
      <c r="L236" s="364"/>
      <c r="M236" s="421"/>
      <c r="N236" s="382"/>
      <c r="O236" s="420"/>
      <c r="P236" s="240"/>
      <c r="Q236" s="423"/>
      <c r="R236" s="420"/>
      <c r="S236" s="240"/>
    </row>
    <row r="237" spans="7:19">
      <c r="G237" s="405"/>
      <c r="H237" s="364"/>
      <c r="I237" s="364"/>
      <c r="J237" s="425"/>
      <c r="K237" s="364"/>
      <c r="L237" s="364"/>
      <c r="M237" s="421"/>
      <c r="N237" s="382"/>
      <c r="O237" s="420"/>
      <c r="P237" s="240"/>
      <c r="Q237" s="423"/>
      <c r="R237" s="420"/>
      <c r="S237" s="240"/>
    </row>
    <row r="238" spans="7:19">
      <c r="G238" s="405"/>
      <c r="H238" s="364"/>
      <c r="I238" s="364"/>
      <c r="J238" s="425"/>
      <c r="K238" s="364"/>
      <c r="L238" s="364"/>
      <c r="M238" s="421"/>
      <c r="N238" s="382"/>
      <c r="O238" s="420"/>
      <c r="P238" s="240"/>
      <c r="Q238" s="423"/>
      <c r="R238" s="420"/>
      <c r="S238" s="240"/>
    </row>
    <row r="239" spans="7:19">
      <c r="G239" s="405"/>
      <c r="H239" s="364"/>
      <c r="I239" s="364"/>
      <c r="J239" s="425"/>
      <c r="K239" s="364"/>
      <c r="L239" s="364"/>
      <c r="M239" s="421"/>
      <c r="N239" s="382"/>
      <c r="O239" s="420"/>
      <c r="P239" s="240"/>
      <c r="Q239" s="423"/>
      <c r="R239" s="420"/>
      <c r="S239" s="240"/>
    </row>
    <row r="240" spans="7:19">
      <c r="G240" s="405"/>
      <c r="H240" s="364"/>
      <c r="I240" s="364"/>
      <c r="J240" s="425"/>
      <c r="K240" s="364"/>
      <c r="L240" s="364"/>
      <c r="M240" s="421"/>
      <c r="N240" s="382"/>
      <c r="O240" s="420"/>
      <c r="P240" s="240"/>
      <c r="Q240" s="423"/>
      <c r="R240" s="420"/>
      <c r="S240" s="240"/>
    </row>
    <row r="241" spans="7:19">
      <c r="G241" s="405"/>
      <c r="H241" s="364"/>
      <c r="I241" s="364"/>
      <c r="J241" s="425"/>
      <c r="K241" s="364"/>
      <c r="L241" s="364"/>
      <c r="M241" s="421"/>
      <c r="N241" s="382"/>
      <c r="O241" s="420"/>
      <c r="P241" s="240"/>
      <c r="Q241" s="423"/>
      <c r="R241" s="420"/>
      <c r="S241" s="240"/>
    </row>
    <row r="242" spans="7:19">
      <c r="G242" s="405"/>
      <c r="H242" s="364"/>
      <c r="I242" s="364"/>
      <c r="J242" s="425"/>
      <c r="K242" s="364"/>
      <c r="L242" s="364"/>
      <c r="M242" s="421"/>
      <c r="N242" s="382"/>
      <c r="O242" s="420"/>
      <c r="P242" s="240"/>
      <c r="Q242" s="423"/>
      <c r="R242" s="420"/>
      <c r="S242" s="240"/>
    </row>
    <row r="243" spans="7:19">
      <c r="G243" s="405"/>
      <c r="H243" s="364"/>
      <c r="I243" s="364"/>
      <c r="J243" s="425"/>
      <c r="K243" s="364"/>
      <c r="L243" s="364"/>
      <c r="M243" s="421"/>
      <c r="N243" s="382"/>
      <c r="O243" s="420"/>
      <c r="P243" s="240"/>
      <c r="Q243" s="423"/>
      <c r="R243" s="420"/>
      <c r="S243" s="240"/>
    </row>
    <row r="244" spans="7:19">
      <c r="G244" s="405"/>
      <c r="H244" s="364"/>
      <c r="I244" s="364"/>
      <c r="J244" s="425"/>
      <c r="K244" s="364"/>
      <c r="L244" s="364"/>
      <c r="M244" s="421"/>
      <c r="N244" s="382"/>
      <c r="O244" s="420"/>
      <c r="P244" s="240"/>
      <c r="Q244" s="423"/>
      <c r="R244" s="420"/>
      <c r="S244" s="240"/>
    </row>
    <row r="245" spans="7:19">
      <c r="G245" s="405"/>
      <c r="H245" s="364"/>
      <c r="I245" s="364"/>
      <c r="J245" s="425"/>
      <c r="K245" s="364"/>
      <c r="L245" s="364"/>
      <c r="M245" s="421"/>
      <c r="N245" s="382"/>
      <c r="O245" s="420"/>
      <c r="P245" s="240"/>
      <c r="Q245" s="423"/>
      <c r="R245" s="420"/>
      <c r="S245" s="240"/>
    </row>
    <row r="246" spans="7:19">
      <c r="G246" s="405"/>
      <c r="H246" s="364"/>
      <c r="I246" s="364"/>
      <c r="J246" s="425"/>
      <c r="K246" s="364"/>
      <c r="L246" s="364"/>
      <c r="M246" s="421"/>
      <c r="N246" s="382"/>
      <c r="O246" s="420"/>
      <c r="P246" s="240"/>
      <c r="Q246" s="423"/>
      <c r="R246" s="420"/>
      <c r="S246" s="240"/>
    </row>
    <row r="247" spans="7:19">
      <c r="G247" s="405"/>
      <c r="H247" s="364"/>
      <c r="I247" s="364"/>
      <c r="J247" s="425"/>
      <c r="K247" s="364"/>
      <c r="L247" s="364"/>
      <c r="M247" s="421"/>
      <c r="N247" s="382"/>
      <c r="O247" s="420"/>
      <c r="P247" s="240"/>
      <c r="Q247" s="423"/>
      <c r="R247" s="420"/>
      <c r="S247" s="240"/>
    </row>
    <row r="248" spans="7:19" ht="15.75" thickBot="1">
      <c r="G248" s="405"/>
      <c r="H248" s="364"/>
      <c r="I248" s="364"/>
      <c r="J248" s="425"/>
      <c r="K248" s="364"/>
      <c r="L248" s="364"/>
      <c r="M248" s="421"/>
      <c r="N248" s="382"/>
      <c r="O248" s="420"/>
      <c r="P248" s="240"/>
      <c r="Q248" s="423"/>
      <c r="R248" s="420"/>
      <c r="S248" s="240"/>
    </row>
    <row r="249" spans="7:19">
      <c r="G249" s="404">
        <f t="shared" ref="G249" si="84">G229+1</f>
        <v>22</v>
      </c>
      <c r="H249" s="388">
        <f>IF(G249&lt;&gt;0,VLOOKUP('Осадка куста'!$G249,Скважина!$E$8:$K$33,2,FALSE),0)</f>
        <v>0</v>
      </c>
      <c r="I249" s="364" t="e">
        <f>IF(G249&lt;&gt;0,VLOOKUP(H249,Геология!$D$7:$BO$993,7,FALSE),0)</f>
        <v>#N/A</v>
      </c>
      <c r="J249" s="425" t="e">
        <f>IF(G249&lt;&gt;0,VLOOKUP(H249,Геология!$D$7:$BO$993,23,FALSE),0)</f>
        <v>#N/A</v>
      </c>
      <c r="K249" s="364">
        <f>VLOOKUP(G249,Скважина!$E$8:$L$27,4)</f>
        <v>0</v>
      </c>
      <c r="L249" s="388">
        <f t="shared" ref="L249" si="85">IF(K269&lt;$B$21,$B$21,K269)</f>
        <v>112.8</v>
      </c>
      <c r="M249" s="421">
        <f t="shared" ref="M249" si="86">IF(IF(H249&lt;&gt;0,K249-L249,0)&lt;0,0,IF(H249&lt;&gt;0,K249-L249,0))</f>
        <v>0</v>
      </c>
      <c r="N249" s="382" t="str">
        <f>IF(H249&lt;&gt;0,VLOOKUP(H249,Геология!$D$7:$BO$993,24,FALSE)," ")</f>
        <v xml:space="preserve"> </v>
      </c>
      <c r="O249" s="420" t="str">
        <f t="shared" ref="O249" si="87">IF(N249&lt;&gt;" ",N249*M249," ")</f>
        <v xml:space="preserve"> </v>
      </c>
      <c r="P249" s="240"/>
      <c r="Q249" s="423" t="str">
        <f>IF(H249&lt;&gt;0,VLOOKUP(H249,Геология!$D$7:$BO$993,27,FALSE)," ")</f>
        <v xml:space="preserve"> </v>
      </c>
      <c r="R249" s="431" t="str">
        <f t="shared" ref="R249" si="88">IF(Q249&lt;&gt;" ",Q249*M249," ")</f>
        <v xml:space="preserve"> </v>
      </c>
      <c r="S249" s="240"/>
    </row>
    <row r="250" spans="7:19">
      <c r="G250" s="405"/>
      <c r="H250" s="364"/>
      <c r="I250" s="364"/>
      <c r="J250" s="425"/>
      <c r="K250" s="364"/>
      <c r="L250" s="364"/>
      <c r="M250" s="421"/>
      <c r="N250" s="382"/>
      <c r="O250" s="420"/>
      <c r="P250" s="240"/>
      <c r="Q250" s="423"/>
      <c r="R250" s="420"/>
      <c r="S250" s="240"/>
    </row>
    <row r="251" spans="7:19">
      <c r="G251" s="405"/>
      <c r="H251" s="364"/>
      <c r="I251" s="364"/>
      <c r="J251" s="425"/>
      <c r="K251" s="364"/>
      <c r="L251" s="364"/>
      <c r="M251" s="421"/>
      <c r="N251" s="382"/>
      <c r="O251" s="420"/>
      <c r="P251" s="240"/>
      <c r="Q251" s="423"/>
      <c r="R251" s="420"/>
      <c r="S251" s="240"/>
    </row>
    <row r="252" spans="7:19">
      <c r="G252" s="405"/>
      <c r="H252" s="364"/>
      <c r="I252" s="364"/>
      <c r="J252" s="425"/>
      <c r="K252" s="364"/>
      <c r="L252" s="364"/>
      <c r="M252" s="421"/>
      <c r="N252" s="382"/>
      <c r="O252" s="420"/>
      <c r="P252" s="240"/>
      <c r="Q252" s="423"/>
      <c r="R252" s="420"/>
      <c r="S252" s="240"/>
    </row>
    <row r="253" spans="7:19">
      <c r="G253" s="405"/>
      <c r="H253" s="364"/>
      <c r="I253" s="364"/>
      <c r="J253" s="425"/>
      <c r="K253" s="364"/>
      <c r="L253" s="364"/>
      <c r="M253" s="421"/>
      <c r="N253" s="382"/>
      <c r="O253" s="420"/>
      <c r="P253" s="240"/>
      <c r="Q253" s="423"/>
      <c r="R253" s="420"/>
      <c r="S253" s="240"/>
    </row>
    <row r="254" spans="7:19">
      <c r="G254" s="405"/>
      <c r="H254" s="364"/>
      <c r="I254" s="364"/>
      <c r="J254" s="425"/>
      <c r="K254" s="364"/>
      <c r="L254" s="364"/>
      <c r="M254" s="421"/>
      <c r="N254" s="382"/>
      <c r="O254" s="420"/>
      <c r="P254" s="240"/>
      <c r="Q254" s="423"/>
      <c r="R254" s="420"/>
      <c r="S254" s="240"/>
    </row>
    <row r="255" spans="7:19">
      <c r="G255" s="405"/>
      <c r="H255" s="364"/>
      <c r="I255" s="364"/>
      <c r="J255" s="425"/>
      <c r="K255" s="364"/>
      <c r="L255" s="364"/>
      <c r="M255" s="421"/>
      <c r="N255" s="382"/>
      <c r="O255" s="420"/>
      <c r="P255" s="240"/>
      <c r="Q255" s="423"/>
      <c r="R255" s="420"/>
      <c r="S255" s="240"/>
    </row>
    <row r="256" spans="7:19">
      <c r="G256" s="405"/>
      <c r="H256" s="364"/>
      <c r="I256" s="364"/>
      <c r="J256" s="425"/>
      <c r="K256" s="364"/>
      <c r="L256" s="364"/>
      <c r="M256" s="421"/>
      <c r="N256" s="382"/>
      <c r="O256" s="420"/>
      <c r="P256" s="240"/>
      <c r="Q256" s="423"/>
      <c r="R256" s="420"/>
      <c r="S256" s="240"/>
    </row>
    <row r="257" spans="7:19">
      <c r="G257" s="405"/>
      <c r="H257" s="364"/>
      <c r="I257" s="364"/>
      <c r="J257" s="425"/>
      <c r="K257" s="364"/>
      <c r="L257" s="364"/>
      <c r="M257" s="421"/>
      <c r="N257" s="382"/>
      <c r="O257" s="420"/>
      <c r="P257" s="240"/>
      <c r="Q257" s="423"/>
      <c r="R257" s="420"/>
      <c r="S257" s="240"/>
    </row>
    <row r="258" spans="7:19">
      <c r="G258" s="405"/>
      <c r="H258" s="364"/>
      <c r="I258" s="364"/>
      <c r="J258" s="425"/>
      <c r="K258" s="364"/>
      <c r="L258" s="364"/>
      <c r="M258" s="421"/>
      <c r="N258" s="382"/>
      <c r="O258" s="420"/>
      <c r="P258" s="240"/>
      <c r="Q258" s="423"/>
      <c r="R258" s="420"/>
      <c r="S258" s="240"/>
    </row>
    <row r="259" spans="7:19">
      <c r="G259" s="405"/>
      <c r="H259" s="364"/>
      <c r="I259" s="364"/>
      <c r="J259" s="425"/>
      <c r="K259" s="364"/>
      <c r="L259" s="364"/>
      <c r="M259" s="421"/>
      <c r="N259" s="382"/>
      <c r="O259" s="420"/>
      <c r="P259" s="240"/>
      <c r="Q259" s="423"/>
      <c r="R259" s="420"/>
      <c r="S259" s="240"/>
    </row>
    <row r="260" spans="7:19">
      <c r="G260" s="405"/>
      <c r="H260" s="364"/>
      <c r="I260" s="364"/>
      <c r="J260" s="425"/>
      <c r="K260" s="364"/>
      <c r="L260" s="364"/>
      <c r="M260" s="421"/>
      <c r="N260" s="382"/>
      <c r="O260" s="420"/>
      <c r="P260" s="240"/>
      <c r="Q260" s="423"/>
      <c r="R260" s="420"/>
      <c r="S260" s="240"/>
    </row>
    <row r="261" spans="7:19">
      <c r="G261" s="405"/>
      <c r="H261" s="364"/>
      <c r="I261" s="364"/>
      <c r="J261" s="425"/>
      <c r="K261" s="364"/>
      <c r="L261" s="364"/>
      <c r="M261" s="421"/>
      <c r="N261" s="382"/>
      <c r="O261" s="420"/>
      <c r="P261" s="240"/>
      <c r="Q261" s="423"/>
      <c r="R261" s="420"/>
      <c r="S261" s="240"/>
    </row>
    <row r="262" spans="7:19">
      <c r="G262" s="405"/>
      <c r="H262" s="364"/>
      <c r="I262" s="364"/>
      <c r="J262" s="425"/>
      <c r="K262" s="364"/>
      <c r="L262" s="364"/>
      <c r="M262" s="421"/>
      <c r="N262" s="382"/>
      <c r="O262" s="420"/>
      <c r="P262" s="240"/>
      <c r="Q262" s="423"/>
      <c r="R262" s="420"/>
      <c r="S262" s="240"/>
    </row>
    <row r="263" spans="7:19">
      <c r="G263" s="405"/>
      <c r="H263" s="364"/>
      <c r="I263" s="364"/>
      <c r="J263" s="425"/>
      <c r="K263" s="364"/>
      <c r="L263" s="364"/>
      <c r="M263" s="421"/>
      <c r="N263" s="382"/>
      <c r="O263" s="420"/>
      <c r="P263" s="240"/>
      <c r="Q263" s="423"/>
      <c r="R263" s="420"/>
      <c r="S263" s="240"/>
    </row>
    <row r="264" spans="7:19">
      <c r="G264" s="405"/>
      <c r="H264" s="364"/>
      <c r="I264" s="364"/>
      <c r="J264" s="425"/>
      <c r="K264" s="364"/>
      <c r="L264" s="364"/>
      <c r="M264" s="421"/>
      <c r="N264" s="382"/>
      <c r="O264" s="420"/>
      <c r="P264" s="240"/>
      <c r="Q264" s="423"/>
      <c r="R264" s="420"/>
      <c r="S264" s="240"/>
    </row>
    <row r="265" spans="7:19">
      <c r="G265" s="405"/>
      <c r="H265" s="364"/>
      <c r="I265" s="364"/>
      <c r="J265" s="425"/>
      <c r="K265" s="364"/>
      <c r="L265" s="364"/>
      <c r="M265" s="421"/>
      <c r="N265" s="382"/>
      <c r="O265" s="420"/>
      <c r="P265" s="240"/>
      <c r="Q265" s="423"/>
      <c r="R265" s="420"/>
      <c r="S265" s="240"/>
    </row>
    <row r="266" spans="7:19">
      <c r="G266" s="405"/>
      <c r="H266" s="364"/>
      <c r="I266" s="364"/>
      <c r="J266" s="425"/>
      <c r="K266" s="364"/>
      <c r="L266" s="364"/>
      <c r="M266" s="421"/>
      <c r="N266" s="382"/>
      <c r="O266" s="420"/>
      <c r="P266" s="240"/>
      <c r="Q266" s="423"/>
      <c r="R266" s="420"/>
      <c r="S266" s="240"/>
    </row>
    <row r="267" spans="7:19">
      <c r="G267" s="405"/>
      <c r="H267" s="364"/>
      <c r="I267" s="364"/>
      <c r="J267" s="425"/>
      <c r="K267" s="364"/>
      <c r="L267" s="364"/>
      <c r="M267" s="421"/>
      <c r="N267" s="382"/>
      <c r="O267" s="420"/>
      <c r="P267" s="240"/>
      <c r="Q267" s="423"/>
      <c r="R267" s="420"/>
      <c r="S267" s="240"/>
    </row>
    <row r="268" spans="7:19" ht="15.75" thickBot="1">
      <c r="G268" s="405"/>
      <c r="H268" s="364"/>
      <c r="I268" s="364"/>
      <c r="J268" s="425"/>
      <c r="K268" s="364"/>
      <c r="L268" s="364"/>
      <c r="M268" s="421"/>
      <c r="N268" s="382"/>
      <c r="O268" s="420"/>
      <c r="P268" s="240"/>
      <c r="Q268" s="423"/>
      <c r="R268" s="420"/>
      <c r="S268" s="240"/>
    </row>
    <row r="269" spans="7:19">
      <c r="G269" s="404">
        <f t="shared" ref="G269" si="89">G249+1</f>
        <v>23</v>
      </c>
      <c r="H269" s="388">
        <f>IF(G269&lt;&gt;0,VLOOKUP('Осадка куста'!$G269,Скважина!$E$8:$K$33,2,FALSE),0)</f>
        <v>0</v>
      </c>
      <c r="I269" s="364" t="e">
        <f>IF(G269&lt;&gt;0,VLOOKUP(H269,Геология!$D$7:$BO$993,7,FALSE),0)</f>
        <v>#N/A</v>
      </c>
      <c r="J269" s="425" t="e">
        <f>IF(G269&lt;&gt;0,VLOOKUP(H269,Геология!$D$7:$BO$993,23,FALSE),0)</f>
        <v>#N/A</v>
      </c>
      <c r="K269" s="364">
        <f>VLOOKUP(G269,Скважина!$E$8:$L$27,4)</f>
        <v>0</v>
      </c>
      <c r="L269" s="388">
        <f t="shared" ref="L269" si="90">IF(K289&lt;$B$21,$B$21,K289)</f>
        <v>112.8</v>
      </c>
      <c r="M269" s="421">
        <f t="shared" ref="M269" si="91">IF(IF(H269&lt;&gt;0,K269-L269,0)&lt;0,0,IF(H269&lt;&gt;0,K269-L269,0))</f>
        <v>0</v>
      </c>
      <c r="N269" s="382" t="str">
        <f>IF(H269&lt;&gt;0,VLOOKUP(H269,Геология!$D$7:$BO$993,24,FALSE)," ")</f>
        <v xml:space="preserve"> </v>
      </c>
      <c r="O269" s="420" t="str">
        <f t="shared" ref="O269" si="92">IF(N269&lt;&gt;" ",N269*M269," ")</f>
        <v xml:space="preserve"> </v>
      </c>
      <c r="P269" s="240"/>
      <c r="Q269" s="423" t="str">
        <f>IF(H269&lt;&gt;0,VLOOKUP(H269,Геология!$D$7:$BO$993,27,FALSE)," ")</f>
        <v xml:space="preserve"> </v>
      </c>
      <c r="R269" s="431" t="str">
        <f t="shared" ref="R269" si="93">IF(Q269&lt;&gt;" ",Q269*M269," ")</f>
        <v xml:space="preserve"> </v>
      </c>
      <c r="S269" s="240"/>
    </row>
    <row r="270" spans="7:19">
      <c r="G270" s="405"/>
      <c r="H270" s="364"/>
      <c r="I270" s="364"/>
      <c r="J270" s="425"/>
      <c r="K270" s="364"/>
      <c r="L270" s="364"/>
      <c r="M270" s="421"/>
      <c r="N270" s="382"/>
      <c r="O270" s="420"/>
      <c r="P270" s="240"/>
      <c r="Q270" s="423"/>
      <c r="R270" s="420"/>
      <c r="S270" s="240"/>
    </row>
    <row r="271" spans="7:19">
      <c r="G271" s="405"/>
      <c r="H271" s="364"/>
      <c r="I271" s="364"/>
      <c r="J271" s="425"/>
      <c r="K271" s="364"/>
      <c r="L271" s="364"/>
      <c r="M271" s="421"/>
      <c r="N271" s="382"/>
      <c r="O271" s="420"/>
      <c r="P271" s="240"/>
      <c r="Q271" s="423"/>
      <c r="R271" s="420"/>
      <c r="S271" s="240"/>
    </row>
    <row r="272" spans="7:19">
      <c r="G272" s="405"/>
      <c r="H272" s="364"/>
      <c r="I272" s="364"/>
      <c r="J272" s="425"/>
      <c r="K272" s="364"/>
      <c r="L272" s="364"/>
      <c r="M272" s="421"/>
      <c r="N272" s="382"/>
      <c r="O272" s="420"/>
      <c r="P272" s="240"/>
      <c r="Q272" s="423"/>
      <c r="R272" s="420"/>
      <c r="S272" s="240"/>
    </row>
    <row r="273" spans="7:19">
      <c r="G273" s="405"/>
      <c r="H273" s="364"/>
      <c r="I273" s="364"/>
      <c r="J273" s="425"/>
      <c r="K273" s="364"/>
      <c r="L273" s="364"/>
      <c r="M273" s="421"/>
      <c r="N273" s="382"/>
      <c r="O273" s="420"/>
      <c r="P273" s="240"/>
      <c r="Q273" s="423"/>
      <c r="R273" s="420"/>
      <c r="S273" s="240"/>
    </row>
    <row r="274" spans="7:19">
      <c r="G274" s="405"/>
      <c r="H274" s="364"/>
      <c r="I274" s="364"/>
      <c r="J274" s="425"/>
      <c r="K274" s="364"/>
      <c r="L274" s="364"/>
      <c r="M274" s="421"/>
      <c r="N274" s="382"/>
      <c r="O274" s="420"/>
      <c r="P274" s="240"/>
      <c r="Q274" s="423"/>
      <c r="R274" s="420"/>
      <c r="S274" s="240"/>
    </row>
    <row r="275" spans="7:19">
      <c r="G275" s="405"/>
      <c r="H275" s="364"/>
      <c r="I275" s="364"/>
      <c r="J275" s="425"/>
      <c r="K275" s="364"/>
      <c r="L275" s="364"/>
      <c r="M275" s="421"/>
      <c r="N275" s="382"/>
      <c r="O275" s="420"/>
      <c r="P275" s="240"/>
      <c r="Q275" s="423"/>
      <c r="R275" s="420"/>
      <c r="S275" s="240"/>
    </row>
    <row r="276" spans="7:19">
      <c r="G276" s="405"/>
      <c r="H276" s="364"/>
      <c r="I276" s="364"/>
      <c r="J276" s="425"/>
      <c r="K276" s="364"/>
      <c r="L276" s="364"/>
      <c r="M276" s="421"/>
      <c r="N276" s="382"/>
      <c r="O276" s="420"/>
      <c r="P276" s="240"/>
      <c r="Q276" s="423"/>
      <c r="R276" s="420"/>
      <c r="S276" s="240"/>
    </row>
    <row r="277" spans="7:19">
      <c r="G277" s="405"/>
      <c r="H277" s="364"/>
      <c r="I277" s="364"/>
      <c r="J277" s="425"/>
      <c r="K277" s="364"/>
      <c r="L277" s="364"/>
      <c r="M277" s="421"/>
      <c r="N277" s="382"/>
      <c r="O277" s="420"/>
      <c r="P277" s="240"/>
      <c r="Q277" s="423"/>
      <c r="R277" s="420"/>
      <c r="S277" s="240"/>
    </row>
    <row r="278" spans="7:19">
      <c r="G278" s="405"/>
      <c r="H278" s="364"/>
      <c r="I278" s="364"/>
      <c r="J278" s="425"/>
      <c r="K278" s="364"/>
      <c r="L278" s="364"/>
      <c r="M278" s="421"/>
      <c r="N278" s="382"/>
      <c r="O278" s="420"/>
      <c r="P278" s="240"/>
      <c r="Q278" s="423"/>
      <c r="R278" s="420"/>
      <c r="S278" s="240"/>
    </row>
    <row r="279" spans="7:19">
      <c r="G279" s="405"/>
      <c r="H279" s="364"/>
      <c r="I279" s="364"/>
      <c r="J279" s="425"/>
      <c r="K279" s="364"/>
      <c r="L279" s="364"/>
      <c r="M279" s="421"/>
      <c r="N279" s="382"/>
      <c r="O279" s="420"/>
      <c r="P279" s="240"/>
      <c r="Q279" s="423"/>
      <c r="R279" s="420"/>
      <c r="S279" s="240"/>
    </row>
    <row r="280" spans="7:19">
      <c r="G280" s="405"/>
      <c r="H280" s="364"/>
      <c r="I280" s="364"/>
      <c r="J280" s="425"/>
      <c r="K280" s="364"/>
      <c r="L280" s="364"/>
      <c r="M280" s="421"/>
      <c r="N280" s="382"/>
      <c r="O280" s="420"/>
      <c r="P280" s="240"/>
      <c r="Q280" s="423"/>
      <c r="R280" s="420"/>
      <c r="S280" s="240"/>
    </row>
    <row r="281" spans="7:19">
      <c r="G281" s="405"/>
      <c r="H281" s="364"/>
      <c r="I281" s="364"/>
      <c r="J281" s="425"/>
      <c r="K281" s="364"/>
      <c r="L281" s="364"/>
      <c r="M281" s="421"/>
      <c r="N281" s="382"/>
      <c r="O281" s="420"/>
      <c r="P281" s="240"/>
      <c r="Q281" s="423"/>
      <c r="R281" s="420"/>
      <c r="S281" s="240"/>
    </row>
    <row r="282" spans="7:19">
      <c r="G282" s="405"/>
      <c r="H282" s="364"/>
      <c r="I282" s="364"/>
      <c r="J282" s="425"/>
      <c r="K282" s="364"/>
      <c r="L282" s="364"/>
      <c r="M282" s="421"/>
      <c r="N282" s="382"/>
      <c r="O282" s="420"/>
      <c r="P282" s="240"/>
      <c r="Q282" s="423"/>
      <c r="R282" s="420"/>
      <c r="S282" s="240"/>
    </row>
    <row r="283" spans="7:19">
      <c r="G283" s="405"/>
      <c r="H283" s="364"/>
      <c r="I283" s="364"/>
      <c r="J283" s="425"/>
      <c r="K283" s="364"/>
      <c r="L283" s="364"/>
      <c r="M283" s="421"/>
      <c r="N283" s="382"/>
      <c r="O283" s="420"/>
      <c r="P283" s="240"/>
      <c r="Q283" s="423"/>
      <c r="R283" s="420"/>
      <c r="S283" s="240"/>
    </row>
    <row r="284" spans="7:19">
      <c r="G284" s="405"/>
      <c r="H284" s="364"/>
      <c r="I284" s="364"/>
      <c r="J284" s="425"/>
      <c r="K284" s="364"/>
      <c r="L284" s="364"/>
      <c r="M284" s="421"/>
      <c r="N284" s="382"/>
      <c r="O284" s="420"/>
      <c r="P284" s="240"/>
      <c r="Q284" s="423"/>
      <c r="R284" s="420"/>
      <c r="S284" s="240"/>
    </row>
    <row r="285" spans="7:19">
      <c r="G285" s="405"/>
      <c r="H285" s="364"/>
      <c r="I285" s="364"/>
      <c r="J285" s="425"/>
      <c r="K285" s="364"/>
      <c r="L285" s="364"/>
      <c r="M285" s="421"/>
      <c r="N285" s="382"/>
      <c r="O285" s="420"/>
      <c r="P285" s="240"/>
      <c r="Q285" s="423"/>
      <c r="R285" s="420"/>
      <c r="S285" s="240"/>
    </row>
    <row r="286" spans="7:19">
      <c r="G286" s="405"/>
      <c r="H286" s="364"/>
      <c r="I286" s="364"/>
      <c r="J286" s="425"/>
      <c r="K286" s="364"/>
      <c r="L286" s="364"/>
      <c r="M286" s="421"/>
      <c r="N286" s="382"/>
      <c r="O286" s="420"/>
      <c r="P286" s="240"/>
      <c r="Q286" s="423"/>
      <c r="R286" s="420"/>
      <c r="S286" s="240"/>
    </row>
    <row r="287" spans="7:19">
      <c r="G287" s="405"/>
      <c r="H287" s="364"/>
      <c r="I287" s="364"/>
      <c r="J287" s="425"/>
      <c r="K287" s="364"/>
      <c r="L287" s="364"/>
      <c r="M287" s="421"/>
      <c r="N287" s="382"/>
      <c r="O287" s="420"/>
      <c r="P287" s="240"/>
      <c r="Q287" s="423"/>
      <c r="R287" s="420"/>
      <c r="S287" s="240"/>
    </row>
    <row r="288" spans="7:19" ht="15.75" thickBot="1">
      <c r="G288" s="405"/>
      <c r="H288" s="364"/>
      <c r="I288" s="364"/>
      <c r="J288" s="425"/>
      <c r="K288" s="364"/>
      <c r="L288" s="364"/>
      <c r="M288" s="421"/>
      <c r="N288" s="382"/>
      <c r="O288" s="420"/>
      <c r="P288" s="240"/>
      <c r="Q288" s="423"/>
      <c r="R288" s="420"/>
      <c r="S288" s="240"/>
    </row>
    <row r="289" spans="7:19">
      <c r="G289" s="404">
        <f t="shared" ref="G289" si="94">G269+1</f>
        <v>24</v>
      </c>
      <c r="H289" s="388">
        <f>IF(G289&lt;&gt;0,VLOOKUP('Осадка куста'!$G289,Скважина!$E$8:$K$33,2,FALSE),0)</f>
        <v>0</v>
      </c>
      <c r="I289" s="364" t="e">
        <f>IF(G289&lt;&gt;0,VLOOKUP(H289,Геология!$D$7:$BO$993,7,FALSE),0)</f>
        <v>#N/A</v>
      </c>
      <c r="J289" s="425" t="e">
        <f>IF(G289&lt;&gt;0,VLOOKUP(H289,Геология!$D$7:$BO$993,23,FALSE),0)</f>
        <v>#N/A</v>
      </c>
      <c r="K289" s="364">
        <f>VLOOKUP(G289,Скважина!$E$8:$L$27,4)</f>
        <v>0</v>
      </c>
      <c r="L289" s="388">
        <f t="shared" ref="L289" si="95">IF(K309&lt;$B$21,$B$21,K309)</f>
        <v>112.8</v>
      </c>
      <c r="M289" s="421">
        <f t="shared" ref="M289" si="96">IF(IF(H289&lt;&gt;0,K289-L289,0)&lt;0,0,IF(H289&lt;&gt;0,K289-L289,0))</f>
        <v>0</v>
      </c>
      <c r="N289" s="382" t="str">
        <f>IF(H289&lt;&gt;0,VLOOKUP(H289,Геология!$D$7:$BO$993,24,FALSE)," ")</f>
        <v xml:space="preserve"> </v>
      </c>
      <c r="O289" s="420" t="str">
        <f t="shared" ref="O289" si="97">IF(N289&lt;&gt;" ",N289*M289," ")</f>
        <v xml:space="preserve"> </v>
      </c>
      <c r="P289" s="240"/>
      <c r="Q289" s="423" t="str">
        <f>IF(H289&lt;&gt;0,VLOOKUP(H289,Геология!$D$7:$BO$993,27,FALSE)," ")</f>
        <v xml:space="preserve"> </v>
      </c>
      <c r="R289" s="431" t="str">
        <f t="shared" ref="R289" si="98">IF(Q289&lt;&gt;" ",Q289*M289," ")</f>
        <v xml:space="preserve"> </v>
      </c>
      <c r="S289" s="240"/>
    </row>
    <row r="290" spans="7:19">
      <c r="G290" s="405"/>
      <c r="H290" s="364"/>
      <c r="I290" s="364"/>
      <c r="J290" s="425"/>
      <c r="K290" s="364"/>
      <c r="L290" s="364"/>
      <c r="M290" s="421"/>
      <c r="N290" s="382"/>
      <c r="O290" s="420"/>
      <c r="P290" s="240"/>
      <c r="Q290" s="423"/>
      <c r="R290" s="420"/>
      <c r="S290" s="240"/>
    </row>
    <row r="291" spans="7:19">
      <c r="G291" s="405"/>
      <c r="H291" s="364"/>
      <c r="I291" s="364"/>
      <c r="J291" s="425"/>
      <c r="K291" s="364"/>
      <c r="L291" s="364"/>
      <c r="M291" s="421"/>
      <c r="N291" s="382"/>
      <c r="O291" s="420"/>
      <c r="P291" s="240"/>
      <c r="Q291" s="423"/>
      <c r="R291" s="420"/>
      <c r="S291" s="240"/>
    </row>
    <row r="292" spans="7:19">
      <c r="G292" s="405"/>
      <c r="H292" s="364"/>
      <c r="I292" s="364"/>
      <c r="J292" s="425"/>
      <c r="K292" s="364"/>
      <c r="L292" s="364"/>
      <c r="M292" s="421"/>
      <c r="N292" s="382"/>
      <c r="O292" s="420"/>
      <c r="P292" s="240"/>
      <c r="Q292" s="423"/>
      <c r="R292" s="420"/>
      <c r="S292" s="240"/>
    </row>
    <row r="293" spans="7:19">
      <c r="G293" s="405"/>
      <c r="H293" s="364"/>
      <c r="I293" s="364"/>
      <c r="J293" s="425"/>
      <c r="K293" s="364"/>
      <c r="L293" s="364"/>
      <c r="M293" s="421"/>
      <c r="N293" s="382"/>
      <c r="O293" s="420"/>
      <c r="P293" s="240"/>
      <c r="Q293" s="423"/>
      <c r="R293" s="420"/>
      <c r="S293" s="240"/>
    </row>
    <row r="294" spans="7:19">
      <c r="G294" s="405"/>
      <c r="H294" s="364"/>
      <c r="I294" s="364"/>
      <c r="J294" s="425"/>
      <c r="K294" s="364"/>
      <c r="L294" s="364"/>
      <c r="M294" s="421"/>
      <c r="N294" s="382"/>
      <c r="O294" s="420"/>
      <c r="P294" s="240"/>
      <c r="Q294" s="423"/>
      <c r="R294" s="420"/>
      <c r="S294" s="240"/>
    </row>
    <row r="295" spans="7:19">
      <c r="G295" s="405"/>
      <c r="H295" s="364"/>
      <c r="I295" s="364"/>
      <c r="J295" s="425"/>
      <c r="K295" s="364"/>
      <c r="L295" s="364"/>
      <c r="M295" s="421"/>
      <c r="N295" s="382"/>
      <c r="O295" s="420"/>
      <c r="P295" s="240"/>
      <c r="Q295" s="423"/>
      <c r="R295" s="420"/>
      <c r="S295" s="240"/>
    </row>
    <row r="296" spans="7:19">
      <c r="G296" s="405"/>
      <c r="H296" s="364"/>
      <c r="I296" s="364"/>
      <c r="J296" s="425"/>
      <c r="K296" s="364"/>
      <c r="L296" s="364"/>
      <c r="M296" s="421"/>
      <c r="N296" s="382"/>
      <c r="O296" s="420"/>
      <c r="P296" s="240"/>
      <c r="Q296" s="423"/>
      <c r="R296" s="420"/>
      <c r="S296" s="240"/>
    </row>
    <row r="297" spans="7:19">
      <c r="G297" s="405"/>
      <c r="H297" s="364"/>
      <c r="I297" s="364"/>
      <c r="J297" s="425"/>
      <c r="K297" s="364"/>
      <c r="L297" s="364"/>
      <c r="M297" s="421"/>
      <c r="N297" s="382"/>
      <c r="O297" s="420"/>
      <c r="P297" s="240"/>
      <c r="Q297" s="423"/>
      <c r="R297" s="420"/>
      <c r="S297" s="240"/>
    </row>
    <row r="298" spans="7:19">
      <c r="G298" s="405"/>
      <c r="H298" s="364"/>
      <c r="I298" s="364"/>
      <c r="J298" s="425"/>
      <c r="K298" s="364"/>
      <c r="L298" s="364"/>
      <c r="M298" s="421"/>
      <c r="N298" s="382"/>
      <c r="O298" s="420"/>
      <c r="P298" s="240"/>
      <c r="Q298" s="423"/>
      <c r="R298" s="420"/>
      <c r="S298" s="240"/>
    </row>
    <row r="299" spans="7:19">
      <c r="G299" s="405"/>
      <c r="H299" s="364"/>
      <c r="I299" s="364"/>
      <c r="J299" s="425"/>
      <c r="K299" s="364"/>
      <c r="L299" s="364"/>
      <c r="M299" s="421"/>
      <c r="N299" s="382"/>
      <c r="O299" s="420"/>
      <c r="P299" s="240"/>
      <c r="Q299" s="423"/>
      <c r="R299" s="420"/>
      <c r="S299" s="240"/>
    </row>
    <row r="300" spans="7:19">
      <c r="G300" s="405"/>
      <c r="H300" s="364"/>
      <c r="I300" s="364"/>
      <c r="J300" s="425"/>
      <c r="K300" s="364"/>
      <c r="L300" s="364"/>
      <c r="M300" s="421"/>
      <c r="N300" s="382"/>
      <c r="O300" s="420"/>
      <c r="P300" s="240"/>
      <c r="Q300" s="423"/>
      <c r="R300" s="420"/>
      <c r="S300" s="240"/>
    </row>
    <row r="301" spans="7:19">
      <c r="G301" s="405"/>
      <c r="H301" s="364"/>
      <c r="I301" s="364"/>
      <c r="J301" s="425"/>
      <c r="K301" s="364"/>
      <c r="L301" s="364"/>
      <c r="M301" s="421"/>
      <c r="N301" s="382"/>
      <c r="O301" s="420"/>
      <c r="P301" s="240"/>
      <c r="Q301" s="423"/>
      <c r="R301" s="420"/>
      <c r="S301" s="240"/>
    </row>
    <row r="302" spans="7:19">
      <c r="G302" s="405"/>
      <c r="H302" s="364"/>
      <c r="I302" s="364"/>
      <c r="J302" s="425"/>
      <c r="K302" s="364"/>
      <c r="L302" s="364"/>
      <c r="M302" s="421"/>
      <c r="N302" s="382"/>
      <c r="O302" s="420"/>
      <c r="P302" s="240"/>
      <c r="Q302" s="423"/>
      <c r="R302" s="420"/>
      <c r="S302" s="240"/>
    </row>
    <row r="303" spans="7:19">
      <c r="G303" s="405"/>
      <c r="H303" s="364"/>
      <c r="I303" s="364"/>
      <c r="J303" s="425"/>
      <c r="K303" s="364"/>
      <c r="L303" s="364"/>
      <c r="M303" s="421"/>
      <c r="N303" s="382"/>
      <c r="O303" s="420"/>
      <c r="P303" s="240"/>
      <c r="Q303" s="423"/>
      <c r="R303" s="420"/>
      <c r="S303" s="240"/>
    </row>
    <row r="304" spans="7:19">
      <c r="G304" s="405"/>
      <c r="H304" s="364"/>
      <c r="I304" s="364"/>
      <c r="J304" s="425"/>
      <c r="K304" s="364"/>
      <c r="L304" s="364"/>
      <c r="M304" s="421"/>
      <c r="N304" s="382"/>
      <c r="O304" s="420"/>
      <c r="P304" s="240"/>
      <c r="Q304" s="423"/>
      <c r="R304" s="420"/>
      <c r="S304" s="240"/>
    </row>
    <row r="305" spans="7:19">
      <c r="G305" s="405"/>
      <c r="H305" s="364"/>
      <c r="I305" s="364"/>
      <c r="J305" s="425"/>
      <c r="K305" s="364"/>
      <c r="L305" s="364"/>
      <c r="M305" s="421"/>
      <c r="N305" s="382"/>
      <c r="O305" s="420"/>
      <c r="P305" s="240"/>
      <c r="Q305" s="423"/>
      <c r="R305" s="420"/>
      <c r="S305" s="240"/>
    </row>
    <row r="306" spans="7:19">
      <c r="G306" s="405"/>
      <c r="H306" s="364"/>
      <c r="I306" s="364"/>
      <c r="J306" s="425"/>
      <c r="K306" s="364"/>
      <c r="L306" s="364"/>
      <c r="M306" s="421"/>
      <c r="N306" s="382"/>
      <c r="O306" s="420"/>
      <c r="P306" s="240"/>
      <c r="Q306" s="423"/>
      <c r="R306" s="420"/>
      <c r="S306" s="240"/>
    </row>
    <row r="307" spans="7:19">
      <c r="G307" s="405"/>
      <c r="H307" s="364"/>
      <c r="I307" s="364"/>
      <c r="J307" s="425"/>
      <c r="K307" s="364"/>
      <c r="L307" s="364"/>
      <c r="M307" s="421"/>
      <c r="N307" s="382"/>
      <c r="O307" s="420"/>
      <c r="P307" s="240"/>
      <c r="Q307" s="423"/>
      <c r="R307" s="420"/>
      <c r="S307" s="240"/>
    </row>
    <row r="308" spans="7:19" ht="15.75" thickBot="1">
      <c r="G308" s="405"/>
      <c r="H308" s="364"/>
      <c r="I308" s="364"/>
      <c r="J308" s="425"/>
      <c r="K308" s="364"/>
      <c r="L308" s="364"/>
      <c r="M308" s="421"/>
      <c r="N308" s="382"/>
      <c r="O308" s="420"/>
      <c r="P308" s="240"/>
      <c r="Q308" s="423"/>
      <c r="R308" s="420"/>
      <c r="S308" s="240"/>
    </row>
    <row r="309" spans="7:19">
      <c r="G309" s="404">
        <f t="shared" ref="G309" si="99">G289+1</f>
        <v>25</v>
      </c>
      <c r="H309" s="388">
        <f>IF(G309&lt;&gt;0,VLOOKUP('Осадка куста'!$G309,Скважина!$E$8:$K$33,2,FALSE),0)</f>
        <v>0</v>
      </c>
      <c r="I309" s="364" t="e">
        <f>IF(G309&lt;&gt;0,VLOOKUP(H309,Геология!$D$7:$BO$993,7,FALSE),0)</f>
        <v>#N/A</v>
      </c>
      <c r="J309" s="425" t="e">
        <f>IF(G309&lt;&gt;0,VLOOKUP(H309,Геология!$D$7:$BO$993,23,FALSE),0)</f>
        <v>#N/A</v>
      </c>
      <c r="K309" s="364">
        <f>VLOOKUP(G309,Скважина!$E$8:$L$27,4)</f>
        <v>0</v>
      </c>
      <c r="L309" s="388">
        <f t="shared" ref="L309" si="100">IF(K329&lt;$B$21,$B$21,K329)</f>
        <v>112.8</v>
      </c>
      <c r="M309" s="421">
        <f t="shared" ref="M309" si="101">IF(IF(H309&lt;&gt;0,K309-L309,0)&lt;0,0,IF(H309&lt;&gt;0,K309-L309,0))</f>
        <v>0</v>
      </c>
      <c r="N309" s="382" t="str">
        <f>IF(H309&lt;&gt;0,VLOOKUP(H309,Геология!$D$7:$BO$993,24,FALSE)," ")</f>
        <v xml:space="preserve"> </v>
      </c>
      <c r="O309" s="420" t="str">
        <f t="shared" ref="O309" si="102">IF(N309&lt;&gt;" ",N309*M309," ")</f>
        <v xml:space="preserve"> </v>
      </c>
      <c r="P309" s="240"/>
      <c r="Q309" s="423" t="str">
        <f>IF(H309&lt;&gt;0,VLOOKUP(H309,Геология!$D$7:$BO$993,27,FALSE)," ")</f>
        <v xml:space="preserve"> </v>
      </c>
      <c r="R309" s="431" t="str">
        <f t="shared" ref="R309" si="103">IF(Q309&lt;&gt;" ",Q309*M309," ")</f>
        <v xml:space="preserve"> </v>
      </c>
      <c r="S309" s="240"/>
    </row>
    <row r="310" spans="7:19">
      <c r="G310" s="405"/>
      <c r="H310" s="364"/>
      <c r="I310" s="364"/>
      <c r="J310" s="425"/>
      <c r="K310" s="364"/>
      <c r="L310" s="364"/>
      <c r="M310" s="421"/>
      <c r="N310" s="382"/>
      <c r="O310" s="420"/>
      <c r="P310" s="240"/>
      <c r="Q310" s="423"/>
      <c r="R310" s="420"/>
      <c r="S310" s="240"/>
    </row>
    <row r="311" spans="7:19">
      <c r="G311" s="405"/>
      <c r="H311" s="364"/>
      <c r="I311" s="364"/>
      <c r="J311" s="425"/>
      <c r="K311" s="364"/>
      <c r="L311" s="364"/>
      <c r="M311" s="421"/>
      <c r="N311" s="382"/>
      <c r="O311" s="420"/>
      <c r="P311" s="240"/>
      <c r="Q311" s="423"/>
      <c r="R311" s="420"/>
      <c r="S311" s="240"/>
    </row>
    <row r="312" spans="7:19">
      <c r="G312" s="405"/>
      <c r="H312" s="364"/>
      <c r="I312" s="364"/>
      <c r="J312" s="425"/>
      <c r="K312" s="364"/>
      <c r="L312" s="364"/>
      <c r="M312" s="421"/>
      <c r="N312" s="382"/>
      <c r="O312" s="420"/>
      <c r="P312" s="240"/>
      <c r="Q312" s="423"/>
      <c r="R312" s="420"/>
      <c r="S312" s="240"/>
    </row>
    <row r="313" spans="7:19">
      <c r="G313" s="405"/>
      <c r="H313" s="364"/>
      <c r="I313" s="364"/>
      <c r="J313" s="425"/>
      <c r="K313" s="364"/>
      <c r="L313" s="364"/>
      <c r="M313" s="421"/>
      <c r="N313" s="382"/>
      <c r="O313" s="420"/>
      <c r="P313" s="240"/>
      <c r="Q313" s="423"/>
      <c r="R313" s="420"/>
      <c r="S313" s="240"/>
    </row>
    <row r="314" spans="7:19">
      <c r="G314" s="405"/>
      <c r="H314" s="364"/>
      <c r="I314" s="364"/>
      <c r="J314" s="425"/>
      <c r="K314" s="364"/>
      <c r="L314" s="364"/>
      <c r="M314" s="421"/>
      <c r="N314" s="382"/>
      <c r="O314" s="420"/>
      <c r="P314" s="240"/>
      <c r="Q314" s="423"/>
      <c r="R314" s="420"/>
      <c r="S314" s="240"/>
    </row>
    <row r="315" spans="7:19">
      <c r="G315" s="405"/>
      <c r="H315" s="364"/>
      <c r="I315" s="364"/>
      <c r="J315" s="425"/>
      <c r="K315" s="364"/>
      <c r="L315" s="364"/>
      <c r="M315" s="421"/>
      <c r="N315" s="382"/>
      <c r="O315" s="420"/>
      <c r="P315" s="240"/>
      <c r="Q315" s="423"/>
      <c r="R315" s="420"/>
      <c r="S315" s="240"/>
    </row>
    <row r="316" spans="7:19">
      <c r="G316" s="405"/>
      <c r="H316" s="364"/>
      <c r="I316" s="364"/>
      <c r="J316" s="425"/>
      <c r="K316" s="364"/>
      <c r="L316" s="364"/>
      <c r="M316" s="421"/>
      <c r="N316" s="382"/>
      <c r="O316" s="420"/>
      <c r="P316" s="240"/>
      <c r="Q316" s="423"/>
      <c r="R316" s="420"/>
      <c r="S316" s="240"/>
    </row>
    <row r="317" spans="7:19">
      <c r="G317" s="405"/>
      <c r="H317" s="364"/>
      <c r="I317" s="364"/>
      <c r="J317" s="425"/>
      <c r="K317" s="364"/>
      <c r="L317" s="364"/>
      <c r="M317" s="421"/>
      <c r="N317" s="382"/>
      <c r="O317" s="420"/>
      <c r="P317" s="240"/>
      <c r="Q317" s="423"/>
      <c r="R317" s="420"/>
      <c r="S317" s="240"/>
    </row>
    <row r="318" spans="7:19">
      <c r="G318" s="405"/>
      <c r="H318" s="364"/>
      <c r="I318" s="364"/>
      <c r="J318" s="425"/>
      <c r="K318" s="364"/>
      <c r="L318" s="364"/>
      <c r="M318" s="421"/>
      <c r="N318" s="382"/>
      <c r="O318" s="420"/>
      <c r="P318" s="240"/>
      <c r="Q318" s="423"/>
      <c r="R318" s="420"/>
      <c r="S318" s="240"/>
    </row>
    <row r="319" spans="7:19">
      <c r="G319" s="405"/>
      <c r="H319" s="364"/>
      <c r="I319" s="364"/>
      <c r="J319" s="425"/>
      <c r="K319" s="364"/>
      <c r="L319" s="364"/>
      <c r="M319" s="421"/>
      <c r="N319" s="382"/>
      <c r="O319" s="420"/>
      <c r="P319" s="240"/>
      <c r="Q319" s="423"/>
      <c r="R319" s="420"/>
      <c r="S319" s="240"/>
    </row>
    <row r="320" spans="7:19">
      <c r="G320" s="405"/>
      <c r="H320" s="364"/>
      <c r="I320" s="364"/>
      <c r="J320" s="425"/>
      <c r="K320" s="364"/>
      <c r="L320" s="364"/>
      <c r="M320" s="421"/>
      <c r="N320" s="382"/>
      <c r="O320" s="420"/>
      <c r="P320" s="240"/>
      <c r="Q320" s="423"/>
      <c r="R320" s="420"/>
      <c r="S320" s="240"/>
    </row>
    <row r="321" spans="7:19">
      <c r="G321" s="405"/>
      <c r="H321" s="364"/>
      <c r="I321" s="364"/>
      <c r="J321" s="425"/>
      <c r="K321" s="364"/>
      <c r="L321" s="364"/>
      <c r="M321" s="421"/>
      <c r="N321" s="382"/>
      <c r="O321" s="420"/>
      <c r="P321" s="240"/>
      <c r="Q321" s="423"/>
      <c r="R321" s="420"/>
      <c r="S321" s="240"/>
    </row>
    <row r="322" spans="7:19">
      <c r="G322" s="405"/>
      <c r="H322" s="364"/>
      <c r="I322" s="364"/>
      <c r="J322" s="425"/>
      <c r="K322" s="364"/>
      <c r="L322" s="364"/>
      <c r="M322" s="421"/>
      <c r="N322" s="382"/>
      <c r="O322" s="420"/>
      <c r="P322" s="240"/>
      <c r="Q322" s="423"/>
      <c r="R322" s="420"/>
      <c r="S322" s="240"/>
    </row>
    <row r="323" spans="7:19">
      <c r="G323" s="405"/>
      <c r="H323" s="364"/>
      <c r="I323" s="364"/>
      <c r="J323" s="425"/>
      <c r="K323" s="364"/>
      <c r="L323" s="364"/>
      <c r="M323" s="421"/>
      <c r="N323" s="382"/>
      <c r="O323" s="420"/>
      <c r="P323" s="240"/>
      <c r="Q323" s="423"/>
      <c r="R323" s="420"/>
      <c r="S323" s="240"/>
    </row>
    <row r="324" spans="7:19">
      <c r="G324" s="405"/>
      <c r="H324" s="364"/>
      <c r="I324" s="364"/>
      <c r="J324" s="425"/>
      <c r="K324" s="364"/>
      <c r="L324" s="364"/>
      <c r="M324" s="421"/>
      <c r="N324" s="382"/>
      <c r="O324" s="420"/>
      <c r="P324" s="240"/>
      <c r="Q324" s="423"/>
      <c r="R324" s="420"/>
      <c r="S324" s="240"/>
    </row>
    <row r="325" spans="7:19">
      <c r="G325" s="405"/>
      <c r="H325" s="364"/>
      <c r="I325" s="364"/>
      <c r="J325" s="425"/>
      <c r="K325" s="364"/>
      <c r="L325" s="364"/>
      <c r="M325" s="421"/>
      <c r="N325" s="382"/>
      <c r="O325" s="420"/>
      <c r="P325" s="240"/>
      <c r="Q325" s="423"/>
      <c r="R325" s="420"/>
      <c r="S325" s="240"/>
    </row>
    <row r="326" spans="7:19">
      <c r="G326" s="405"/>
      <c r="H326" s="364"/>
      <c r="I326" s="364"/>
      <c r="J326" s="425"/>
      <c r="K326" s="364"/>
      <c r="L326" s="364"/>
      <c r="M326" s="421"/>
      <c r="N326" s="382"/>
      <c r="O326" s="420"/>
      <c r="P326" s="240"/>
      <c r="Q326" s="423"/>
      <c r="R326" s="420"/>
      <c r="S326" s="240"/>
    </row>
    <row r="327" spans="7:19">
      <c r="G327" s="405"/>
      <c r="H327" s="364"/>
      <c r="I327" s="364"/>
      <c r="J327" s="425"/>
      <c r="K327" s="364"/>
      <c r="L327" s="364"/>
      <c r="M327" s="421"/>
      <c r="N327" s="382"/>
      <c r="O327" s="420"/>
      <c r="P327" s="240"/>
      <c r="Q327" s="423"/>
      <c r="R327" s="420"/>
      <c r="S327" s="240"/>
    </row>
    <row r="328" spans="7:19" ht="15.75" thickBot="1">
      <c r="G328" s="405"/>
      <c r="H328" s="364"/>
      <c r="I328" s="364"/>
      <c r="J328" s="425"/>
      <c r="K328" s="364"/>
      <c r="L328" s="364"/>
      <c r="M328" s="421"/>
      <c r="N328" s="382"/>
      <c r="O328" s="420"/>
      <c r="P328" s="240"/>
      <c r="Q328" s="423"/>
      <c r="R328" s="420"/>
      <c r="S328" s="240"/>
    </row>
    <row r="329" spans="7:19">
      <c r="G329" s="404">
        <f t="shared" ref="G329" si="104">G309+1</f>
        <v>26</v>
      </c>
      <c r="H329" s="388">
        <f>IF(G329&lt;&gt;0,VLOOKUP('Осадка куста'!$G329,Скважина!$E$8:$K$33,2,FALSE),0)</f>
        <v>0</v>
      </c>
      <c r="I329" s="364" t="e">
        <f>IF(G329&lt;&gt;0,VLOOKUP(H329,Геология!$D$7:$BO$993,7,FALSE),0)</f>
        <v>#N/A</v>
      </c>
      <c r="J329" s="425" t="e">
        <f>IF(G329&lt;&gt;0,VLOOKUP(H329,Геология!$D$7:$BO$993,23,FALSE),0)</f>
        <v>#N/A</v>
      </c>
      <c r="K329" s="364">
        <f>VLOOKUP(G329,Скважина!$E$8:$L$27,4)</f>
        <v>0</v>
      </c>
      <c r="L329" s="388">
        <f t="shared" ref="L329" si="105">IF(K349&lt;$B$21,$B$21,K349)</f>
        <v>112.8</v>
      </c>
      <c r="M329" s="421">
        <f t="shared" ref="M329" si="106">IF(IF(H329&lt;&gt;0,K329-L329,0)&lt;0,0,IF(H329&lt;&gt;0,K329-L329,0))</f>
        <v>0</v>
      </c>
      <c r="N329" s="382" t="str">
        <f>IF(H329&lt;&gt;0,VLOOKUP(H329,Геология!$D$7:$BO$993,24,FALSE)," ")</f>
        <v xml:space="preserve"> </v>
      </c>
      <c r="O329" s="420" t="str">
        <f t="shared" ref="O329" si="107">IF(N329&lt;&gt;" ",N329*M329," ")</f>
        <v xml:space="preserve"> </v>
      </c>
      <c r="P329" s="240"/>
      <c r="Q329" s="423" t="str">
        <f>IF(H329&lt;&gt;0,VLOOKUP(H329,Геология!$D$7:$BO$993,27,FALSE)," ")</f>
        <v xml:space="preserve"> </v>
      </c>
      <c r="R329" s="431" t="str">
        <f t="shared" ref="R329" si="108">IF(Q329&lt;&gt;" ",Q329*M329," ")</f>
        <v xml:space="preserve"> </v>
      </c>
      <c r="S329" s="240"/>
    </row>
    <row r="330" spans="7:19">
      <c r="G330" s="405"/>
      <c r="H330" s="364"/>
      <c r="I330" s="364"/>
      <c r="J330" s="425"/>
      <c r="K330" s="364"/>
      <c r="L330" s="364"/>
      <c r="M330" s="421"/>
      <c r="N330" s="382"/>
      <c r="O330" s="420"/>
      <c r="P330" s="240"/>
      <c r="Q330" s="423"/>
      <c r="R330" s="420"/>
      <c r="S330" s="240"/>
    </row>
    <row r="331" spans="7:19">
      <c r="G331" s="405"/>
      <c r="H331" s="364"/>
      <c r="I331" s="364"/>
      <c r="J331" s="425"/>
      <c r="K331" s="364"/>
      <c r="L331" s="364"/>
      <c r="M331" s="421"/>
      <c r="N331" s="382"/>
      <c r="O331" s="420"/>
      <c r="P331" s="240"/>
      <c r="Q331" s="423"/>
      <c r="R331" s="420"/>
      <c r="S331" s="240"/>
    </row>
    <row r="332" spans="7:19">
      <c r="G332" s="405"/>
      <c r="H332" s="364"/>
      <c r="I332" s="364"/>
      <c r="J332" s="425"/>
      <c r="K332" s="364"/>
      <c r="L332" s="364"/>
      <c r="M332" s="421"/>
      <c r="N332" s="382"/>
      <c r="O332" s="420"/>
      <c r="P332" s="240"/>
      <c r="Q332" s="423"/>
      <c r="R332" s="420"/>
      <c r="S332" s="240"/>
    </row>
    <row r="333" spans="7:19">
      <c r="G333" s="405"/>
      <c r="H333" s="364"/>
      <c r="I333" s="364"/>
      <c r="J333" s="425"/>
      <c r="K333" s="364"/>
      <c r="L333" s="364"/>
      <c r="M333" s="421"/>
      <c r="N333" s="382"/>
      <c r="O333" s="420"/>
      <c r="P333" s="240"/>
      <c r="Q333" s="423"/>
      <c r="R333" s="420"/>
      <c r="S333" s="240"/>
    </row>
    <row r="334" spans="7:19">
      <c r="G334" s="405"/>
      <c r="H334" s="364"/>
      <c r="I334" s="364"/>
      <c r="J334" s="425"/>
      <c r="K334" s="364"/>
      <c r="L334" s="364"/>
      <c r="M334" s="421"/>
      <c r="N334" s="382"/>
      <c r="O334" s="420"/>
      <c r="P334" s="240"/>
      <c r="Q334" s="423"/>
      <c r="R334" s="420"/>
      <c r="S334" s="240"/>
    </row>
    <row r="335" spans="7:19">
      <c r="G335" s="405"/>
      <c r="H335" s="364"/>
      <c r="I335" s="364"/>
      <c r="J335" s="425"/>
      <c r="K335" s="364"/>
      <c r="L335" s="364"/>
      <c r="M335" s="421"/>
      <c r="N335" s="382"/>
      <c r="O335" s="420"/>
      <c r="P335" s="240"/>
      <c r="Q335" s="423"/>
      <c r="R335" s="420"/>
      <c r="S335" s="240"/>
    </row>
    <row r="336" spans="7:19">
      <c r="G336" s="405"/>
      <c r="H336" s="364"/>
      <c r="I336" s="364"/>
      <c r="J336" s="425"/>
      <c r="K336" s="364"/>
      <c r="L336" s="364"/>
      <c r="M336" s="421"/>
      <c r="N336" s="382"/>
      <c r="O336" s="420"/>
      <c r="P336" s="240"/>
      <c r="Q336" s="423"/>
      <c r="R336" s="420"/>
      <c r="S336" s="240"/>
    </row>
    <row r="337" spans="7:19">
      <c r="G337" s="405"/>
      <c r="H337" s="364"/>
      <c r="I337" s="364"/>
      <c r="J337" s="425"/>
      <c r="K337" s="364"/>
      <c r="L337" s="364"/>
      <c r="M337" s="421"/>
      <c r="N337" s="382"/>
      <c r="O337" s="420"/>
      <c r="P337" s="240"/>
      <c r="Q337" s="423"/>
      <c r="R337" s="420"/>
      <c r="S337" s="240"/>
    </row>
    <row r="338" spans="7:19">
      <c r="G338" s="405"/>
      <c r="H338" s="364"/>
      <c r="I338" s="364"/>
      <c r="J338" s="425"/>
      <c r="K338" s="364"/>
      <c r="L338" s="364"/>
      <c r="M338" s="421"/>
      <c r="N338" s="382"/>
      <c r="O338" s="420"/>
      <c r="P338" s="240"/>
      <c r="Q338" s="423"/>
      <c r="R338" s="420"/>
      <c r="S338" s="240"/>
    </row>
    <row r="339" spans="7:19">
      <c r="G339" s="405"/>
      <c r="H339" s="364"/>
      <c r="I339" s="364"/>
      <c r="J339" s="425"/>
      <c r="K339" s="364"/>
      <c r="L339" s="364"/>
      <c r="M339" s="421"/>
      <c r="N339" s="382"/>
      <c r="O339" s="420"/>
      <c r="P339" s="240"/>
      <c r="Q339" s="423"/>
      <c r="R339" s="420"/>
      <c r="S339" s="240"/>
    </row>
    <row r="340" spans="7:19">
      <c r="G340" s="405"/>
      <c r="H340" s="364"/>
      <c r="I340" s="364"/>
      <c r="J340" s="425"/>
      <c r="K340" s="364"/>
      <c r="L340" s="364"/>
      <c r="M340" s="421"/>
      <c r="N340" s="382"/>
      <c r="O340" s="420"/>
      <c r="P340" s="240"/>
      <c r="Q340" s="423"/>
      <c r="R340" s="420"/>
      <c r="S340" s="240"/>
    </row>
    <row r="341" spans="7:19">
      <c r="G341" s="405"/>
      <c r="H341" s="364"/>
      <c r="I341" s="364"/>
      <c r="J341" s="425"/>
      <c r="K341" s="364"/>
      <c r="L341" s="364"/>
      <c r="M341" s="421"/>
      <c r="N341" s="382"/>
      <c r="O341" s="420"/>
      <c r="P341" s="240"/>
      <c r="Q341" s="423"/>
      <c r="R341" s="420"/>
      <c r="S341" s="240"/>
    </row>
    <row r="342" spans="7:19">
      <c r="G342" s="405"/>
      <c r="H342" s="364"/>
      <c r="I342" s="364"/>
      <c r="J342" s="425"/>
      <c r="K342" s="364"/>
      <c r="L342" s="364"/>
      <c r="M342" s="421"/>
      <c r="N342" s="382"/>
      <c r="O342" s="420"/>
      <c r="P342" s="240"/>
      <c r="Q342" s="423"/>
      <c r="R342" s="420"/>
      <c r="S342" s="240"/>
    </row>
    <row r="343" spans="7:19">
      <c r="G343" s="405"/>
      <c r="H343" s="364"/>
      <c r="I343" s="364"/>
      <c r="J343" s="425"/>
      <c r="K343" s="364"/>
      <c r="L343" s="364"/>
      <c r="M343" s="421"/>
      <c r="N343" s="382"/>
      <c r="O343" s="420"/>
      <c r="P343" s="240"/>
      <c r="Q343" s="423"/>
      <c r="R343" s="420"/>
      <c r="S343" s="240"/>
    </row>
    <row r="344" spans="7:19">
      <c r="G344" s="405"/>
      <c r="H344" s="364"/>
      <c r="I344" s="364"/>
      <c r="J344" s="425"/>
      <c r="K344" s="364"/>
      <c r="L344" s="364"/>
      <c r="M344" s="421"/>
      <c r="N344" s="382"/>
      <c r="O344" s="420"/>
      <c r="P344" s="240"/>
      <c r="Q344" s="423"/>
      <c r="R344" s="420"/>
      <c r="S344" s="240"/>
    </row>
    <row r="345" spans="7:19">
      <c r="G345" s="405"/>
      <c r="H345" s="364"/>
      <c r="I345" s="364"/>
      <c r="J345" s="425"/>
      <c r="K345" s="364"/>
      <c r="L345" s="364"/>
      <c r="M345" s="421"/>
      <c r="N345" s="382"/>
      <c r="O345" s="420"/>
      <c r="P345" s="240"/>
      <c r="Q345" s="423"/>
      <c r="R345" s="420"/>
      <c r="S345" s="240"/>
    </row>
    <row r="346" spans="7:19">
      <c r="G346" s="405"/>
      <c r="H346" s="364"/>
      <c r="I346" s="364"/>
      <c r="J346" s="425"/>
      <c r="K346" s="364"/>
      <c r="L346" s="364"/>
      <c r="M346" s="421"/>
      <c r="N346" s="382"/>
      <c r="O346" s="420"/>
      <c r="P346" s="240"/>
      <c r="Q346" s="423"/>
      <c r="R346" s="420"/>
      <c r="S346" s="240"/>
    </row>
    <row r="347" spans="7:19">
      <c r="G347" s="405"/>
      <c r="H347" s="364"/>
      <c r="I347" s="364"/>
      <c r="J347" s="425"/>
      <c r="K347" s="364"/>
      <c r="L347" s="364"/>
      <c r="M347" s="421"/>
      <c r="N347" s="382"/>
      <c r="O347" s="420"/>
      <c r="P347" s="240"/>
      <c r="Q347" s="423"/>
      <c r="R347" s="420"/>
      <c r="S347" s="240"/>
    </row>
    <row r="348" spans="7:19" ht="15.75" thickBot="1">
      <c r="G348" s="405"/>
      <c r="H348" s="364"/>
      <c r="I348" s="365"/>
      <c r="J348" s="426"/>
      <c r="K348" s="364"/>
      <c r="L348" s="364"/>
      <c r="M348" s="422"/>
      <c r="N348" s="382"/>
      <c r="O348" s="420"/>
      <c r="P348" s="241"/>
      <c r="Q348" s="424"/>
      <c r="R348" s="420"/>
      <c r="S348" s="241"/>
    </row>
    <row r="349" spans="7:19">
      <c r="Q349" s="418"/>
      <c r="R349" s="419"/>
    </row>
    <row r="350" spans="7:19">
      <c r="Q350" s="418"/>
      <c r="R350" s="419"/>
    </row>
    <row r="351" spans="7:19">
      <c r="Q351" s="418"/>
      <c r="R351" s="419"/>
    </row>
    <row r="352" spans="7:19">
      <c r="Q352" s="418"/>
      <c r="R352" s="419"/>
    </row>
    <row r="353" spans="17:18">
      <c r="Q353" s="418"/>
      <c r="R353" s="419"/>
    </row>
    <row r="354" spans="17:18">
      <c r="Q354" s="418"/>
      <c r="R354" s="419"/>
    </row>
    <row r="355" spans="17:18">
      <c r="Q355" s="418"/>
      <c r="R355" s="419"/>
    </row>
    <row r="356" spans="17:18">
      <c r="Q356" s="418"/>
      <c r="R356" s="419"/>
    </row>
    <row r="357" spans="17:18">
      <c r="Q357" s="418"/>
      <c r="R357" s="419"/>
    </row>
    <row r="358" spans="17:18">
      <c r="Q358" s="418"/>
      <c r="R358" s="419"/>
    </row>
    <row r="359" spans="17:18">
      <c r="Q359" s="418"/>
      <c r="R359" s="419"/>
    </row>
    <row r="360" spans="17:18">
      <c r="Q360" s="418"/>
      <c r="R360" s="419"/>
    </row>
    <row r="361" spans="17:18">
      <c r="Q361" s="418"/>
      <c r="R361" s="419"/>
    </row>
    <row r="362" spans="17:18">
      <c r="Q362" s="418"/>
      <c r="R362" s="419"/>
    </row>
    <row r="363" spans="17:18">
      <c r="Q363" s="418"/>
      <c r="R363" s="419"/>
    </row>
    <row r="364" spans="17:18">
      <c r="Q364" s="418"/>
      <c r="R364" s="419"/>
    </row>
    <row r="365" spans="17:18">
      <c r="Q365" s="418"/>
      <c r="R365" s="419"/>
    </row>
    <row r="366" spans="17:18">
      <c r="Q366" s="418"/>
      <c r="R366" s="419"/>
    </row>
    <row r="367" spans="17:18">
      <c r="Q367" s="418"/>
      <c r="R367" s="419"/>
    </row>
    <row r="368" spans="17:18">
      <c r="Q368" s="419"/>
      <c r="R368" s="419"/>
    </row>
  </sheetData>
  <mergeCells count="207">
    <mergeCell ref="AR7:AZ7"/>
    <mergeCell ref="AA9:AN9"/>
    <mergeCell ref="A39:B39"/>
    <mergeCell ref="H5:H6"/>
    <mergeCell ref="C6:C7"/>
    <mergeCell ref="Y6:Z7"/>
    <mergeCell ref="Z24:AA24"/>
    <mergeCell ref="AC24:AD24"/>
    <mergeCell ref="AE24:AF24"/>
    <mergeCell ref="Z23:AF23"/>
    <mergeCell ref="A7:B7"/>
    <mergeCell ref="Y10:Y19"/>
    <mergeCell ref="Z22:AH22"/>
    <mergeCell ref="N9:N28"/>
    <mergeCell ref="O29:O48"/>
    <mergeCell ref="N29:N48"/>
    <mergeCell ref="H29:H48"/>
    <mergeCell ref="I29:I48"/>
    <mergeCell ref="J29:J48"/>
    <mergeCell ref="K29:K48"/>
    <mergeCell ref="L29:L48"/>
    <mergeCell ref="M29:M48"/>
    <mergeCell ref="R89:R108"/>
    <mergeCell ref="Q109:Q128"/>
    <mergeCell ref="R109:R128"/>
    <mergeCell ref="A19:B19"/>
    <mergeCell ref="A25:B25"/>
    <mergeCell ref="A35:B35"/>
    <mergeCell ref="D25:E25"/>
    <mergeCell ref="Q9:Q28"/>
    <mergeCell ref="R9:R28"/>
    <mergeCell ref="Q29:Q48"/>
    <mergeCell ref="R29:R48"/>
    <mergeCell ref="Q49:Q68"/>
    <mergeCell ref="R49:R68"/>
    <mergeCell ref="Q69:Q88"/>
    <mergeCell ref="R69:R88"/>
    <mergeCell ref="Q89:Q108"/>
    <mergeCell ref="N109:N128"/>
    <mergeCell ref="H109:H128"/>
    <mergeCell ref="I109:I128"/>
    <mergeCell ref="J109:J128"/>
    <mergeCell ref="K109:K128"/>
    <mergeCell ref="L109:L128"/>
    <mergeCell ref="M109:M128"/>
    <mergeCell ref="O9:O28"/>
    <mergeCell ref="O49:O68"/>
    <mergeCell ref="O69:O88"/>
    <mergeCell ref="O109:O128"/>
    <mergeCell ref="O89:O108"/>
    <mergeCell ref="N69:N88"/>
    <mergeCell ref="H69:H88"/>
    <mergeCell ref="I69:I88"/>
    <mergeCell ref="J69:J88"/>
    <mergeCell ref="K69:K88"/>
    <mergeCell ref="L69:L88"/>
    <mergeCell ref="M69:M88"/>
    <mergeCell ref="N89:N108"/>
    <mergeCell ref="H89:H108"/>
    <mergeCell ref="I89:I108"/>
    <mergeCell ref="J89:J108"/>
    <mergeCell ref="K89:K108"/>
    <mergeCell ref="L89:L108"/>
    <mergeCell ref="M89:M108"/>
    <mergeCell ref="N49:N68"/>
    <mergeCell ref="H49:H68"/>
    <mergeCell ref="I49:I68"/>
    <mergeCell ref="J49:J68"/>
    <mergeCell ref="K49:K68"/>
    <mergeCell ref="L49:L68"/>
    <mergeCell ref="M49:M68"/>
    <mergeCell ref="G29:G48"/>
    <mergeCell ref="G49:G68"/>
    <mergeCell ref="G69:G88"/>
    <mergeCell ref="G89:G108"/>
    <mergeCell ref="G109:G128"/>
    <mergeCell ref="M9:M28"/>
    <mergeCell ref="A8:B8"/>
    <mergeCell ref="H9:H28"/>
    <mergeCell ref="I9:I28"/>
    <mergeCell ref="J9:J28"/>
    <mergeCell ref="K9:K28"/>
    <mergeCell ref="L9:L28"/>
    <mergeCell ref="G9:G28"/>
    <mergeCell ref="G169:G188"/>
    <mergeCell ref="H169:H188"/>
    <mergeCell ref="I169:I188"/>
    <mergeCell ref="J169:J188"/>
    <mergeCell ref="K169:K188"/>
    <mergeCell ref="L129:L148"/>
    <mergeCell ref="M129:M148"/>
    <mergeCell ref="N129:N148"/>
    <mergeCell ref="O129:O148"/>
    <mergeCell ref="G149:G168"/>
    <mergeCell ref="H149:H168"/>
    <mergeCell ref="I149:I168"/>
    <mergeCell ref="J149:J168"/>
    <mergeCell ref="K149:K168"/>
    <mergeCell ref="L149:L168"/>
    <mergeCell ref="M149:M168"/>
    <mergeCell ref="N149:N168"/>
    <mergeCell ref="O149:O168"/>
    <mergeCell ref="G129:G148"/>
    <mergeCell ref="H129:H148"/>
    <mergeCell ref="I129:I148"/>
    <mergeCell ref="J129:J148"/>
    <mergeCell ref="K129:K148"/>
    <mergeCell ref="L169:L188"/>
    <mergeCell ref="G189:G208"/>
    <mergeCell ref="H189:H208"/>
    <mergeCell ref="I189:I208"/>
    <mergeCell ref="J189:J208"/>
    <mergeCell ref="K189:K208"/>
    <mergeCell ref="L189:L208"/>
    <mergeCell ref="M189:M208"/>
    <mergeCell ref="N189:N208"/>
    <mergeCell ref="O189:O208"/>
    <mergeCell ref="G249:G268"/>
    <mergeCell ref="H249:H268"/>
    <mergeCell ref="I249:I268"/>
    <mergeCell ref="J249:J268"/>
    <mergeCell ref="K249:K268"/>
    <mergeCell ref="L209:L228"/>
    <mergeCell ref="M209:M228"/>
    <mergeCell ref="N209:N228"/>
    <mergeCell ref="O209:O228"/>
    <mergeCell ref="G229:G248"/>
    <mergeCell ref="H229:H248"/>
    <mergeCell ref="I229:I248"/>
    <mergeCell ref="J229:J248"/>
    <mergeCell ref="K229:K248"/>
    <mergeCell ref="L229:L248"/>
    <mergeCell ref="M229:M248"/>
    <mergeCell ref="N229:N248"/>
    <mergeCell ref="O229:O248"/>
    <mergeCell ref="G209:G228"/>
    <mergeCell ref="H209:H228"/>
    <mergeCell ref="I209:I228"/>
    <mergeCell ref="J209:J228"/>
    <mergeCell ref="K209:K228"/>
    <mergeCell ref="L249:L268"/>
    <mergeCell ref="G269:G288"/>
    <mergeCell ref="H269:H288"/>
    <mergeCell ref="I269:I288"/>
    <mergeCell ref="J269:J288"/>
    <mergeCell ref="K269:K288"/>
    <mergeCell ref="L269:L288"/>
    <mergeCell ref="M269:M288"/>
    <mergeCell ref="N269:N288"/>
    <mergeCell ref="O269:O288"/>
    <mergeCell ref="G329:G348"/>
    <mergeCell ref="H329:H348"/>
    <mergeCell ref="I329:I348"/>
    <mergeCell ref="J329:J348"/>
    <mergeCell ref="K329:K348"/>
    <mergeCell ref="L289:L308"/>
    <mergeCell ref="M289:M308"/>
    <mergeCell ref="N289:N308"/>
    <mergeCell ref="O289:O308"/>
    <mergeCell ref="G309:G328"/>
    <mergeCell ref="H309:H328"/>
    <mergeCell ref="I309:I328"/>
    <mergeCell ref="J309:J328"/>
    <mergeCell ref="K309:K328"/>
    <mergeCell ref="L309:L328"/>
    <mergeCell ref="M309:M328"/>
    <mergeCell ref="N309:N328"/>
    <mergeCell ref="O309:O328"/>
    <mergeCell ref="G289:G308"/>
    <mergeCell ref="H289:H308"/>
    <mergeCell ref="I289:I308"/>
    <mergeCell ref="J289:J308"/>
    <mergeCell ref="K289:K308"/>
    <mergeCell ref="L329:L348"/>
    <mergeCell ref="M329:M348"/>
    <mergeCell ref="N329:N348"/>
    <mergeCell ref="O329:O348"/>
    <mergeCell ref="Q129:Q148"/>
    <mergeCell ref="Q149:Q168"/>
    <mergeCell ref="Q169:Q188"/>
    <mergeCell ref="Q189:Q208"/>
    <mergeCell ref="Q209:Q228"/>
    <mergeCell ref="Q229:Q248"/>
    <mergeCell ref="Q249:Q268"/>
    <mergeCell ref="Q269:Q288"/>
    <mergeCell ref="Q289:Q308"/>
    <mergeCell ref="Q309:Q328"/>
    <mergeCell ref="Q329:Q348"/>
    <mergeCell ref="M249:M268"/>
    <mergeCell ref="N249:N268"/>
    <mergeCell ref="O249:O268"/>
    <mergeCell ref="M169:M188"/>
    <mergeCell ref="N169:N188"/>
    <mergeCell ref="O169:O188"/>
    <mergeCell ref="Q349:Q368"/>
    <mergeCell ref="R129:R148"/>
    <mergeCell ref="R149:R168"/>
    <mergeCell ref="R169:R188"/>
    <mergeCell ref="R189:R208"/>
    <mergeCell ref="R209:R228"/>
    <mergeCell ref="R229:R248"/>
    <mergeCell ref="R249:R268"/>
    <mergeCell ref="R269:R288"/>
    <mergeCell ref="R289:R308"/>
    <mergeCell ref="R309:R328"/>
    <mergeCell ref="R329:R348"/>
    <mergeCell ref="R349:R368"/>
  </mergeCells>
  <conditionalFormatting sqref="E26:E27">
    <cfRule type="cellIs" dxfId="43" priority="86" operator="equal">
      <formula>"Расчет недоступен"</formula>
    </cfRule>
    <cfRule type="cellIs" dxfId="42" priority="87" operator="equal">
      <formula>"Выполнено"</formula>
    </cfRule>
  </conditionalFormatting>
  <conditionalFormatting sqref="E28">
    <cfRule type="cellIs" dxfId="41" priority="84" operator="equal">
      <formula>"Расчет недоступен"</formula>
    </cfRule>
    <cfRule type="cellIs" dxfId="40" priority="85" operator="equal">
      <formula>"Выполнено"</formula>
    </cfRule>
  </conditionalFormatting>
  <conditionalFormatting sqref="AA11">
    <cfRule type="expression" dxfId="39" priority="83">
      <formula>IF(AA11=$AI$22,1,0)</formula>
    </cfRule>
  </conditionalFormatting>
  <conditionalFormatting sqref="AC11">
    <cfRule type="expression" dxfId="38" priority="48">
      <formula>IF(AC11=$AI$22,1,0)</formula>
    </cfRule>
  </conditionalFormatting>
  <conditionalFormatting sqref="AE11">
    <cfRule type="expression" dxfId="37" priority="47">
      <formula>IF(AE11=$AI$22,1,0)</formula>
    </cfRule>
  </conditionalFormatting>
  <conditionalFormatting sqref="AG11">
    <cfRule type="expression" dxfId="36" priority="46">
      <formula>IF(AG11=$AI$22,1,0)</formula>
    </cfRule>
  </conditionalFormatting>
  <conditionalFormatting sqref="AI11">
    <cfRule type="expression" dxfId="35" priority="45">
      <formula>IF(AI11=$AI$22,1,0)</formula>
    </cfRule>
  </conditionalFormatting>
  <conditionalFormatting sqref="AK11">
    <cfRule type="expression" dxfId="34" priority="44">
      <formula>IF(AK11=$AI$22,1,0)</formula>
    </cfRule>
  </conditionalFormatting>
  <conditionalFormatting sqref="AM11">
    <cfRule type="expression" dxfId="33" priority="43">
      <formula>IF(AM11=$AI$22,1,0)</formula>
    </cfRule>
  </conditionalFormatting>
  <conditionalFormatting sqref="AA13">
    <cfRule type="expression" dxfId="32" priority="42">
      <formula>IF(AA13=$AI$22,1,0)</formula>
    </cfRule>
  </conditionalFormatting>
  <conditionalFormatting sqref="AC13">
    <cfRule type="expression" dxfId="31" priority="41">
      <formula>IF(AC13=$AI$22,1,0)</formula>
    </cfRule>
  </conditionalFormatting>
  <conditionalFormatting sqref="AE13">
    <cfRule type="expression" dxfId="30" priority="40">
      <formula>IF(AE13=$AI$22,1,0)</formula>
    </cfRule>
  </conditionalFormatting>
  <conditionalFormatting sqref="AG13">
    <cfRule type="expression" dxfId="29" priority="39">
      <formula>IF(AG13=$AI$22,1,0)</formula>
    </cfRule>
  </conditionalFormatting>
  <conditionalFormatting sqref="AI13">
    <cfRule type="expression" dxfId="28" priority="38">
      <formula>IF(AI13=$AI$22,1,0)</formula>
    </cfRule>
  </conditionalFormatting>
  <conditionalFormatting sqref="AK13">
    <cfRule type="expression" dxfId="27" priority="37">
      <formula>IF(AK13=$AI$22,1,0)</formula>
    </cfRule>
  </conditionalFormatting>
  <conditionalFormatting sqref="AM13">
    <cfRule type="expression" dxfId="26" priority="36">
      <formula>IF(AM13=$AI$22,1,0)</formula>
    </cfRule>
  </conditionalFormatting>
  <conditionalFormatting sqref="AA15">
    <cfRule type="expression" dxfId="25" priority="35">
      <formula>IF(AA15=$AI$22,1,0)</formula>
    </cfRule>
  </conditionalFormatting>
  <conditionalFormatting sqref="AC15">
    <cfRule type="expression" dxfId="24" priority="34">
      <formula>IF(AC15=$AI$22,1,0)</formula>
    </cfRule>
  </conditionalFormatting>
  <conditionalFormatting sqref="AE15">
    <cfRule type="expression" dxfId="23" priority="33">
      <formula>IF(AE15=$AI$22,1,0)</formula>
    </cfRule>
  </conditionalFormatting>
  <conditionalFormatting sqref="AG15">
    <cfRule type="expression" dxfId="22" priority="32">
      <formula>IF(AG15=$AI$22,1,0)</formula>
    </cfRule>
  </conditionalFormatting>
  <conditionalFormatting sqref="AI15">
    <cfRule type="expression" dxfId="21" priority="31">
      <formula>IF(AI15=$AI$22,1,0)</formula>
    </cfRule>
  </conditionalFormatting>
  <conditionalFormatting sqref="AK15">
    <cfRule type="expression" dxfId="20" priority="30">
      <formula>IF(AK15=$AI$22,1,0)</formula>
    </cfRule>
  </conditionalFormatting>
  <conditionalFormatting sqref="AM15">
    <cfRule type="expression" dxfId="19" priority="29">
      <formula>IF(AM15=$AI$22,1,0)</formula>
    </cfRule>
  </conditionalFormatting>
  <conditionalFormatting sqref="AA17">
    <cfRule type="expression" dxfId="18" priority="14">
      <formula>IF(AA17=$AI$22,1,0)</formula>
    </cfRule>
  </conditionalFormatting>
  <conditionalFormatting sqref="AC17">
    <cfRule type="expression" dxfId="17" priority="13">
      <formula>IF(AC17=$AI$22,1,0)</formula>
    </cfRule>
  </conditionalFormatting>
  <conditionalFormatting sqref="AE17">
    <cfRule type="expression" dxfId="16" priority="12">
      <formula>IF(AE17=$AI$22,1,0)</formula>
    </cfRule>
  </conditionalFormatting>
  <conditionalFormatting sqref="AG17">
    <cfRule type="expression" dxfId="15" priority="11">
      <formula>IF(AG17=$AI$22,1,0)</formula>
    </cfRule>
  </conditionalFormatting>
  <conditionalFormatting sqref="AI17">
    <cfRule type="expression" dxfId="14" priority="10">
      <formula>IF(AI17=$AI$22,1,0)</formula>
    </cfRule>
  </conditionalFormatting>
  <conditionalFormatting sqref="AK17">
    <cfRule type="expression" dxfId="13" priority="9">
      <formula>IF(AK17=$AI$22,1,0)</formula>
    </cfRule>
  </conditionalFormatting>
  <conditionalFormatting sqref="AM17">
    <cfRule type="expression" dxfId="12" priority="8">
      <formula>IF(AM17=$AI$22,1,0)</formula>
    </cfRule>
  </conditionalFormatting>
  <conditionalFormatting sqref="AA19">
    <cfRule type="expression" dxfId="11" priority="7">
      <formula>IF(AA19=$AI$22,1,0)</formula>
    </cfRule>
  </conditionalFormatting>
  <conditionalFormatting sqref="AC19">
    <cfRule type="expression" dxfId="10" priority="6">
      <formula>IF(AC19=$AI$22,1,0)</formula>
    </cfRule>
  </conditionalFormatting>
  <conditionalFormatting sqref="AE19">
    <cfRule type="expression" dxfId="9" priority="5">
      <formula>IF(AE19=$AI$22,1,0)</formula>
    </cfRule>
  </conditionalFormatting>
  <conditionalFormatting sqref="AG19">
    <cfRule type="expression" dxfId="8" priority="4">
      <formula>IF(AG19=$AI$22,1,0)</formula>
    </cfRule>
  </conditionalFormatting>
  <conditionalFormatting sqref="AI19">
    <cfRule type="expression" dxfId="7" priority="3">
      <formula>IF(AI19=$AI$22,1,0)</formula>
    </cfRule>
  </conditionalFormatting>
  <conditionalFormatting sqref="AK19">
    <cfRule type="expression" dxfId="6" priority="2">
      <formula>IF(AK19=$AI$22,1,0)</formula>
    </cfRule>
  </conditionalFormatting>
  <conditionalFormatting sqref="AM19">
    <cfRule type="expression" dxfId="5" priority="1">
      <formula>IF(AM19=$AI$22,1,0)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Служебный!$C$2:$C$3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>
    <tabColor theme="9" tint="0.59999389629810485"/>
  </sheetPr>
  <dimension ref="A3:BQ328"/>
  <sheetViews>
    <sheetView zoomScale="85" zoomScaleNormal="85" workbookViewId="0">
      <selection activeCell="AN2" sqref="AN2"/>
    </sheetView>
  </sheetViews>
  <sheetFormatPr defaultRowHeight="15"/>
  <cols>
    <col min="1" max="1" width="68" customWidth="1"/>
    <col min="8" max="8" width="6.7109375" customWidth="1"/>
    <col min="10" max="10" width="6.7109375" customWidth="1"/>
    <col min="12" max="12" width="6.7109375" customWidth="1"/>
    <col min="14" max="14" width="6.7109375" customWidth="1"/>
    <col min="16" max="16" width="6.7109375" customWidth="1"/>
    <col min="17" max="17" width="9.140625" customWidth="1"/>
    <col min="18" max="18" width="6.7109375" customWidth="1"/>
    <col min="19" max="19" width="9.140625" customWidth="1"/>
    <col min="20" max="20" width="6.7109375" customWidth="1"/>
    <col min="21" max="21" width="9.140625" customWidth="1"/>
    <col min="22" max="22" width="6.7109375" customWidth="1"/>
    <col min="23" max="23" width="9.140625" customWidth="1"/>
    <col min="24" max="24" width="6.7109375" customWidth="1"/>
    <col min="25" max="25" width="9.140625" customWidth="1"/>
    <col min="26" max="26" width="6.7109375" customWidth="1"/>
    <col min="27" max="27" width="9.140625" customWidth="1"/>
    <col min="28" max="28" width="6.7109375" customWidth="1"/>
    <col min="29" max="29" width="9.140625" customWidth="1"/>
    <col min="30" max="30" width="6.7109375" customWidth="1"/>
    <col min="35" max="35" width="29.7109375" customWidth="1"/>
    <col min="37" max="37" width="10" customWidth="1"/>
    <col min="38" max="38" width="10.28515625" customWidth="1"/>
    <col min="39" max="39" width="8.140625" customWidth="1"/>
    <col min="40" max="40" width="7.85546875" customWidth="1"/>
    <col min="41" max="42" width="6.85546875" customWidth="1"/>
    <col min="44" max="44" width="8" customWidth="1"/>
    <col min="45" max="45" width="7.42578125" customWidth="1"/>
    <col min="46" max="46" width="7.5703125" customWidth="1"/>
    <col min="47" max="47" width="7.42578125" customWidth="1"/>
    <col min="48" max="48" width="7" customWidth="1"/>
    <col min="49" max="49" width="7.42578125" customWidth="1"/>
    <col min="50" max="50" width="6.42578125" customWidth="1"/>
    <col min="51" max="51" width="11" hidden="1" customWidth="1"/>
    <col min="52" max="52" width="9.140625" hidden="1" customWidth="1"/>
    <col min="53" max="53" width="11.28515625" hidden="1" customWidth="1"/>
    <col min="54" max="54" width="9.140625" hidden="1" customWidth="1"/>
    <col min="55" max="56" width="0" hidden="1" customWidth="1"/>
    <col min="57" max="57" width="7.28515625" customWidth="1"/>
    <col min="58" max="58" width="7.42578125" customWidth="1"/>
  </cols>
  <sheetData>
    <row r="3" spans="1:69">
      <c r="A3" s="446" t="s">
        <v>294</v>
      </c>
      <c r="B3" s="447"/>
    </row>
    <row r="4" spans="1:69">
      <c r="A4" s="50" t="s">
        <v>297</v>
      </c>
      <c r="B4" s="210">
        <f>MIN(SUM($H$11:$AE$11),SUM($G$12:$G$40))</f>
        <v>5.4</v>
      </c>
      <c r="C4" t="s">
        <v>295</v>
      </c>
    </row>
    <row r="5" spans="1:69" ht="15.75">
      <c r="A5" s="50" t="s">
        <v>298</v>
      </c>
      <c r="B5" s="210">
        <f>MAX(SUM($H$11:$AE$11),SUM($G$12:$G$40))</f>
        <v>5.4</v>
      </c>
      <c r="C5" t="s">
        <v>295</v>
      </c>
      <c r="AI5" s="83" t="s">
        <v>57</v>
      </c>
      <c r="AJ5" s="215">
        <f>Скважина!C7</f>
        <v>1514</v>
      </c>
    </row>
    <row r="6" spans="1:69">
      <c r="A6" s="50" t="s">
        <v>296</v>
      </c>
      <c r="B6" s="210">
        <f>B5/B4</f>
        <v>1</v>
      </c>
    </row>
    <row r="7" spans="1:69" ht="19.5" thickBot="1">
      <c r="AH7" s="32" t="str">
        <f>CONCATENATE("Определение осадки условного фундамента по скважине №",AJ$5)</f>
        <v>Определение осадки условного фундамента по скважине №1514</v>
      </c>
      <c r="AI7" s="30"/>
      <c r="AJ7" s="30"/>
      <c r="AK7" s="30"/>
      <c r="AL7" s="30"/>
      <c r="AM7" s="30"/>
      <c r="AN7" s="30"/>
      <c r="AO7" s="30"/>
      <c r="AP7" s="30"/>
    </row>
    <row r="8" spans="1:69" ht="48" thickBot="1">
      <c r="AG8" s="73" t="s">
        <v>1</v>
      </c>
      <c r="AH8" s="74" t="s">
        <v>31</v>
      </c>
      <c r="AI8" s="74" t="s">
        <v>32</v>
      </c>
      <c r="AJ8" s="88" t="s">
        <v>171</v>
      </c>
      <c r="AK8" s="74" t="s">
        <v>33</v>
      </c>
      <c r="AL8" s="74" t="s">
        <v>34</v>
      </c>
      <c r="AM8" s="74" t="s">
        <v>35</v>
      </c>
      <c r="AN8" s="74" t="s">
        <v>55</v>
      </c>
      <c r="AO8" s="74" t="s">
        <v>36</v>
      </c>
      <c r="AP8" s="74" t="s">
        <v>58</v>
      </c>
      <c r="AQ8" s="74" t="s">
        <v>159</v>
      </c>
      <c r="AR8" s="74" t="s">
        <v>172</v>
      </c>
      <c r="AS8" s="74" t="s">
        <v>173</v>
      </c>
      <c r="AT8" s="89" t="s">
        <v>37</v>
      </c>
      <c r="AU8" s="74" t="s">
        <v>174</v>
      </c>
      <c r="AV8" s="74" t="s">
        <v>175</v>
      </c>
      <c r="AW8" s="74" t="s">
        <v>179</v>
      </c>
      <c r="AX8" s="74" t="s">
        <v>180</v>
      </c>
      <c r="AY8" s="74" t="s">
        <v>301</v>
      </c>
      <c r="AZ8" s="74" t="s">
        <v>302</v>
      </c>
      <c r="BA8" s="74" t="s">
        <v>303</v>
      </c>
      <c r="BB8" s="74" t="s">
        <v>304</v>
      </c>
      <c r="BC8" s="74" t="s">
        <v>300</v>
      </c>
      <c r="BD8" s="74"/>
      <c r="BE8" s="74" t="s">
        <v>38</v>
      </c>
      <c r="BF8" s="76" t="s">
        <v>181</v>
      </c>
      <c r="BH8" s="90" t="s">
        <v>182</v>
      </c>
      <c r="BI8" s="90" t="s">
        <v>183</v>
      </c>
      <c r="BJ8" s="91" t="s">
        <v>185</v>
      </c>
      <c r="BK8" s="92" t="s">
        <v>186</v>
      </c>
      <c r="BL8" s="93" t="s">
        <v>187</v>
      </c>
    </row>
    <row r="9" spans="1:69" ht="15" customHeight="1" thickBot="1">
      <c r="A9" s="381" t="s">
        <v>160</v>
      </c>
      <c r="B9" s="381"/>
      <c r="AG9" s="390">
        <f>'Осадка куста'!G9</f>
        <v>10</v>
      </c>
      <c r="AH9" s="390">
        <f>IF(AG9&gt;20,0,VLOOKUP(AG9,Скважина!$E$8:$K$27,2,FALSE))</f>
        <v>6</v>
      </c>
      <c r="AI9" s="388" t="str">
        <f>IF(OR(AH9=0,AG9&gt;20),0,VLOOKUP(AH9,Геология!$D$7:$BO$993,7,FALSE))</f>
        <v>Суглинки полутвердые   с прослоями твердых глин</v>
      </c>
      <c r="AJ9" s="428">
        <f>VLOOKUP(AH9,Геология!$D$7:$BO$993,23,FALSE)</f>
        <v>20.004239999999999</v>
      </c>
      <c r="AK9" s="388">
        <f>Скважина!$C$8</f>
        <v>120</v>
      </c>
      <c r="AL9" s="390">
        <f>VLOOKUP(AG9,Скважина!$E$8:$K$27,5,FALSE)</f>
        <v>118</v>
      </c>
      <c r="AM9" s="461">
        <f>IF(IF(AH9&lt;&gt;0,AK9-AL9,0)&lt;0,0,IF(AH9&lt;&gt;0,AK9-AL9,0))</f>
        <v>2</v>
      </c>
      <c r="AN9" s="460">
        <v>10</v>
      </c>
      <c r="AO9" s="444">
        <f>IF(AH9&lt;&gt;0,1,0)</f>
        <v>1</v>
      </c>
      <c r="AP9" s="444">
        <f t="shared" ref="AP9" si="0">IF(AO9&lt;&gt;" ",AM$9/COUNT(AO$9:AO$28), " ")</f>
        <v>0.2</v>
      </c>
      <c r="AQ9" s="200">
        <v>0</v>
      </c>
      <c r="AR9" s="200">
        <f>SUM('Несущая способность по грунту 1'!AO9:AO88)</f>
        <v>244.94407400000003</v>
      </c>
      <c r="AS9" s="87">
        <f>IF(AQ9&lt;&gt;" ",2*AQ9/$B$10," ")</f>
        <v>0</v>
      </c>
      <c r="AT9" s="200" cm="1">
        <f t="array" ref="AT9">IF(AS9&lt;&gt;" ",Interpol(31,8,Служебный!$H$54:$H$84,Служебный!$I$53:$P$53,Служебный!$I$54:$P$84,'Осадка поля'!$AS9,'Осадка поля'!$B$6)," ")</f>
        <v>1</v>
      </c>
      <c r="AU9" s="200">
        <f t="shared" ref="AU9:AU72" si="1">IF(AS9&lt;&gt;" ",$B$11*AT9," ")</f>
        <v>110.90877914951989</v>
      </c>
      <c r="AV9" s="200">
        <f>IF(AP9&lt;&gt;" ",AR9*0.5," ")</f>
        <v>122.47203700000001</v>
      </c>
      <c r="AW9" s="444">
        <f>IF(AO9&lt;&gt;" ",(AU9+AU10)/2," ")</f>
        <v>110.49800589341055</v>
      </c>
      <c r="AX9" s="444">
        <f>IF(AH9&lt;&gt;0,VLOOKUP(AH9,Геология!$D$7:$BO$993,21,FALSE)," ")</f>
        <v>22</v>
      </c>
      <c r="AY9" s="444" t="str">
        <f>IF(AP9&lt;&gt;" ",IF(AQ9&gt;$B$15,"Нет","Да")," ")</f>
        <v>Да</v>
      </c>
      <c r="AZ9" s="444" t="str">
        <f>IF(AP9&lt;&gt;" ",IF(AW9&gt;0.5*(AV9+AV10),"Да","Нет")," ")</f>
        <v>Нет</v>
      </c>
      <c r="BA9" s="444" t="str">
        <f>IF(AP9&lt;&gt;" ",IF(OR($AX$9&lt;7,$AX$9=7),"Да","Нет")," ")</f>
        <v>Нет</v>
      </c>
      <c r="BB9" s="444" t="str">
        <f>IF(AP9&lt;&gt;" ",IF(AW9&gt;0.2*0.5*(AR9+AR10),"Да","Нет")," ")</f>
        <v>Да</v>
      </c>
      <c r="BC9" s="444">
        <f>IF(AND(BE9&lt;&gt;0,BE9&lt;&gt;" "),AP9,0)</f>
        <v>0.2</v>
      </c>
      <c r="BD9" s="444">
        <f>IF(AP9&lt;&gt;" ",IF(OR(AU9&lt;AR9,AU9=AR9),0.8*AW9*AP9/(5*$AX$9*10),0.8*AW9*AP9/($AX$9*10))," ")</f>
        <v>1.6072437220859718E-2</v>
      </c>
      <c r="BE9" s="444">
        <f>IF(AP9&lt;&gt;" ",IF(AND(AY9="Нет",AZ9="Нет",BA9="Нет"),0,IF(AY9="Да",BD9,IF(AZ9="Да",BD9,IF(BA9="Да",BD9)))),0)</f>
        <v>1.6072437220859718E-2</v>
      </c>
      <c r="BF9" s="233">
        <f>SUM(BE9:BE328)</f>
        <v>0.19819466051461118</v>
      </c>
      <c r="BH9" s="448">
        <f>IF(AH9&lt;&gt;0,VLOOKUP(AH9,Геология!$D$7:$BO$993,24,FALSE)," ")</f>
        <v>0.37</v>
      </c>
      <c r="BI9" s="449">
        <f>IF(BH9&lt;&gt;" ",BH9*AM9," ")</f>
        <v>0.74</v>
      </c>
      <c r="BJ9" s="201">
        <f>SUM(BI9:BI328)/SUM(AM9:AM328)</f>
        <v>0.31088270858524791</v>
      </c>
      <c r="BK9" s="456">
        <f>IF(AM9&lt;&gt;0,AX9*AM9," ")</f>
        <v>44</v>
      </c>
      <c r="BL9" s="212">
        <f>SUM(BK9:BK328)/SUM(AM9:AM328)</f>
        <v>21.483675937122126</v>
      </c>
      <c r="BN9" t="s">
        <v>339</v>
      </c>
    </row>
    <row r="10" spans="1:69">
      <c r="A10" s="184" t="s">
        <v>161</v>
      </c>
      <c r="B10" s="53">
        <f>B4</f>
        <v>5.4</v>
      </c>
      <c r="F10" s="451" t="s">
        <v>299</v>
      </c>
      <c r="G10" s="452"/>
      <c r="H10" s="448" t="s">
        <v>256</v>
      </c>
      <c r="I10" s="449"/>
      <c r="J10" s="449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  <c r="AD10" s="449"/>
      <c r="AE10" s="450"/>
      <c r="AG10" s="370"/>
      <c r="AH10" s="370"/>
      <c r="AI10" s="364"/>
      <c r="AJ10" s="425"/>
      <c r="AK10" s="364"/>
      <c r="AL10" s="370"/>
      <c r="AM10" s="459"/>
      <c r="AN10" s="386"/>
      <c r="AO10" s="353"/>
      <c r="AP10" s="353"/>
      <c r="AQ10" s="198">
        <f>AQ9+AP9</f>
        <v>0.2</v>
      </c>
      <c r="AR10" s="198">
        <f>AR9+$AJ$9*AP9</f>
        <v>248.94492200000002</v>
      </c>
      <c r="AS10" s="86">
        <f t="shared" ref="AS10:AS73" si="2">IF(AQ10&lt;&gt;" ",2*AQ10/$B$10," ")</f>
        <v>7.407407407407407E-2</v>
      </c>
      <c r="AT10" s="264" cm="1">
        <f t="array" ref="AT10">IF(AS10&lt;&gt;" ",Interpol(31,8,Служебный!$H$54:$H$84,Служебный!$I$53:$P$53,Служебный!$I$54:$P$84,'Осадка поля'!$AS10,'Осадка поля'!$B$6)," ")</f>
        <v>0.99259259259259258</v>
      </c>
      <c r="AU10" s="198">
        <f t="shared" si="1"/>
        <v>110.08723263730123</v>
      </c>
      <c r="AV10" s="198">
        <f>IF(AP9&lt;&gt;" ",AR10*0.5," ")</f>
        <v>124.47246100000001</v>
      </c>
      <c r="AW10" s="353"/>
      <c r="AX10" s="353"/>
      <c r="AY10" s="353"/>
      <c r="AZ10" s="353"/>
      <c r="BA10" s="353"/>
      <c r="BB10" s="353"/>
      <c r="BC10" s="353"/>
      <c r="BD10" s="353"/>
      <c r="BE10" s="353"/>
      <c r="BF10" s="233"/>
      <c r="BH10" s="418"/>
      <c r="BI10" s="419"/>
      <c r="BJ10" s="202"/>
      <c r="BK10" s="419"/>
      <c r="BL10" s="213"/>
      <c r="BN10" s="192"/>
      <c r="BO10" s="222">
        <v>1</v>
      </c>
      <c r="BP10" s="66">
        <f>$B$6</f>
        <v>1</v>
      </c>
      <c r="BQ10" s="223">
        <v>1.4</v>
      </c>
    </row>
    <row r="11" spans="1:69" ht="18.75" customHeight="1" thickBot="1">
      <c r="A11" s="380" t="s">
        <v>162</v>
      </c>
      <c r="B11" s="462">
        <f>SUM(SUM(I12:I40),SUM(K12:K40),SUM(M12:M40),SUM(O12:O40),SUM(S12:S40),SUM(U12:U40),SUM(W12:W40),SUM(Y12:Y40),SUM(AA12:AA40),SUM(AC12:AC40),SUM(AE12:AE40),SUM(Q12:Q40))/($B$4*$B$5)</f>
        <v>110.90877914951989</v>
      </c>
      <c r="F11" s="453" t="s">
        <v>255</v>
      </c>
      <c r="G11" s="183"/>
      <c r="H11" s="186">
        <f>I11/2</f>
        <v>0.45</v>
      </c>
      <c r="I11" s="121">
        <v>0.9</v>
      </c>
      <c r="J11" s="122"/>
      <c r="K11" s="121">
        <v>0.9</v>
      </c>
      <c r="L11" s="122"/>
      <c r="M11" s="121">
        <v>0.9</v>
      </c>
      <c r="N11" s="122"/>
      <c r="O11" s="121">
        <v>0.9</v>
      </c>
      <c r="P11" s="122"/>
      <c r="Q11" s="121">
        <v>0.9</v>
      </c>
      <c r="R11" s="122"/>
      <c r="S11" s="121">
        <v>0</v>
      </c>
      <c r="T11" s="122"/>
      <c r="U11" s="121">
        <v>0</v>
      </c>
      <c r="V11" s="122"/>
      <c r="W11" s="121">
        <v>0</v>
      </c>
      <c r="X11" s="122"/>
      <c r="Y11" s="121">
        <v>0</v>
      </c>
      <c r="Z11" s="122"/>
      <c r="AA11" s="121">
        <v>0</v>
      </c>
      <c r="AB11" s="122"/>
      <c r="AC11" s="121">
        <v>0</v>
      </c>
      <c r="AD11" s="122"/>
      <c r="AE11" s="28">
        <f>IF(AC11&lt;&gt;0,AC11/2,IF(AA11&lt;&gt;0,AA11/2,IF(Y11&lt;&gt;0,Y11/2,IF(W11&lt;&gt;0,W11/2,IF(U11&lt;&gt;0,U11/2,IF(S11&lt;&gt;0,S11/2,IF(Q11&lt;&gt;0,Q11/2,IF(O11&lt;&gt;0,O11/2,IF(M11&lt;&gt;0,M11/2,IF(K11&lt;&gt;0,K11/2,IF(I11&lt;&gt;0,I11/2,0)))))))))))</f>
        <v>0.45</v>
      </c>
      <c r="AG11" s="370"/>
      <c r="AH11" s="370"/>
      <c r="AI11" s="364"/>
      <c r="AJ11" s="425"/>
      <c r="AK11" s="364"/>
      <c r="AL11" s="370"/>
      <c r="AM11" s="459"/>
      <c r="AN11" s="386"/>
      <c r="AO11" s="353">
        <f>IF(AO9=" "," ", IF(AO9&lt;AN$9,AO9+1, " "))</f>
        <v>2</v>
      </c>
      <c r="AP11" s="353">
        <f t="shared" ref="AP11" si="3">IF(AO11&lt;&gt;" ",AM$9/COUNT(AO$9:AO$28), " ")</f>
        <v>0.2</v>
      </c>
      <c r="AQ11" s="198">
        <f>IF(AP11&lt;&gt;" ",SUM($AP$9:AP9)," ")</f>
        <v>0.2</v>
      </c>
      <c r="AR11" s="198">
        <f>IF(AP11&lt;&gt;" ",MAX($AR$9:AR10)," ")</f>
        <v>248.94492200000002</v>
      </c>
      <c r="AS11" s="86">
        <f t="shared" si="2"/>
        <v>7.407407407407407E-2</v>
      </c>
      <c r="AT11" s="264" cm="1">
        <f t="array" ref="AT11">IF(AS11&lt;&gt;" ",Interpol(31,8,Служебный!$H$54:$H$84,Служебный!$I$53:$P$53,Служебный!$I$54:$P$84,'Осадка поля'!$AS11,'Осадка поля'!$B$6)," ")</f>
        <v>0.99259259259259258</v>
      </c>
      <c r="AU11" s="198">
        <f t="shared" si="1"/>
        <v>110.08723263730123</v>
      </c>
      <c r="AV11" s="198">
        <f>IF(AP11&lt;&gt;" ",AR11*0.5," ")</f>
        <v>124.47246100000001</v>
      </c>
      <c r="AW11" s="353">
        <f>IF(AO11&lt;&gt;" ",(AU11+AU12)/2," ")</f>
        <v>109.67645938119189</v>
      </c>
      <c r="AX11" s="353"/>
      <c r="AY11" s="353" t="str">
        <f t="shared" ref="AY11" si="4">IF(AP11&lt;&gt;" ",IF(AQ11&gt;$B$15,"Нет","Да")," ")</f>
        <v>Да</v>
      </c>
      <c r="AZ11" s="353" t="str">
        <f t="shared" ref="AZ11" si="5">IF(AP11&lt;&gt;" ",IF(AW11&gt;0.5*(AV11+AV12),"Да","Нет")," ")</f>
        <v>Нет</v>
      </c>
      <c r="BA11" s="353" t="str">
        <f t="shared" ref="BA11" si="6">IF(AP11&lt;&gt;" ",IF(OR($AX$9&lt;7,$AX$9=7),"Да","Нет")," ")</f>
        <v>Нет</v>
      </c>
      <c r="BB11" s="353" t="str">
        <f t="shared" ref="BB11" si="7">IF(AP11&lt;&gt;" ",IF(AW11&gt;0.2*0.5*(AR11+AR12),"Да","Нет")," ")</f>
        <v>Да</v>
      </c>
      <c r="BC11" s="353">
        <f t="shared" ref="BC11" si="8">IF(AND(BE11&lt;&gt;0,BE11&lt;&gt;" "),AP11,0)</f>
        <v>0.2</v>
      </c>
      <c r="BD11" s="353">
        <f t="shared" ref="BD11" si="9">IF(AP11&lt;&gt;" ",IF(OR(AU11&lt;AR11,AU11=AR11),0.8*AW11*AP11/(5*$AX$9*10),0.8*AW11*AP11/($AX$9*10))," ")</f>
        <v>1.5952939546355186E-2</v>
      </c>
      <c r="BE11" s="353">
        <f t="shared" ref="BE11" si="10">IF(AP11&lt;&gt;" ",IF(AND(AY11="Нет",AZ11="Нет",BA11="Нет"),0,IF(AY11="Да",BD11,IF(AZ11="Да",BD11,IF(BA11="Да",BD11)))),0)</f>
        <v>1.5952939546355186E-2</v>
      </c>
      <c r="BF11" s="232"/>
      <c r="BH11" s="418"/>
      <c r="BI11" s="419"/>
      <c r="BJ11" s="202"/>
      <c r="BK11" s="419"/>
      <c r="BL11" s="213"/>
      <c r="BN11" s="224">
        <v>0.4</v>
      </c>
      <c r="BO11" s="218">
        <f>IF('Осадка поля'!$BO$10=1,VLOOKUP($BN$11,Служебный!H54:O84,3,FALSE),IF('Осадка поля'!$BO$10=1.4,VLOOKUP($BN$11,Служебный!H54:O84,4,FALSE),IF('Осадка поля'!$BO$10=1.8,VLOOKUP($BN$11,Служебный!H54:O84,5,FALSE),IF('Осадка поля'!$BO$10=2.4,VLOOKUP($BN$11,Служебный!H54:O84,6,FALSE),IF('Осадка поля'!$BO$10=3.2,VLOOKUP($BN$11,Служебный!H54:O84,7,FALSE),IF('Осадка поля'!$BO$10=5,VLOOKUP($BN$11,Служебный!H54:O84,8,FALSE),"НЕ ВЕРНО"))))))</f>
        <v>0.96</v>
      </c>
      <c r="BP11" s="220">
        <f>($BQ11-$BO11)/($BQ$10-$BO$10)*($BP$10-$BO$10)+$BO11</f>
        <v>0.96</v>
      </c>
      <c r="BQ11" s="225">
        <f>IF('Осадка поля'!$BQ$10=1,VLOOKUP($BN$11,Служебный!H54:O84,3,FALSE),IF('Осадка поля'!$BQ$10=1.4,VLOOKUP($BN$11,Служебный!H54:O84,4,FALSE),IF('Осадка поля'!$BQ$10=1.8,VLOOKUP($BN$11,Служебный!H54:O84,5,FALSE),IF('Осадка поля'!$BQ$10=2.4,VLOOKUP($BN$11,Служебный!H54:O84,6,FALSE),IF('Осадка поля'!$BQ$10=3.2,VLOOKUP($BN$11,Служебный!H54:O84,7,FALSE),IF('Осадка поля'!$BQ$10=5,VLOOKUP($BN$11,Служебный!H54:O84,8,FALSE),"НЕ ВЕРНО"))))))</f>
        <v>0.97199999999999998</v>
      </c>
    </row>
    <row r="12" spans="1:69" ht="15" customHeight="1" thickBot="1">
      <c r="A12" s="380"/>
      <c r="B12" s="462"/>
      <c r="F12" s="454"/>
      <c r="G12" s="78">
        <f>G13/2</f>
        <v>0.45</v>
      </c>
      <c r="H12" s="123">
        <v>1</v>
      </c>
      <c r="I12" s="137">
        <v>109.26</v>
      </c>
      <c r="J12" s="123">
        <v>2</v>
      </c>
      <c r="K12" s="137">
        <v>109.75</v>
      </c>
      <c r="L12" s="123">
        <v>3</v>
      </c>
      <c r="M12" s="137">
        <v>109.81</v>
      </c>
      <c r="N12" s="123">
        <v>4</v>
      </c>
      <c r="O12" s="137">
        <v>109.69</v>
      </c>
      <c r="P12" s="123">
        <v>5</v>
      </c>
      <c r="Q12" s="137">
        <v>109.15</v>
      </c>
      <c r="R12" s="123"/>
      <c r="S12" s="137"/>
      <c r="T12" s="123"/>
      <c r="U12" s="137"/>
      <c r="V12" s="123"/>
      <c r="W12" s="137"/>
      <c r="X12" s="123"/>
      <c r="Y12" s="137"/>
      <c r="Z12" s="123"/>
      <c r="AA12" s="137"/>
      <c r="AB12" s="123"/>
      <c r="AC12" s="137"/>
      <c r="AD12" s="123"/>
      <c r="AE12" s="231"/>
      <c r="AG12" s="370"/>
      <c r="AH12" s="370"/>
      <c r="AI12" s="364"/>
      <c r="AJ12" s="425"/>
      <c r="AK12" s="364"/>
      <c r="AL12" s="370"/>
      <c r="AM12" s="459"/>
      <c r="AN12" s="386"/>
      <c r="AO12" s="353"/>
      <c r="AP12" s="353"/>
      <c r="AQ12" s="198">
        <f>IF(AP11&lt;&gt;" ",MAX($AQ$9:AQ11)+AP11," ")</f>
        <v>0.4</v>
      </c>
      <c r="AR12" s="198">
        <f>IF(AP11&lt;&gt;" ",MAX($AR$9:AR11)+$AJ$9*AP11," ")</f>
        <v>252.94577000000001</v>
      </c>
      <c r="AS12" s="86">
        <f t="shared" si="2"/>
        <v>0.14814814814814814</v>
      </c>
      <c r="AT12" s="264" cm="1">
        <f t="array" ref="AT12">IF(AS12&lt;&gt;" ",Interpol(31,8,Служебный!$H$54:$H$84,Служебный!$I$53:$P$53,Служебный!$I$54:$P$84,'Осадка поля'!$AS12,'Осадка поля'!$B$6)," ")</f>
        <v>0.98518518518518516</v>
      </c>
      <c r="AU12" s="198">
        <f t="shared" si="1"/>
        <v>109.26568612508255</v>
      </c>
      <c r="AV12" s="198">
        <f>IF(AP11&lt;&gt;" ",AR12*0.5," ")</f>
        <v>126.47288500000001</v>
      </c>
      <c r="AW12" s="353"/>
      <c r="AX12" s="353"/>
      <c r="AY12" s="353"/>
      <c r="AZ12" s="353"/>
      <c r="BA12" s="353"/>
      <c r="BB12" s="353"/>
      <c r="BC12" s="353"/>
      <c r="BD12" s="353"/>
      <c r="BE12" s="353"/>
      <c r="BF12" s="232"/>
      <c r="BH12" s="418"/>
      <c r="BI12" s="419"/>
      <c r="BJ12" s="202"/>
      <c r="BK12" s="419"/>
      <c r="BL12" s="213"/>
      <c r="BN12" s="224">
        <v>0.56850000000000001</v>
      </c>
      <c r="BO12" s="219"/>
      <c r="BP12" s="221">
        <f>(BP13-BP11)/(BN13-BN11)*(BN12-BN11)+BP11</f>
        <v>0.89260000000000006</v>
      </c>
      <c r="BQ12" s="226"/>
    </row>
    <row r="13" spans="1:69" ht="15" customHeight="1" thickBot="1">
      <c r="A13" s="380"/>
      <c r="B13" s="462"/>
      <c r="F13" s="454"/>
      <c r="G13" s="124">
        <v>0.9</v>
      </c>
      <c r="H13" s="12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20"/>
      <c r="AG13" s="370"/>
      <c r="AH13" s="370"/>
      <c r="AI13" s="364"/>
      <c r="AJ13" s="425"/>
      <c r="AK13" s="364"/>
      <c r="AL13" s="370"/>
      <c r="AM13" s="459"/>
      <c r="AN13" s="386"/>
      <c r="AO13" s="353">
        <f>IF(AO11=" "," ", IF(AO11&lt;AN$9,AO11+1, " "))</f>
        <v>3</v>
      </c>
      <c r="AP13" s="353">
        <f t="shared" ref="AP13" si="11">IF(AO13&lt;&gt;" ",AM$9/COUNT(AO$9:AO$28), " ")</f>
        <v>0.2</v>
      </c>
      <c r="AQ13" s="198">
        <f>IF(AP13&lt;&gt;" ",SUM($AP$9:AP11)," ")</f>
        <v>0.4</v>
      </c>
      <c r="AR13" s="198">
        <f>IF(AP13&lt;&gt;" ",MAX($AR$9:AR12)," ")</f>
        <v>252.94577000000001</v>
      </c>
      <c r="AS13" s="86">
        <f t="shared" si="2"/>
        <v>0.14814814814814814</v>
      </c>
      <c r="AT13" s="264" cm="1">
        <f t="array" ref="AT13">IF(AS13&lt;&gt;" ",Interpol(31,8,Служебный!$H$54:$H$84,Служебный!$I$53:$P$53,Служебный!$I$54:$P$84,'Осадка поля'!$AS13,'Осадка поля'!$B$6)," ")</f>
        <v>0.98518518518518516</v>
      </c>
      <c r="AU13" s="198">
        <f t="shared" si="1"/>
        <v>109.26568612508255</v>
      </c>
      <c r="AV13" s="198">
        <f>IF(AP13&lt;&gt;" ",AR13*0.5," ")</f>
        <v>126.47288500000001</v>
      </c>
      <c r="AW13" s="353">
        <f>IF(AO13&lt;&gt;" ",(AU13+AU14)/2," ")</f>
        <v>108.85491286897323</v>
      </c>
      <c r="AX13" s="353"/>
      <c r="AY13" s="353" t="str">
        <f t="shared" ref="AY13" si="12">IF(AP13&lt;&gt;" ",IF(AQ13&gt;$B$15,"Нет","Да")," ")</f>
        <v>Да</v>
      </c>
      <c r="AZ13" s="353" t="str">
        <f t="shared" ref="AZ13" si="13">IF(AP13&lt;&gt;" ",IF(AW13&gt;0.5*(AV13+AV14),"Да","Нет")," ")</f>
        <v>Нет</v>
      </c>
      <c r="BA13" s="353" t="str">
        <f t="shared" ref="BA13" si="14">IF(AP13&lt;&gt;" ",IF(OR($AX$9&lt;7,$AX$9=7),"Да","Нет")," ")</f>
        <v>Нет</v>
      </c>
      <c r="BB13" s="353" t="str">
        <f t="shared" ref="BB13" si="15">IF(AP13&lt;&gt;" ",IF(AW13&gt;0.2*0.5*(AR13+AR14),"Да","Нет")," ")</f>
        <v>Да</v>
      </c>
      <c r="BC13" s="353">
        <f t="shared" ref="BC13" si="16">IF(AND(BE13&lt;&gt;0,BE13&lt;&gt;" "),AP13,0)</f>
        <v>0.2</v>
      </c>
      <c r="BD13" s="353">
        <f t="shared" ref="BD13" si="17">IF(AP13&lt;&gt;" ",IF(OR(AU13&lt;AR13,AU13=AR13),0.8*AW13*AP13/(5*$AX$9*10),0.8*AW13*AP13/($AX$9*10))," ")</f>
        <v>1.5833441871850654E-2</v>
      </c>
      <c r="BE13" s="353">
        <f t="shared" ref="BE13" si="18">IF(AP13&lt;&gt;" ",IF(AND(AY13="Нет",AZ13="Нет",BA13="Нет"),0,IF(AY13="Да",BD13,IF(AZ13="Да",BD13,IF(BA13="Да",BD13)))),0)</f>
        <v>1.5833441871850654E-2</v>
      </c>
      <c r="BF13" s="232"/>
      <c r="BH13" s="418"/>
      <c r="BI13" s="419"/>
      <c r="BJ13" s="202"/>
      <c r="BK13" s="419"/>
      <c r="BL13" s="213"/>
      <c r="BN13" s="227">
        <v>0.8</v>
      </c>
      <c r="BO13" s="228">
        <f>IF('Осадка поля'!$BO$10=1,VLOOKUP($BN$13,Служебный!H54:O84,3,FALSE),IF('Осадка поля'!$BO$10=1.4,VLOOKUP($BN$13,Служебный!H54:O84,4,FALSE),IF('Осадка поля'!$BO$10=1.8,VLOOKUP($BN$13,Служебный!H54:O84,5,FALSE),IF('Осадка поля'!$BO$10=2.4,VLOOKUP($BN$13,Служебный!H54:O84,6,FALSE),IF('Осадка поля'!$BO$10=3.2,VLOOKUP($BN$13,Служебный!H54:O84,7,FALSE),IF('Осадка поля'!$BO$10=5,VLOOKUP($BN$13,Служебный!H54:O84,8,FALSE),"НЕ ВЕРНО"))))))</f>
        <v>0.8</v>
      </c>
      <c r="BP13" s="229">
        <f t="shared" ref="BP13" si="19">($BQ13-$BO13)/($BQ$10-$BO$10)*($BP$10-$BO$10)+$BO13</f>
        <v>0.8</v>
      </c>
      <c r="BQ13" s="230">
        <f>IF('Осадка поля'!$BQ$10=1,VLOOKUP($BN$13,Служебный!H54:O84,3,FALSE),IF('Осадка поля'!$BQ$10=1.4,VLOOKUP($BN$13,Служебный!H54:O84,4,FALSE),IF('Осадка поля'!$BQ$10=1.8,VLOOKUP($BN$13,Служебный!H54:O84,5,FALSE),IF('Осадка поля'!$BQ$10=2.4,VLOOKUP($BN$13,Служебный!H54:O84,6,FALSE),IF('Осадка поля'!$BQ$10=3.2,VLOOKUP($BN$13,Служебный!H54:O84,7,FALSE),IF('Осадка поля'!$BQ$10=5,VLOOKUP($BN$13,Служебный!H54:O84,8,FALSE),"НЕ ВЕРНО"))))))</f>
        <v>0.84799999999999998</v>
      </c>
    </row>
    <row r="14" spans="1:69" ht="15" customHeight="1" thickBot="1">
      <c r="A14" s="23" t="s">
        <v>307</v>
      </c>
      <c r="B14" s="53">
        <f>'Несущая способность по грунту 1'!AP9</f>
        <v>17.761496597938141</v>
      </c>
      <c r="F14" s="454"/>
      <c r="G14" s="78"/>
      <c r="H14" s="123">
        <v>6</v>
      </c>
      <c r="I14" s="138">
        <v>101.59</v>
      </c>
      <c r="J14" s="123">
        <v>7</v>
      </c>
      <c r="K14" s="138">
        <v>102.04</v>
      </c>
      <c r="L14" s="123">
        <v>8</v>
      </c>
      <c r="M14" s="138">
        <v>102.12</v>
      </c>
      <c r="N14" s="123">
        <v>9</v>
      </c>
      <c r="O14" s="138">
        <v>101.99</v>
      </c>
      <c r="P14" s="123">
        <v>10</v>
      </c>
      <c r="Q14" s="138">
        <v>101.49</v>
      </c>
      <c r="R14" s="123"/>
      <c r="S14" s="138"/>
      <c r="T14" s="123"/>
      <c r="U14" s="127"/>
      <c r="V14" s="123"/>
      <c r="W14" s="127"/>
      <c r="X14" s="123"/>
      <c r="Y14" s="127"/>
      <c r="Z14" s="123"/>
      <c r="AA14" s="127"/>
      <c r="AB14" s="123"/>
      <c r="AC14" s="127"/>
      <c r="AD14" s="123"/>
      <c r="AE14" s="127"/>
      <c r="AG14" s="370"/>
      <c r="AH14" s="370"/>
      <c r="AI14" s="364"/>
      <c r="AJ14" s="425"/>
      <c r="AK14" s="364"/>
      <c r="AL14" s="370"/>
      <c r="AM14" s="459"/>
      <c r="AN14" s="386"/>
      <c r="AO14" s="353"/>
      <c r="AP14" s="353"/>
      <c r="AQ14" s="198">
        <f>IF(AP13&lt;&gt;" ",MAX($AQ$9:AQ13)+AP13," ")</f>
        <v>0.60000000000000009</v>
      </c>
      <c r="AR14" s="198">
        <f>IF(AP13&lt;&gt;" ",MAX($AR$9:AR13)+$AJ$9*AP13," ")</f>
        <v>256.946618</v>
      </c>
      <c r="AS14" s="86">
        <f t="shared" si="2"/>
        <v>0.22222222222222224</v>
      </c>
      <c r="AT14" s="264" cm="1">
        <f t="array" ref="AT14">IF(AS14&lt;&gt;" ",Interpol(31,8,Служебный!$H$54:$H$84,Служебный!$I$53:$P$53,Служебный!$I$54:$P$84,'Осадка поля'!$AS14,'Осадка поля'!$B$6)," ")</f>
        <v>0.97777777777777775</v>
      </c>
      <c r="AU14" s="198">
        <f t="shared" si="1"/>
        <v>108.44413961286389</v>
      </c>
      <c r="AV14" s="198">
        <f>IF(AP13&lt;&gt;" ",AR14*0.5," ")</f>
        <v>128.473309</v>
      </c>
      <c r="AW14" s="353"/>
      <c r="AX14" s="353"/>
      <c r="AY14" s="353"/>
      <c r="AZ14" s="353"/>
      <c r="BA14" s="353"/>
      <c r="BB14" s="353"/>
      <c r="BC14" s="353"/>
      <c r="BD14" s="353"/>
      <c r="BE14" s="353"/>
      <c r="BF14" s="232"/>
      <c r="BH14" s="418"/>
      <c r="BI14" s="419"/>
      <c r="BJ14" s="202"/>
      <c r="BK14" s="419"/>
      <c r="BL14" s="213"/>
    </row>
    <row r="15" spans="1:69" ht="15" customHeight="1" thickBot="1">
      <c r="A15" s="23" t="s">
        <v>176</v>
      </c>
      <c r="B15" s="53">
        <f>IF(B10&lt;10,B10/2,IF(B10&gt;60,10,4+0.1*B10))</f>
        <v>2.7</v>
      </c>
      <c r="F15" s="454"/>
      <c r="G15" s="124">
        <v>0.9</v>
      </c>
      <c r="H15" s="125"/>
      <c r="I15" s="185"/>
      <c r="J15" s="185"/>
      <c r="K15" s="185"/>
      <c r="L15" s="185"/>
      <c r="M15" s="185"/>
      <c r="N15" s="185"/>
      <c r="O15" s="185"/>
      <c r="P15" s="185"/>
      <c r="Q15" s="185"/>
      <c r="R15" s="185"/>
      <c r="S15" s="185"/>
      <c r="T15" s="185"/>
      <c r="U15" s="185"/>
      <c r="V15" s="185"/>
      <c r="W15" s="185"/>
      <c r="X15" s="185"/>
      <c r="Y15" s="185"/>
      <c r="Z15" s="185"/>
      <c r="AA15" s="185"/>
      <c r="AB15" s="185"/>
      <c r="AC15" s="185"/>
      <c r="AD15" s="185"/>
      <c r="AE15" s="120"/>
      <c r="AG15" s="370"/>
      <c r="AH15" s="370"/>
      <c r="AI15" s="364"/>
      <c r="AJ15" s="425"/>
      <c r="AK15" s="364"/>
      <c r="AL15" s="370"/>
      <c r="AM15" s="459"/>
      <c r="AN15" s="386"/>
      <c r="AO15" s="353">
        <f>IF(AO13=" "," ", IF(AO13&lt;AN$9,AO13+1, " "))</f>
        <v>4</v>
      </c>
      <c r="AP15" s="353">
        <f t="shared" ref="AP15" si="20">IF(AO15&lt;&gt;" ",AM$9/COUNT(AO$9:AO$28), " ")</f>
        <v>0.2</v>
      </c>
      <c r="AQ15" s="198">
        <f>IF(AP15&lt;&gt;" ",SUM($AP$9:AP13)," ")</f>
        <v>0.60000000000000009</v>
      </c>
      <c r="AR15" s="198">
        <f>IF(AP15&lt;&gt;" ",MAX($AR$9:AR14)," ")</f>
        <v>256.946618</v>
      </c>
      <c r="AS15" s="86">
        <f t="shared" si="2"/>
        <v>0.22222222222222224</v>
      </c>
      <c r="AT15" s="264" cm="1">
        <f t="array" ref="AT15">IF(AS15&lt;&gt;" ",Interpol(31,8,Служебный!$H$54:$H$84,Служебный!$I$53:$P$53,Служебный!$I$54:$P$84,'Осадка поля'!$AS15,'Осадка поля'!$B$6)," ")</f>
        <v>0.97777777777777775</v>
      </c>
      <c r="AU15" s="198">
        <f t="shared" si="1"/>
        <v>108.44413961286389</v>
      </c>
      <c r="AV15" s="198">
        <f>IF(AP15&lt;&gt;" ",AR15*0.5," ")</f>
        <v>128.473309</v>
      </c>
      <c r="AW15" s="353">
        <f>IF(AO15&lt;&gt;" ",(AU15+AU16)/2," ")</f>
        <v>108.03336635675456</v>
      </c>
      <c r="AX15" s="353"/>
      <c r="AY15" s="353" t="str">
        <f t="shared" ref="AY15" si="21">IF(AP15&lt;&gt;" ",IF(AQ15&gt;$B$15,"Нет","Да")," ")</f>
        <v>Да</v>
      </c>
      <c r="AZ15" s="353" t="str">
        <f t="shared" ref="AZ15" si="22">IF(AP15&lt;&gt;" ",IF(AW15&gt;0.5*(AV15+AV16),"Да","Нет")," ")</f>
        <v>Нет</v>
      </c>
      <c r="BA15" s="353" t="str">
        <f t="shared" ref="BA15" si="23">IF(AP15&lt;&gt;" ",IF(OR($AX$9&lt;7,$AX$9=7),"Да","Нет")," ")</f>
        <v>Нет</v>
      </c>
      <c r="BB15" s="353" t="str">
        <f t="shared" ref="BB15" si="24">IF(AP15&lt;&gt;" ",IF(AW15&gt;0.2*0.5*(AR15+AR16),"Да","Нет")," ")</f>
        <v>Да</v>
      </c>
      <c r="BC15" s="353">
        <f t="shared" ref="BC15" si="25">IF(AND(BE15&lt;&gt;0,BE15&lt;&gt;" "),AP15,0)</f>
        <v>0.2</v>
      </c>
      <c r="BD15" s="353">
        <f t="shared" ref="BD15" si="26">IF(AP15&lt;&gt;" ",IF(OR(AU15&lt;AR15,AU15=AR15),0.8*AW15*AP15/(5*$AX$9*10),0.8*AW15*AP15/($AX$9*10))," ")</f>
        <v>1.5713944197346119E-2</v>
      </c>
      <c r="BE15" s="353">
        <f t="shared" ref="BE15" si="27">IF(AP15&lt;&gt;" ",IF(AND(AY15="Нет",AZ15="Нет",BA15="Нет"),0,IF(AY15="Да",BD15,IF(AZ15="Да",BD15,IF(BA15="Да",BD15)))),0)</f>
        <v>1.5713944197346119E-2</v>
      </c>
      <c r="BF15" s="232"/>
      <c r="BH15" s="418"/>
      <c r="BI15" s="419"/>
      <c r="BJ15" s="202"/>
      <c r="BK15" s="419"/>
      <c r="BL15" s="213"/>
    </row>
    <row r="16" spans="1:69" ht="15" customHeight="1" thickBot="1">
      <c r="A16" s="23" t="s">
        <v>177</v>
      </c>
      <c r="B16" s="22">
        <f>SUM(BC9:BC328)</f>
        <v>2.8000000000000003</v>
      </c>
      <c r="F16" s="454"/>
      <c r="G16" s="78"/>
      <c r="H16" s="123">
        <v>11</v>
      </c>
      <c r="I16" s="127">
        <v>94.79</v>
      </c>
      <c r="J16" s="123">
        <v>12</v>
      </c>
      <c r="K16" s="127">
        <v>95.14</v>
      </c>
      <c r="L16" s="123">
        <v>13</v>
      </c>
      <c r="M16" s="127">
        <v>95.21</v>
      </c>
      <c r="N16" s="123">
        <v>14</v>
      </c>
      <c r="O16" s="127">
        <v>95.09</v>
      </c>
      <c r="P16" s="123">
        <v>15</v>
      </c>
      <c r="Q16" s="127">
        <v>94.68</v>
      </c>
      <c r="R16" s="123"/>
      <c r="S16" s="127"/>
      <c r="T16" s="123"/>
      <c r="U16" s="127"/>
      <c r="V16" s="123"/>
      <c r="W16" s="127"/>
      <c r="X16" s="123"/>
      <c r="Y16" s="127"/>
      <c r="Z16" s="123"/>
      <c r="AA16" s="127"/>
      <c r="AB16" s="123"/>
      <c r="AC16" s="127"/>
      <c r="AD16" s="123"/>
      <c r="AE16" s="127"/>
      <c r="AG16" s="370"/>
      <c r="AH16" s="370"/>
      <c r="AI16" s="364"/>
      <c r="AJ16" s="425"/>
      <c r="AK16" s="364"/>
      <c r="AL16" s="370"/>
      <c r="AM16" s="459"/>
      <c r="AN16" s="386"/>
      <c r="AO16" s="353"/>
      <c r="AP16" s="353"/>
      <c r="AQ16" s="198">
        <f>IF(AP15&lt;&gt;" ",MAX($AQ$9:AQ15)+AP15," ")</f>
        <v>0.8</v>
      </c>
      <c r="AR16" s="198">
        <f>IF(AP15&lt;&gt;" ",MAX($AR$9:AR15)+$AJ$9*AP15," ")</f>
        <v>260.94746600000002</v>
      </c>
      <c r="AS16" s="86">
        <f t="shared" si="2"/>
        <v>0.29629629629629628</v>
      </c>
      <c r="AT16" s="264" cm="1">
        <f t="array" ref="AT16">IF(AS16&lt;&gt;" ",Interpol(31,8,Служебный!$H$54:$H$84,Служебный!$I$53:$P$53,Служебный!$I$54:$P$84,'Осадка поля'!$AS16,'Осадка поля'!$B$6)," ")</f>
        <v>0.97037037037037033</v>
      </c>
      <c r="AU16" s="198">
        <f t="shared" si="1"/>
        <v>107.62259310064522</v>
      </c>
      <c r="AV16" s="198">
        <f>IF(AP15&lt;&gt;" ",AR16*0.5," ")</f>
        <v>130.47373300000001</v>
      </c>
      <c r="AW16" s="353"/>
      <c r="AX16" s="353"/>
      <c r="AY16" s="353"/>
      <c r="AZ16" s="353"/>
      <c r="BA16" s="353"/>
      <c r="BB16" s="353"/>
      <c r="BC16" s="353"/>
      <c r="BD16" s="353"/>
      <c r="BE16" s="353"/>
      <c r="BF16" s="232"/>
      <c r="BH16" s="418"/>
      <c r="BI16" s="419"/>
      <c r="BJ16" s="202"/>
      <c r="BK16" s="419"/>
      <c r="BL16" s="213"/>
    </row>
    <row r="17" spans="1:64" ht="15" customHeight="1" thickBot="1">
      <c r="A17" s="21" t="s">
        <v>178</v>
      </c>
      <c r="B17" s="46" t="str">
        <f>IF(B16&gt;=B15,"Верно!","Неверно!")</f>
        <v>Верно!</v>
      </c>
      <c r="F17" s="454"/>
      <c r="G17" s="124">
        <v>0.9</v>
      </c>
      <c r="H17" s="125"/>
      <c r="I17" s="185"/>
      <c r="J17" s="185"/>
      <c r="K17" s="185"/>
      <c r="L17" s="185"/>
      <c r="M17" s="185"/>
      <c r="N17" s="185"/>
      <c r="O17" s="185"/>
      <c r="P17" s="185"/>
      <c r="Q17" s="185"/>
      <c r="R17" s="185"/>
      <c r="S17" s="185"/>
      <c r="T17" s="185"/>
      <c r="U17" s="185"/>
      <c r="V17" s="185"/>
      <c r="W17" s="185"/>
      <c r="X17" s="185"/>
      <c r="Y17" s="185"/>
      <c r="Z17" s="185"/>
      <c r="AA17" s="185"/>
      <c r="AB17" s="185"/>
      <c r="AC17" s="185"/>
      <c r="AD17" s="185"/>
      <c r="AE17" s="120"/>
      <c r="AG17" s="370"/>
      <c r="AH17" s="370"/>
      <c r="AI17" s="364"/>
      <c r="AJ17" s="425"/>
      <c r="AK17" s="364"/>
      <c r="AL17" s="370"/>
      <c r="AM17" s="459"/>
      <c r="AN17" s="386"/>
      <c r="AO17" s="353">
        <f>IF(AO15=" "," ", IF(AO15&lt;AN$9,AO15+1, " "))</f>
        <v>5</v>
      </c>
      <c r="AP17" s="353">
        <f t="shared" ref="AP17" si="28">IF(AO17&lt;&gt;" ",AM$9/COUNT(AO$9:AO$28), " ")</f>
        <v>0.2</v>
      </c>
      <c r="AQ17" s="198">
        <f>IF(AP17&lt;&gt;" ",SUM($AP$9:AP15)," ")</f>
        <v>0.8</v>
      </c>
      <c r="AR17" s="198">
        <f>IF(AP17&lt;&gt;" ",MAX($AR$9:AR16)," ")</f>
        <v>260.94746600000002</v>
      </c>
      <c r="AS17" s="86">
        <f t="shared" si="2"/>
        <v>0.29629629629629628</v>
      </c>
      <c r="AT17" s="264" cm="1">
        <f t="array" ref="AT17">IF(AS17&lt;&gt;" ",Interpol(31,8,Служебный!$H$54:$H$84,Служебный!$I$53:$P$53,Служебный!$I$54:$P$84,'Осадка поля'!$AS17,'Осадка поля'!$B$6)," ")</f>
        <v>0.97037037037037033</v>
      </c>
      <c r="AU17" s="198">
        <f t="shared" si="1"/>
        <v>107.62259310064522</v>
      </c>
      <c r="AV17" s="198">
        <f>IF(AP17&lt;&gt;" ",AR17*0.5," ")</f>
        <v>130.47373300000001</v>
      </c>
      <c r="AW17" s="353">
        <f>IF(AO17&lt;&gt;" ",(AU17+AU18)/2," ")</f>
        <v>107.21181984453588</v>
      </c>
      <c r="AX17" s="353"/>
      <c r="AY17" s="353" t="str">
        <f t="shared" ref="AY17" si="29">IF(AP17&lt;&gt;" ",IF(AQ17&gt;$B$15,"Нет","Да")," ")</f>
        <v>Да</v>
      </c>
      <c r="AZ17" s="353" t="str">
        <f t="shared" ref="AZ17" si="30">IF(AP17&lt;&gt;" ",IF(AW17&gt;0.5*(AV17+AV18),"Да","Нет")," ")</f>
        <v>Нет</v>
      </c>
      <c r="BA17" s="353" t="str">
        <f t="shared" ref="BA17" si="31">IF(AP17&lt;&gt;" ",IF(OR($AX$9&lt;7,$AX$9=7),"Да","Нет")," ")</f>
        <v>Нет</v>
      </c>
      <c r="BB17" s="353" t="str">
        <f t="shared" ref="BB17" si="32">IF(AP17&lt;&gt;" ",IF(AW17&gt;0.2*0.5*(AR17+AR18),"Да","Нет")," ")</f>
        <v>Да</v>
      </c>
      <c r="BC17" s="353">
        <f t="shared" ref="BC17" si="33">IF(AND(BE17&lt;&gt;0,BE17&lt;&gt;" "),AP17,0)</f>
        <v>0.2</v>
      </c>
      <c r="BD17" s="353">
        <f t="shared" ref="BD17" si="34">IF(AP17&lt;&gt;" ",IF(OR(AU17&lt;AR17,AU17=AR17),0.8*AW17*AP17/(5*$AX$9*10),0.8*AW17*AP17/($AX$9*10))," ")</f>
        <v>1.5594446522841584E-2</v>
      </c>
      <c r="BE17" s="353">
        <f t="shared" ref="BE17" si="35">IF(AP17&lt;&gt;" ",IF(AND(AY17="Нет",AZ17="Нет",BA17="Нет"),0,IF(AY17="Да",BD17,IF(AZ17="Да",BD17,IF(BA17="Да",BD17)))),0)</f>
        <v>1.5594446522841584E-2</v>
      </c>
      <c r="BF17" s="232"/>
      <c r="BH17" s="418"/>
      <c r="BI17" s="419"/>
      <c r="BJ17" s="202"/>
      <c r="BK17" s="419"/>
      <c r="BL17" s="213"/>
    </row>
    <row r="18" spans="1:64" ht="15" customHeight="1" thickBot="1">
      <c r="F18" s="454"/>
      <c r="G18" s="78"/>
      <c r="H18" s="123">
        <v>16</v>
      </c>
      <c r="I18" s="138">
        <v>88.51</v>
      </c>
      <c r="J18" s="123">
        <v>17</v>
      </c>
      <c r="K18" s="138">
        <v>88.82</v>
      </c>
      <c r="L18" s="123"/>
      <c r="M18" s="138"/>
      <c r="N18" s="123">
        <v>18</v>
      </c>
      <c r="O18" s="138">
        <v>88.77</v>
      </c>
      <c r="P18" s="123">
        <v>19</v>
      </c>
      <c r="Q18" s="138">
        <v>88.39</v>
      </c>
      <c r="R18" s="123"/>
      <c r="S18" s="138"/>
      <c r="T18" s="123"/>
      <c r="U18" s="127"/>
      <c r="V18" s="123"/>
      <c r="W18" s="127"/>
      <c r="X18" s="123"/>
      <c r="Y18" s="127"/>
      <c r="Z18" s="123"/>
      <c r="AA18" s="127"/>
      <c r="AB18" s="123"/>
      <c r="AC18" s="127"/>
      <c r="AD18" s="123"/>
      <c r="AE18" s="127"/>
      <c r="AG18" s="370"/>
      <c r="AH18" s="370"/>
      <c r="AI18" s="364"/>
      <c r="AJ18" s="425"/>
      <c r="AK18" s="364"/>
      <c r="AL18" s="370"/>
      <c r="AM18" s="459"/>
      <c r="AN18" s="386"/>
      <c r="AO18" s="353"/>
      <c r="AP18" s="353"/>
      <c r="AQ18" s="198">
        <f>IF(AP17&lt;&gt;" ",MAX($AQ$9:AQ17)+AP17," ")</f>
        <v>1</v>
      </c>
      <c r="AR18" s="198">
        <f>IF(AP17&lt;&gt;" ",MAX($AR$9:AR17)+$AJ$9*AP17," ")</f>
        <v>264.94831400000004</v>
      </c>
      <c r="AS18" s="86">
        <f t="shared" si="2"/>
        <v>0.37037037037037035</v>
      </c>
      <c r="AT18" s="264" cm="1">
        <f t="array" ref="AT18">IF(AS18&lt;&gt;" ",Interpol(31,8,Служебный!$H$54:$H$84,Служебный!$I$53:$P$53,Служебный!$I$54:$P$84,'Осадка поля'!$AS18,'Осадка поля'!$B$6)," ")</f>
        <v>0.96296296296296291</v>
      </c>
      <c r="AU18" s="198">
        <f t="shared" si="1"/>
        <v>106.80104658842656</v>
      </c>
      <c r="AV18" s="198">
        <f>IF(AP17&lt;&gt;" ",AR18*0.5," ")</f>
        <v>132.47415700000002</v>
      </c>
      <c r="AW18" s="353"/>
      <c r="AX18" s="353"/>
      <c r="AY18" s="353"/>
      <c r="AZ18" s="353"/>
      <c r="BA18" s="353"/>
      <c r="BB18" s="353"/>
      <c r="BC18" s="353"/>
      <c r="BD18" s="353"/>
      <c r="BE18" s="353"/>
      <c r="BF18" s="232"/>
      <c r="BH18" s="418"/>
      <c r="BI18" s="419"/>
      <c r="BJ18" s="202"/>
      <c r="BK18" s="419"/>
      <c r="BL18" s="213"/>
    </row>
    <row r="19" spans="1:64" ht="15" customHeight="1" thickBot="1">
      <c r="A19" s="31" t="s">
        <v>189</v>
      </c>
      <c r="B19" s="53">
        <f>MAX(MAX(I11:AC11),MAX(G13:G39))</f>
        <v>0.9</v>
      </c>
      <c r="F19" s="454"/>
      <c r="G19" s="124">
        <v>0.9</v>
      </c>
      <c r="H19" s="125"/>
      <c r="I19" s="185"/>
      <c r="J19" s="185"/>
      <c r="K19" s="185"/>
      <c r="L19" s="185"/>
      <c r="M19" s="185"/>
      <c r="N19" s="185"/>
      <c r="O19" s="185"/>
      <c r="P19" s="185"/>
      <c r="Q19" s="185"/>
      <c r="R19" s="185"/>
      <c r="S19" s="185"/>
      <c r="T19" s="185"/>
      <c r="U19" s="185"/>
      <c r="V19" s="185"/>
      <c r="W19" s="185"/>
      <c r="X19" s="185"/>
      <c r="Y19" s="185"/>
      <c r="Z19" s="185"/>
      <c r="AA19" s="185"/>
      <c r="AB19" s="185"/>
      <c r="AC19" s="185"/>
      <c r="AD19" s="185"/>
      <c r="AE19" s="120"/>
      <c r="AG19" s="370"/>
      <c r="AH19" s="370"/>
      <c r="AI19" s="364"/>
      <c r="AJ19" s="425"/>
      <c r="AK19" s="364"/>
      <c r="AL19" s="370"/>
      <c r="AM19" s="459"/>
      <c r="AN19" s="386"/>
      <c r="AO19" s="353">
        <f>IF(AO17=" "," ", IF(AO17&lt;AN$9,AO17+1, " "))</f>
        <v>6</v>
      </c>
      <c r="AP19" s="353">
        <f t="shared" ref="AP19" si="36">IF(AO19&lt;&gt;" ",AM$9/COUNT(AO$9:AO$28), " ")</f>
        <v>0.2</v>
      </c>
      <c r="AQ19" s="198">
        <f>IF(AP19&lt;&gt;" ",SUM($AP$9:AP17)," ")</f>
        <v>1</v>
      </c>
      <c r="AR19" s="198">
        <f>IF(AP19&lt;&gt;" ",MAX($AR$9:AR18)," ")</f>
        <v>264.94831400000004</v>
      </c>
      <c r="AS19" s="86">
        <f t="shared" si="2"/>
        <v>0.37037037037037035</v>
      </c>
      <c r="AT19" s="264" cm="1">
        <f t="array" ref="AT19">IF(AS19&lt;&gt;" ",Interpol(31,8,Служебный!$H$54:$H$84,Служебный!$I$53:$P$53,Служебный!$I$54:$P$84,'Осадка поля'!$AS19,'Осадка поля'!$B$6)," ")</f>
        <v>0.96296296296296291</v>
      </c>
      <c r="AU19" s="198">
        <f t="shared" si="1"/>
        <v>106.80104658842656</v>
      </c>
      <c r="AV19" s="198">
        <f>IF(AP19&lt;&gt;" ",AR19*0.5," ")</f>
        <v>132.47415700000002</v>
      </c>
      <c r="AW19" s="353">
        <f>IF(AO19&lt;&gt;" ",(AU19+AU20)/2," ")</f>
        <v>105.65088147132042</v>
      </c>
      <c r="AX19" s="353"/>
      <c r="AY19" s="353" t="str">
        <f t="shared" ref="AY19" si="37">IF(AP19&lt;&gt;" ",IF(AQ19&gt;$B$15,"Нет","Да")," ")</f>
        <v>Да</v>
      </c>
      <c r="AZ19" s="353" t="str">
        <f t="shared" ref="AZ19" si="38">IF(AP19&lt;&gt;" ",IF(AW19&gt;0.5*(AV19+AV20),"Да","Нет")," ")</f>
        <v>Нет</v>
      </c>
      <c r="BA19" s="353" t="str">
        <f t="shared" ref="BA19" si="39">IF(AP19&lt;&gt;" ",IF(OR($AX$9&lt;7,$AX$9=7),"Да","Нет")," ")</f>
        <v>Нет</v>
      </c>
      <c r="BB19" s="353" t="str">
        <f t="shared" ref="BB19" si="40">IF(AP19&lt;&gt;" ",IF(AW19&gt;0.2*0.5*(AR19+AR20),"Да","Нет")," ")</f>
        <v>Да</v>
      </c>
      <c r="BC19" s="353">
        <f t="shared" ref="BC19" si="41">IF(AND(BE19&lt;&gt;0,BE19&lt;&gt;" "),AP19,0)</f>
        <v>0.2</v>
      </c>
      <c r="BD19" s="353">
        <f t="shared" ref="BD19" si="42">IF(AP19&lt;&gt;" ",IF(OR(AU19&lt;AR19,AU19=AR19),0.8*AW19*AP19/(5*$AX$9*10),0.8*AW19*AP19/($AX$9*10))," ")</f>
        <v>1.5367400941282972E-2</v>
      </c>
      <c r="BE19" s="353">
        <f t="shared" ref="BE19" si="43">IF(AP19&lt;&gt;" ",IF(AND(AY19="Нет",AZ19="Нет",BA19="Нет"),0,IF(AY19="Да",BD19,IF(AZ19="Да",BD19,IF(BA19="Да",BD19)))),0)</f>
        <v>1.5367400941282972E-2</v>
      </c>
      <c r="BF19" s="232"/>
      <c r="BH19" s="418"/>
      <c r="BI19" s="419"/>
      <c r="BJ19" s="202"/>
      <c r="BK19" s="419"/>
      <c r="BL19" s="213"/>
    </row>
    <row r="20" spans="1:64" ht="15" customHeight="1" thickBot="1">
      <c r="A20" s="31" t="s">
        <v>190</v>
      </c>
      <c r="B20" s="53">
        <f>B19^2</f>
        <v>0.81</v>
      </c>
      <c r="F20" s="454"/>
      <c r="G20" s="78"/>
      <c r="H20" s="123">
        <v>20</v>
      </c>
      <c r="I20" s="138">
        <v>77.92</v>
      </c>
      <c r="J20" s="123">
        <v>21</v>
      </c>
      <c r="K20" s="138">
        <v>78.19</v>
      </c>
      <c r="L20" s="123"/>
      <c r="M20" s="138"/>
      <c r="N20" s="123">
        <v>22</v>
      </c>
      <c r="O20" s="138">
        <v>78.12</v>
      </c>
      <c r="P20" s="123">
        <v>23</v>
      </c>
      <c r="Q20" s="138">
        <v>77.790000000000006</v>
      </c>
      <c r="R20" s="123"/>
      <c r="S20" s="138"/>
      <c r="T20" s="123"/>
      <c r="U20" s="138"/>
      <c r="V20" s="123"/>
      <c r="W20" s="138"/>
      <c r="X20" s="123"/>
      <c r="Y20" s="138"/>
      <c r="Z20" s="123"/>
      <c r="AA20" s="138"/>
      <c r="AB20" s="123"/>
      <c r="AC20" s="138"/>
      <c r="AD20" s="123"/>
      <c r="AE20" s="138"/>
      <c r="AG20" s="370"/>
      <c r="AH20" s="370"/>
      <c r="AI20" s="364"/>
      <c r="AJ20" s="425"/>
      <c r="AK20" s="364"/>
      <c r="AL20" s="370"/>
      <c r="AM20" s="459"/>
      <c r="AN20" s="386"/>
      <c r="AO20" s="353"/>
      <c r="AP20" s="353"/>
      <c r="AQ20" s="198">
        <f>IF(AP19&lt;&gt;" ",MAX($AQ$9:AQ19)+AP19," ")</f>
        <v>1.2</v>
      </c>
      <c r="AR20" s="198">
        <f>IF(AP19&lt;&gt;" ",MAX($AR$9:AR19)+$AJ$9*AP19," ")</f>
        <v>268.94916200000006</v>
      </c>
      <c r="AS20" s="86">
        <f t="shared" si="2"/>
        <v>0.44444444444444442</v>
      </c>
      <c r="AT20" s="264" cm="1">
        <f t="array" ref="AT20">IF(AS20&lt;&gt;" ",Interpol(31,8,Служебный!$H$54:$H$84,Служебный!$I$53:$P$53,Служебный!$I$54:$P$84,'Осадка поля'!$AS20,'Осадка поля'!$B$6)," ")</f>
        <v>0.94222222222222218</v>
      </c>
      <c r="AU20" s="198">
        <f t="shared" si="1"/>
        <v>104.50071635421429</v>
      </c>
      <c r="AV20" s="198">
        <f>IF(AP19&lt;&gt;" ",AR20*0.5," ")</f>
        <v>134.47458100000003</v>
      </c>
      <c r="AW20" s="353"/>
      <c r="AX20" s="353"/>
      <c r="AY20" s="353"/>
      <c r="AZ20" s="353"/>
      <c r="BA20" s="353"/>
      <c r="BB20" s="353"/>
      <c r="BC20" s="353"/>
      <c r="BD20" s="353"/>
      <c r="BE20" s="353"/>
      <c r="BF20" s="232"/>
      <c r="BH20" s="418"/>
      <c r="BI20" s="419"/>
      <c r="BJ20" s="202"/>
      <c r="BK20" s="419"/>
      <c r="BL20" s="213"/>
    </row>
    <row r="21" spans="1:64" ht="15" customHeight="1" thickBot="1">
      <c r="A21" s="31" t="s">
        <v>191</v>
      </c>
      <c r="B21" s="53">
        <f>B11*B20</f>
        <v>89.836111111111109</v>
      </c>
      <c r="F21" s="454"/>
      <c r="G21" s="124">
        <v>0.9</v>
      </c>
      <c r="H21" s="125"/>
      <c r="I21" s="185"/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85"/>
      <c r="W21" s="185"/>
      <c r="X21" s="185"/>
      <c r="Y21" s="185"/>
      <c r="Z21" s="185"/>
      <c r="AA21" s="185"/>
      <c r="AB21" s="185"/>
      <c r="AC21" s="185"/>
      <c r="AD21" s="185"/>
      <c r="AE21" s="120"/>
      <c r="AG21" s="370"/>
      <c r="AH21" s="370"/>
      <c r="AI21" s="364"/>
      <c r="AJ21" s="425"/>
      <c r="AK21" s="364"/>
      <c r="AL21" s="370"/>
      <c r="AM21" s="459"/>
      <c r="AN21" s="386"/>
      <c r="AO21" s="353">
        <f>IF(AO19=" "," ", IF(AO19&lt;AN$9,AO19+1, " "))</f>
        <v>7</v>
      </c>
      <c r="AP21" s="353">
        <f t="shared" ref="AP21" si="44">IF(AO21&lt;&gt;" ",AM$9/COUNT(AO$9:AO$28), " ")</f>
        <v>0.2</v>
      </c>
      <c r="AQ21" s="198">
        <f>IF(AP21&lt;&gt;" ",SUM($AP$9:AP19)," ")</f>
        <v>1.2</v>
      </c>
      <c r="AR21" s="198">
        <f>IF(AP21&lt;&gt;" ",MAX($AR$9:AR20)," ")</f>
        <v>268.94916200000006</v>
      </c>
      <c r="AS21" s="86">
        <f t="shared" si="2"/>
        <v>0.44444444444444442</v>
      </c>
      <c r="AT21" s="264" cm="1">
        <f t="array" ref="AT21">IF(AS21&lt;&gt;" ",Interpol(31,8,Служебный!$H$54:$H$84,Служебный!$I$53:$P$53,Служебный!$I$54:$P$84,'Осадка поля'!$AS21,'Осадка поля'!$B$6)," ")</f>
        <v>0.94222222222222218</v>
      </c>
      <c r="AU21" s="198">
        <f t="shared" si="1"/>
        <v>104.50071635421429</v>
      </c>
      <c r="AV21" s="198">
        <f>IF(AP21&lt;&gt;" ",AR21*0.5," ")</f>
        <v>134.47458100000003</v>
      </c>
      <c r="AW21" s="353">
        <f>IF(AO21&lt;&gt;" ",(AU21+AU22)/2," ")</f>
        <v>102.85762332977697</v>
      </c>
      <c r="AX21" s="353"/>
      <c r="AY21" s="353" t="str">
        <f t="shared" ref="AY21" si="45">IF(AP21&lt;&gt;" ",IF(AQ21&gt;$B$15,"Нет","Да")," ")</f>
        <v>Да</v>
      </c>
      <c r="AZ21" s="353" t="str">
        <f t="shared" ref="AZ21" si="46">IF(AP21&lt;&gt;" ",IF(AW21&gt;0.5*(AV21+AV22),"Да","Нет")," ")</f>
        <v>Нет</v>
      </c>
      <c r="BA21" s="353" t="str">
        <f t="shared" ref="BA21" si="47">IF(AP21&lt;&gt;" ",IF(OR($AX$9&lt;7,$AX$9=7),"Да","Нет")," ")</f>
        <v>Нет</v>
      </c>
      <c r="BB21" s="353" t="str">
        <f t="shared" ref="BB21" si="48">IF(AP21&lt;&gt;" ",IF(AW21&gt;0.2*0.5*(AR21+AR22),"Да","Нет")," ")</f>
        <v>Да</v>
      </c>
      <c r="BC21" s="353">
        <f t="shared" ref="BC21" si="49">IF(AND(BE21&lt;&gt;0,BE21&lt;&gt;" "),AP21,0)</f>
        <v>0.2</v>
      </c>
      <c r="BD21" s="353">
        <f t="shared" ref="BD21" si="50">IF(AP21&lt;&gt;" ",IF(OR(AU21&lt;AR21,AU21=AR21),0.8*AW21*AP21/(5*$AX$9*10),0.8*AW21*AP21/($AX$9*10))," ")</f>
        <v>1.496110884796756E-2</v>
      </c>
      <c r="BE21" s="353">
        <f t="shared" ref="BE21" si="51">IF(AP21&lt;&gt;" ",IF(AND(AY21="Нет",AZ21="Нет",BA21="Нет"),0,IF(AY21="Да",BD21,IF(AZ21="Да",BD21,IF(BA21="Да",BD21)))),0)</f>
        <v>1.496110884796756E-2</v>
      </c>
      <c r="BF21" s="232"/>
      <c r="BH21" s="418"/>
      <c r="BI21" s="419"/>
      <c r="BJ21" s="202"/>
      <c r="BK21" s="419"/>
      <c r="BL21" s="213"/>
    </row>
    <row r="22" spans="1:64" ht="15" customHeight="1" thickBot="1">
      <c r="A22" s="463" t="s">
        <v>194</v>
      </c>
      <c r="B22" s="463"/>
      <c r="F22" s="454"/>
      <c r="G22" s="78"/>
      <c r="H22" s="123">
        <v>24</v>
      </c>
      <c r="I22" s="138">
        <v>73.39</v>
      </c>
      <c r="J22" s="123">
        <v>25</v>
      </c>
      <c r="K22" s="138">
        <v>73.64</v>
      </c>
      <c r="L22" s="123">
        <v>26</v>
      </c>
      <c r="M22" s="138">
        <v>73.69</v>
      </c>
      <c r="N22" s="123">
        <v>27</v>
      </c>
      <c r="O22" s="138">
        <v>73.569999999999993</v>
      </c>
      <c r="P22" s="123">
        <v>28</v>
      </c>
      <c r="Q22" s="138">
        <v>73.260000000000005</v>
      </c>
      <c r="R22" s="123"/>
      <c r="S22" s="138"/>
      <c r="T22" s="123"/>
      <c r="U22" s="138"/>
      <c r="V22" s="123"/>
      <c r="W22" s="138"/>
      <c r="X22" s="123"/>
      <c r="Y22" s="138"/>
      <c r="Z22" s="123"/>
      <c r="AA22" s="138"/>
      <c r="AB22" s="123"/>
      <c r="AC22" s="138"/>
      <c r="AD22" s="123"/>
      <c r="AE22" s="138"/>
      <c r="AG22" s="370"/>
      <c r="AH22" s="370"/>
      <c r="AI22" s="364"/>
      <c r="AJ22" s="425"/>
      <c r="AK22" s="364"/>
      <c r="AL22" s="370"/>
      <c r="AM22" s="459"/>
      <c r="AN22" s="386"/>
      <c r="AO22" s="353"/>
      <c r="AP22" s="353"/>
      <c r="AQ22" s="198">
        <f>IF(AP21&lt;&gt;" ",MAX($AQ$9:AQ21)+AP21," ")</f>
        <v>1.4</v>
      </c>
      <c r="AR22" s="198">
        <f>IF(AP21&lt;&gt;" ",MAX($AR$9:AR21)+$AJ$9*AP21," ")</f>
        <v>272.95001000000008</v>
      </c>
      <c r="AS22" s="86">
        <f t="shared" si="2"/>
        <v>0.51851851851851849</v>
      </c>
      <c r="AT22" s="264" cm="1">
        <f t="array" ref="AT22">IF(AS22&lt;&gt;" ",Interpol(31,8,Служебный!$H$54:$H$84,Служебный!$I$53:$P$53,Служебный!$I$54:$P$84,'Осадка поля'!$AS22,'Осадка поля'!$B$6)," ")</f>
        <v>0.91259259259259262</v>
      </c>
      <c r="AU22" s="198">
        <f t="shared" si="1"/>
        <v>101.21453030533964</v>
      </c>
      <c r="AV22" s="198">
        <f>IF(AP21&lt;&gt;" ",AR22*0.5," ")</f>
        <v>136.47500500000004</v>
      </c>
      <c r="AW22" s="353"/>
      <c r="AX22" s="353"/>
      <c r="AY22" s="353"/>
      <c r="AZ22" s="353"/>
      <c r="BA22" s="353"/>
      <c r="BB22" s="353"/>
      <c r="BC22" s="353"/>
      <c r="BD22" s="353"/>
      <c r="BE22" s="353"/>
      <c r="BF22" s="232"/>
      <c r="BH22" s="418"/>
      <c r="BI22" s="419"/>
      <c r="BJ22" s="202"/>
      <c r="BK22" s="419"/>
      <c r="BL22" s="213"/>
    </row>
    <row r="23" spans="1:64" ht="15" customHeight="1" thickBot="1">
      <c r="A23" s="31" t="s">
        <v>192</v>
      </c>
      <c r="B23" s="80">
        <f>'Несущая способность по грунту 1'!$AS$9</f>
        <v>0.34396907216494843</v>
      </c>
      <c r="F23" s="454"/>
      <c r="G23" s="124">
        <v>0</v>
      </c>
      <c r="H23" s="125"/>
      <c r="I23" s="185"/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185"/>
      <c r="Y23" s="185"/>
      <c r="Z23" s="185"/>
      <c r="AA23" s="185"/>
      <c r="AB23" s="185"/>
      <c r="AC23" s="185"/>
      <c r="AD23" s="185"/>
      <c r="AE23" s="120"/>
      <c r="AG23" s="370"/>
      <c r="AH23" s="370"/>
      <c r="AI23" s="364"/>
      <c r="AJ23" s="425"/>
      <c r="AK23" s="364"/>
      <c r="AL23" s="370"/>
      <c r="AM23" s="459"/>
      <c r="AN23" s="386"/>
      <c r="AO23" s="353">
        <f>IF(AO21=" "," ", IF(AO21&lt;AN$9,AO21+1, " "))</f>
        <v>8</v>
      </c>
      <c r="AP23" s="353">
        <f t="shared" ref="AP23" si="52">IF(AO23&lt;&gt;" ",AM$9/COUNT(AO$9:AO$28), " ")</f>
        <v>0.2</v>
      </c>
      <c r="AQ23" s="198">
        <f>IF(AP23&lt;&gt;" ",SUM($AP$9:AP21)," ")</f>
        <v>1.4</v>
      </c>
      <c r="AR23" s="198">
        <f>IF(AP23&lt;&gt;" ",MAX($AR$9:AR22)," ")</f>
        <v>272.95001000000008</v>
      </c>
      <c r="AS23" s="86">
        <f t="shared" si="2"/>
        <v>0.51851851851851849</v>
      </c>
      <c r="AT23" s="264" cm="1">
        <f t="array" ref="AT23">IF(AS23&lt;&gt;" ",Interpol(31,8,Служебный!$H$54:$H$84,Служебный!$I$53:$P$53,Служебный!$I$54:$P$84,'Осадка поля'!$AS23,'Осадка поля'!$B$6)," ")</f>
        <v>0.91259259259259262</v>
      </c>
      <c r="AU23" s="198">
        <f t="shared" si="1"/>
        <v>101.21453030533964</v>
      </c>
      <c r="AV23" s="198">
        <f>IF(AP23&lt;&gt;" ",AR23*0.5," ")</f>
        <v>136.47500500000004</v>
      </c>
      <c r="AW23" s="353">
        <f>IF(AO23&lt;&gt;" ",(AU23+AU24)/2," ")</f>
        <v>99.571437280902302</v>
      </c>
      <c r="AX23" s="353"/>
      <c r="AY23" s="353" t="str">
        <f t="shared" ref="AY23" si="53">IF(AP23&lt;&gt;" ",IF(AQ23&gt;$B$15,"Нет","Да")," ")</f>
        <v>Да</v>
      </c>
      <c r="AZ23" s="353" t="str">
        <f t="shared" ref="AZ23" si="54">IF(AP23&lt;&gt;" ",IF(AW23&gt;0.5*(AV23+AV24),"Да","Нет")," ")</f>
        <v>Нет</v>
      </c>
      <c r="BA23" s="353" t="str">
        <f t="shared" ref="BA23" si="55">IF(AP23&lt;&gt;" ",IF(OR($AX$9&lt;7,$AX$9=7),"Да","Нет")," ")</f>
        <v>Нет</v>
      </c>
      <c r="BB23" s="353" t="str">
        <f t="shared" ref="BB23" si="56">IF(AP23&lt;&gt;" ",IF(AW23&gt;0.2*0.5*(AR23+AR24),"Да","Нет")," ")</f>
        <v>Да</v>
      </c>
      <c r="BC23" s="353">
        <f t="shared" ref="BC23" si="57">IF(AND(BE23&lt;&gt;0,BE23&lt;&gt;" "),AP23,0)</f>
        <v>0.2</v>
      </c>
      <c r="BD23" s="353">
        <f t="shared" ref="BD23" si="58">IF(AP23&lt;&gt;" ",IF(OR(AU23&lt;AR23,AU23=AR23),0.8*AW23*AP23/(5*$AX$9*10),0.8*AW23*AP23/($AX$9*10))," ")</f>
        <v>1.4483118149949426E-2</v>
      </c>
      <c r="BE23" s="353">
        <f t="shared" ref="BE23" si="59">IF(AP23&lt;&gt;" ",IF(AND(AY23="Нет",AZ23="Нет",BA23="Нет"),0,IF(AY23="Да",BD23,IF(AZ23="Да",BD23,IF(BA23="Да",BD23)))),0)</f>
        <v>1.4483118149949426E-2</v>
      </c>
      <c r="BF23" s="232"/>
      <c r="BH23" s="418"/>
      <c r="BI23" s="419"/>
      <c r="BJ23" s="202"/>
      <c r="BK23" s="419"/>
      <c r="BL23" s="213"/>
    </row>
    <row r="24" spans="1:64" ht="15" customHeight="1" thickBot="1">
      <c r="A24" s="31" t="s">
        <v>193</v>
      </c>
      <c r="B24" s="61">
        <f>'Несущая способность по грунту 1'!$AV$9</f>
        <v>14.481597938144322</v>
      </c>
      <c r="F24" s="454"/>
      <c r="G24" s="78"/>
      <c r="H24" s="123">
        <v>29</v>
      </c>
      <c r="I24" s="138">
        <v>69.11</v>
      </c>
      <c r="J24" s="123">
        <v>30</v>
      </c>
      <c r="K24" s="138">
        <v>69.349999999999994</v>
      </c>
      <c r="L24" s="123">
        <v>31</v>
      </c>
      <c r="M24" s="138">
        <v>69.38</v>
      </c>
      <c r="N24" s="123">
        <v>32</v>
      </c>
      <c r="O24" s="138">
        <v>69.28</v>
      </c>
      <c r="P24" s="123">
        <v>33</v>
      </c>
      <c r="Q24" s="138">
        <v>68.97</v>
      </c>
      <c r="R24" s="123"/>
      <c r="S24" s="138"/>
      <c r="T24" s="123"/>
      <c r="U24" s="138"/>
      <c r="V24" s="123"/>
      <c r="W24" s="138"/>
      <c r="X24" s="123"/>
      <c r="Y24" s="138"/>
      <c r="Z24" s="123"/>
      <c r="AA24" s="138"/>
      <c r="AB24" s="123"/>
      <c r="AC24" s="138"/>
      <c r="AD24" s="123"/>
      <c r="AE24" s="138"/>
      <c r="AG24" s="370"/>
      <c r="AH24" s="370"/>
      <c r="AI24" s="364"/>
      <c r="AJ24" s="425"/>
      <c r="AK24" s="364"/>
      <c r="AL24" s="370"/>
      <c r="AM24" s="459"/>
      <c r="AN24" s="386"/>
      <c r="AO24" s="353"/>
      <c r="AP24" s="353"/>
      <c r="AQ24" s="198">
        <f>IF(AP23&lt;&gt;" ",MAX($AQ$9:AQ23)+AP23," ")</f>
        <v>1.5999999999999999</v>
      </c>
      <c r="AR24" s="198">
        <f>IF(AP23&lt;&gt;" ",MAX($AR$9:AR23)+$AJ$9*AP23," ")</f>
        <v>276.9508580000001</v>
      </c>
      <c r="AS24" s="86">
        <f t="shared" si="2"/>
        <v>0.59259259259259256</v>
      </c>
      <c r="AT24" s="264" cm="1">
        <f t="array" ref="AT24">IF(AS24&lt;&gt;" ",Interpol(31,8,Служебный!$H$54:$H$84,Служебный!$I$53:$P$53,Служебный!$I$54:$P$84,'Осадка поля'!$AS24,'Осадка поля'!$B$6)," ")</f>
        <v>0.88296296296296295</v>
      </c>
      <c r="AU24" s="198">
        <f t="shared" si="1"/>
        <v>97.928344256464968</v>
      </c>
      <c r="AV24" s="198">
        <f>IF(AP23&lt;&gt;" ",AR24*0.5," ")</f>
        <v>138.47542900000005</v>
      </c>
      <c r="AW24" s="353"/>
      <c r="AX24" s="353"/>
      <c r="AY24" s="353"/>
      <c r="AZ24" s="353"/>
      <c r="BA24" s="353"/>
      <c r="BB24" s="353"/>
      <c r="BC24" s="353"/>
      <c r="BD24" s="353"/>
      <c r="BE24" s="353"/>
      <c r="BF24" s="232"/>
      <c r="BH24" s="418"/>
      <c r="BI24" s="419"/>
      <c r="BJ24" s="202"/>
      <c r="BK24" s="419"/>
      <c r="BL24" s="213"/>
    </row>
    <row r="25" spans="1:64" ht="15" customHeight="1" thickBot="1">
      <c r="A25" s="464" t="s">
        <v>195</v>
      </c>
      <c r="B25" s="464"/>
      <c r="F25" s="454"/>
      <c r="G25" s="124">
        <v>0</v>
      </c>
      <c r="H25" s="125"/>
      <c r="I25" s="185"/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X25" s="185"/>
      <c r="Y25" s="185"/>
      <c r="Z25" s="185"/>
      <c r="AA25" s="185"/>
      <c r="AB25" s="185"/>
      <c r="AC25" s="185"/>
      <c r="AD25" s="185"/>
      <c r="AE25" s="120"/>
      <c r="AG25" s="370"/>
      <c r="AH25" s="370"/>
      <c r="AI25" s="364"/>
      <c r="AJ25" s="425"/>
      <c r="AK25" s="364"/>
      <c r="AL25" s="370"/>
      <c r="AM25" s="459"/>
      <c r="AN25" s="386"/>
      <c r="AO25" s="353">
        <f>IF(AO23=" "," ", IF(AO23&lt;AN$9,AO23+1, " "))</f>
        <v>9</v>
      </c>
      <c r="AP25" s="353">
        <f t="shared" ref="AP25" si="60">IF(AO25&lt;&gt;" ",AM$9/COUNT(AO$9:AO$28), " ")</f>
        <v>0.2</v>
      </c>
      <c r="AQ25" s="198">
        <f>IF(AP25&lt;&gt;" ",SUM($AP$9:AP23)," ")</f>
        <v>1.5999999999999999</v>
      </c>
      <c r="AR25" s="198">
        <f>IF(AP25&lt;&gt;" ",MAX($AR$9:AR24)," ")</f>
        <v>276.9508580000001</v>
      </c>
      <c r="AS25" s="86">
        <f t="shared" si="2"/>
        <v>0.59259259259259256</v>
      </c>
      <c r="AT25" s="264" cm="1">
        <f t="array" ref="AT25">IF(AS25&lt;&gt;" ",Interpol(31,8,Служебный!$H$54:$H$84,Служебный!$I$53:$P$53,Служебный!$I$54:$P$84,'Осадка поля'!$AS25,'Осадка поля'!$B$6)," ")</f>
        <v>0.88296296296296295</v>
      </c>
      <c r="AU25" s="198">
        <f t="shared" si="1"/>
        <v>97.928344256464968</v>
      </c>
      <c r="AV25" s="198">
        <f>IF(AP25&lt;&gt;" ",AR25*0.5," ")</f>
        <v>138.47542900000005</v>
      </c>
      <c r="AW25" s="353">
        <f>IF(AO25&lt;&gt;" ",(AU25+AU26)/2," ")</f>
        <v>96.285251232027633</v>
      </c>
      <c r="AX25" s="353"/>
      <c r="AY25" s="353" t="str">
        <f t="shared" ref="AY25" si="61">IF(AP25&lt;&gt;" ",IF(AQ25&gt;$B$15,"Нет","Да")," ")</f>
        <v>Да</v>
      </c>
      <c r="AZ25" s="353" t="str">
        <f t="shared" ref="AZ25" si="62">IF(AP25&lt;&gt;" ",IF(AW25&gt;0.5*(AV25+AV26),"Да","Нет")," ")</f>
        <v>Нет</v>
      </c>
      <c r="BA25" s="353" t="str">
        <f t="shared" ref="BA25" si="63">IF(AP25&lt;&gt;" ",IF(OR($AX$9&lt;7,$AX$9=7),"Да","Нет")," ")</f>
        <v>Нет</v>
      </c>
      <c r="BB25" s="353" t="str">
        <f t="shared" ref="BB25" si="64">IF(AP25&lt;&gt;" ",IF(AW25&gt;0.2*0.5*(AR25+AR26),"Да","Нет")," ")</f>
        <v>Да</v>
      </c>
      <c r="BC25" s="353">
        <f t="shared" ref="BC25" si="65">IF(AND(BE25&lt;&gt;0,BE25&lt;&gt;" "),AP25,0)</f>
        <v>0.2</v>
      </c>
      <c r="BD25" s="353">
        <f t="shared" ref="BD25" si="66">IF(AP25&lt;&gt;" ",IF(OR(AU25&lt;AR25,AU25=AR25),0.8*AW25*AP25/(5*$AX$9*10),0.8*AW25*AP25/($AX$9*10))," ")</f>
        <v>1.4005127451931292E-2</v>
      </c>
      <c r="BE25" s="353">
        <f t="shared" ref="BE25" si="67">IF(AP25&lt;&gt;" ",IF(AND(AY25="Нет",AZ25="Нет",BA25="Нет"),0,IF(AY25="Да",BD25,IF(AZ25="Да",BD25,IF(BA25="Да",BD25)))),0)</f>
        <v>1.4005127451931292E-2</v>
      </c>
      <c r="BF25" s="232"/>
      <c r="BH25" s="418"/>
      <c r="BI25" s="419"/>
      <c r="BJ25" s="202"/>
      <c r="BK25" s="419"/>
      <c r="BL25" s="213"/>
    </row>
    <row r="26" spans="1:64" ht="15" customHeight="1" thickBot="1">
      <c r="A26" s="31" t="s">
        <v>192</v>
      </c>
      <c r="B26" s="53">
        <f>$BJ$9</f>
        <v>0.31088270858524791</v>
      </c>
      <c r="F26" s="454"/>
      <c r="G26" s="78"/>
      <c r="H26" s="123">
        <v>34</v>
      </c>
      <c r="I26" s="138">
        <v>64.34</v>
      </c>
      <c r="J26" s="123">
        <v>35</v>
      </c>
      <c r="K26" s="138">
        <v>64.56</v>
      </c>
      <c r="L26" s="123">
        <v>36</v>
      </c>
      <c r="M26" s="138">
        <v>64.56</v>
      </c>
      <c r="N26" s="123">
        <v>37</v>
      </c>
      <c r="O26" s="138">
        <v>64.489999999999995</v>
      </c>
      <c r="P26" s="123">
        <v>38</v>
      </c>
      <c r="Q26" s="138">
        <v>64.2</v>
      </c>
      <c r="R26" s="123"/>
      <c r="S26" s="138"/>
      <c r="T26" s="123"/>
      <c r="U26" s="138"/>
      <c r="V26" s="123"/>
      <c r="W26" s="138"/>
      <c r="X26" s="123"/>
      <c r="Y26" s="138"/>
      <c r="Z26" s="123"/>
      <c r="AA26" s="138"/>
      <c r="AB26" s="123"/>
      <c r="AC26" s="138"/>
      <c r="AD26" s="123"/>
      <c r="AE26" s="138"/>
      <c r="AG26" s="370"/>
      <c r="AH26" s="370"/>
      <c r="AI26" s="364"/>
      <c r="AJ26" s="425"/>
      <c r="AK26" s="364"/>
      <c r="AL26" s="370"/>
      <c r="AM26" s="459"/>
      <c r="AN26" s="386"/>
      <c r="AO26" s="353"/>
      <c r="AP26" s="353"/>
      <c r="AQ26" s="198">
        <f>IF(AP25&lt;&gt;" ",MAX($AQ$9:AQ25)+AP25," ")</f>
        <v>1.7999999999999998</v>
      </c>
      <c r="AR26" s="198">
        <f>IF(AP25&lt;&gt;" ",MAX($AR$9:AR25)+$AJ$9*AP25," ")</f>
        <v>280.95170600000012</v>
      </c>
      <c r="AS26" s="86">
        <f t="shared" si="2"/>
        <v>0.66666666666666652</v>
      </c>
      <c r="AT26" s="264" cm="1">
        <f t="array" ref="AT26">IF(AS26&lt;&gt;" ",Interpol(31,8,Служебный!$H$54:$H$84,Служебный!$I$53:$P$53,Служебный!$I$54:$P$84,'Осадка поля'!$AS26,'Осадка поля'!$B$6)," ")</f>
        <v>0.85333333333333339</v>
      </c>
      <c r="AU26" s="198">
        <f t="shared" si="1"/>
        <v>94.642158207590313</v>
      </c>
      <c r="AV26" s="198">
        <f>IF(AP25&lt;&gt;" ",AR26*0.5," ")</f>
        <v>140.47585300000006</v>
      </c>
      <c r="AW26" s="353"/>
      <c r="AX26" s="353"/>
      <c r="AY26" s="353"/>
      <c r="AZ26" s="353"/>
      <c r="BA26" s="353"/>
      <c r="BB26" s="353"/>
      <c r="BC26" s="353"/>
      <c r="BD26" s="353"/>
      <c r="BE26" s="353"/>
      <c r="BF26" s="232"/>
      <c r="BH26" s="418"/>
      <c r="BI26" s="419"/>
      <c r="BJ26" s="202"/>
      <c r="BK26" s="419"/>
      <c r="BL26" s="213"/>
    </row>
    <row r="27" spans="1:64" ht="15" customHeight="1" thickBot="1">
      <c r="A27" s="31" t="s">
        <v>193</v>
      </c>
      <c r="B27" s="53">
        <f>$BL$9</f>
        <v>21.483675937122126</v>
      </c>
      <c r="F27" s="454"/>
      <c r="G27" s="124">
        <v>0</v>
      </c>
      <c r="H27" s="125"/>
      <c r="I27" s="185"/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85"/>
      <c r="W27" s="185"/>
      <c r="X27" s="185"/>
      <c r="Y27" s="185"/>
      <c r="Z27" s="185"/>
      <c r="AA27" s="185"/>
      <c r="AB27" s="185"/>
      <c r="AC27" s="185"/>
      <c r="AD27" s="185"/>
      <c r="AE27" s="120"/>
      <c r="AG27" s="370"/>
      <c r="AH27" s="370"/>
      <c r="AI27" s="364"/>
      <c r="AJ27" s="425"/>
      <c r="AK27" s="364"/>
      <c r="AL27" s="370"/>
      <c r="AM27" s="459"/>
      <c r="AN27" s="386"/>
      <c r="AO27" s="353">
        <f>IF(AO25=" "," ", IF(AO25&lt;AN$9,AO25+1, " "))</f>
        <v>10</v>
      </c>
      <c r="AP27" s="353">
        <f>IF(AO27&lt;&gt;" ",AM$9/COUNT(AO$9:AO$28), " ")</f>
        <v>0.2</v>
      </c>
      <c r="AQ27" s="198">
        <f>IF(AP27&lt;&gt;" ",SUM($AP$9:AP25)," ")</f>
        <v>1.7999999999999998</v>
      </c>
      <c r="AR27" s="198">
        <f>IF(AP27&lt;&gt;" ",MAX($AR$9:AR26)," ")</f>
        <v>280.95170600000012</v>
      </c>
      <c r="AS27" s="86">
        <f t="shared" si="2"/>
        <v>0.66666666666666652</v>
      </c>
      <c r="AT27" s="264" cm="1">
        <f t="array" ref="AT27">IF(AS27&lt;&gt;" ",Interpol(31,8,Служебный!$H$54:$H$84,Служебный!$I$53:$P$53,Служебный!$I$54:$P$84,'Осадка поля'!$AS27,'Осадка поля'!$B$6)," ")</f>
        <v>0.85333333333333339</v>
      </c>
      <c r="AU27" s="198">
        <f t="shared" si="1"/>
        <v>94.642158207590313</v>
      </c>
      <c r="AV27" s="198">
        <f>IF(AP27&lt;&gt;" ",AR27*0.5," ")</f>
        <v>140.47585300000006</v>
      </c>
      <c r="AW27" s="353">
        <f>IF(AO27&lt;&gt;" ",(AU27+AU28)/2," ")</f>
        <v>92.999065183152993</v>
      </c>
      <c r="AX27" s="353"/>
      <c r="AY27" s="353" t="str">
        <f t="shared" ref="AY27" si="68">IF(AP27&lt;&gt;" ",IF(AQ27&gt;$B$15,"Нет","Да")," ")</f>
        <v>Да</v>
      </c>
      <c r="AZ27" s="353" t="str">
        <f t="shared" ref="AZ27" si="69">IF(AP27&lt;&gt;" ",IF(AW27&gt;0.5*(AV27+AV28),"Да","Нет")," ")</f>
        <v>Нет</v>
      </c>
      <c r="BA27" s="353" t="str">
        <f t="shared" ref="BA27" si="70">IF(AP27&lt;&gt;" ",IF(OR($AX$9&lt;7,$AX$9=7),"Да","Нет")," ")</f>
        <v>Нет</v>
      </c>
      <c r="BB27" s="353" t="str">
        <f t="shared" ref="BB27" si="71">IF(AP27&lt;&gt;" ",IF(AW27&gt;0.2*0.5*(AR27+AR28),"Да","Нет")," ")</f>
        <v>Да</v>
      </c>
      <c r="BC27" s="353">
        <f t="shared" ref="BC27" si="72">IF(AND(BE27&lt;&gt;0,BE27&lt;&gt;" "),AP27,0)</f>
        <v>0.2</v>
      </c>
      <c r="BD27" s="353">
        <f t="shared" ref="BD27" si="73">IF(AP27&lt;&gt;" ",IF(OR(AU27&lt;AR27,AU27=AR27),0.8*AW27*AP27/(5*$AX$9*10),0.8*AW27*AP27/($AX$9*10))," ")</f>
        <v>1.3527136753913165E-2</v>
      </c>
      <c r="BE27" s="353">
        <f t="shared" ref="BE27" si="74">IF(AP27&lt;&gt;" ",IF(AND(AY27="Нет",AZ27="Нет",BA27="Нет"),0,IF(AY27="Да",BD27,IF(AZ27="Да",BD27,IF(BA27="Да",BD27)))),0)</f>
        <v>1.3527136753913165E-2</v>
      </c>
      <c r="BF27" s="232"/>
      <c r="BH27" s="418"/>
      <c r="BI27" s="419"/>
      <c r="BJ27" s="202"/>
      <c r="BK27" s="419"/>
      <c r="BL27" s="213"/>
    </row>
    <row r="28" spans="1:64" ht="15" customHeight="1" thickBot="1">
      <c r="A28" s="465" t="s">
        <v>196</v>
      </c>
      <c r="B28" s="464"/>
      <c r="F28" s="454"/>
      <c r="G28" s="78"/>
      <c r="H28" s="123"/>
      <c r="I28" s="138"/>
      <c r="J28" s="123"/>
      <c r="K28" s="138"/>
      <c r="L28" s="123"/>
      <c r="M28" s="138"/>
      <c r="N28" s="123"/>
      <c r="O28" s="138"/>
      <c r="P28" s="123"/>
      <c r="Q28" s="138"/>
      <c r="R28" s="123"/>
      <c r="S28" s="138"/>
      <c r="T28" s="123"/>
      <c r="U28" s="138"/>
      <c r="V28" s="123"/>
      <c r="W28" s="138"/>
      <c r="X28" s="123"/>
      <c r="Y28" s="138"/>
      <c r="Z28" s="123"/>
      <c r="AA28" s="138"/>
      <c r="AB28" s="123"/>
      <c r="AC28" s="138"/>
      <c r="AD28" s="123"/>
      <c r="AE28" s="138"/>
      <c r="AG28" s="370"/>
      <c r="AH28" s="370"/>
      <c r="AI28" s="364"/>
      <c r="AJ28" s="425"/>
      <c r="AK28" s="364"/>
      <c r="AL28" s="370"/>
      <c r="AM28" s="459"/>
      <c r="AN28" s="386"/>
      <c r="AO28" s="353"/>
      <c r="AP28" s="353"/>
      <c r="AQ28" s="198">
        <f>IF(AP27&lt;&gt;" ",MAX($AQ$9:AQ27)+AP27," ")</f>
        <v>1.9999999999999998</v>
      </c>
      <c r="AR28" s="198">
        <f>IF(AP27&lt;&gt;" ",MAX($AR$9:AR27)+$AJ$9*AP27," ")</f>
        <v>284.95255400000013</v>
      </c>
      <c r="AS28" s="86">
        <f t="shared" si="2"/>
        <v>0.74074074074074059</v>
      </c>
      <c r="AT28" s="264" cm="1">
        <f t="array" ref="AT28">IF(AS28&lt;&gt;" ",Interpol(31,8,Служебный!$H$54:$H$84,Служебный!$I$53:$P$53,Служебный!$I$54:$P$84,'Осадка поля'!$AS28,'Осадка поля'!$B$6)," ")</f>
        <v>0.82370370370370383</v>
      </c>
      <c r="AU28" s="198">
        <f t="shared" si="1"/>
        <v>91.355972158715659</v>
      </c>
      <c r="AV28" s="198">
        <f>IF(AP27&lt;&gt;" ",AR28*0.5," ")</f>
        <v>142.47627700000007</v>
      </c>
      <c r="AW28" s="353"/>
      <c r="AX28" s="353"/>
      <c r="AY28" s="353"/>
      <c r="AZ28" s="353"/>
      <c r="BA28" s="353"/>
      <c r="BB28" s="353"/>
      <c r="BC28" s="353"/>
      <c r="BD28" s="353"/>
      <c r="BE28" s="353"/>
      <c r="BF28" s="232"/>
      <c r="BH28" s="418"/>
      <c r="BI28" s="419"/>
      <c r="BJ28" s="202"/>
      <c r="BK28" s="419"/>
      <c r="BL28" s="213"/>
    </row>
    <row r="29" spans="1:64" ht="15" customHeight="1" thickBot="1">
      <c r="A29" s="97" t="s">
        <v>197</v>
      </c>
      <c r="B29" s="50">
        <f>PI()*(1-B26^2)*B11*(B19-1.5*'Несущая способность по грунту 1'!B32)/(4*'Осадка поля'!B27*10)</f>
        <v>0.16482258053956667</v>
      </c>
      <c r="F29" s="454"/>
      <c r="G29" s="124">
        <v>0</v>
      </c>
      <c r="H29" s="125"/>
      <c r="I29" s="185"/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85"/>
      <c r="W29" s="185"/>
      <c r="X29" s="185"/>
      <c r="Y29" s="185"/>
      <c r="Z29" s="185"/>
      <c r="AA29" s="185"/>
      <c r="AB29" s="185"/>
      <c r="AC29" s="185"/>
      <c r="AD29" s="185"/>
      <c r="AE29" s="120"/>
      <c r="AG29" s="390">
        <f>AG9+1</f>
        <v>11</v>
      </c>
      <c r="AH29" s="390">
        <f>IF(AG29&gt;20,0,VLOOKUP(AG29,Скважина!$E$8:$K$27,2,FALSE))</f>
        <v>7</v>
      </c>
      <c r="AI29" s="388" t="str">
        <f>IF(OR(AH29=0,AG29&gt;20),0,VLOOKUP(AH29,Геология!$D$7:$BO$993,7,FALSE))</f>
        <v>Глины твердые   с прослоями полутвердых, суглинков и супесей</v>
      </c>
      <c r="AJ29" s="428">
        <f>VLOOKUP(AH29,Геология!$D$7:$BO$993,23,FALSE)</f>
        <v>19.121699999999997</v>
      </c>
      <c r="AK29" s="388">
        <f>VLOOKUP(AG29,Скважина!$E$8:$K$27,4)</f>
        <v>118</v>
      </c>
      <c r="AL29" s="390">
        <f>VLOOKUP(AG29,Скважина!$E$8:$K$27,5,FALSE)</f>
        <v>117</v>
      </c>
      <c r="AM29" s="461">
        <f>IF(IF(AH29&lt;&gt;0,AK29-AL29,0)&lt;0,0,IF(AH29&lt;&gt;0,AK29-AL29,0))</f>
        <v>1</v>
      </c>
      <c r="AN29" s="460">
        <v>10</v>
      </c>
      <c r="AO29" s="444">
        <f>IF(AN29&lt;&gt;0,MAX(AO$9:AO$28)+1," ")</f>
        <v>11</v>
      </c>
      <c r="AP29" s="444">
        <f>IF(AO29&lt;&gt;" ",AM$29/COUNT(AO$29:AO$48), " ")</f>
        <v>0.1</v>
      </c>
      <c r="AQ29" s="200">
        <f>IF(AP29&lt;&gt;" ",SUM($AP$9:AP27)," ")</f>
        <v>1.9999999999999998</v>
      </c>
      <c r="AR29" s="200">
        <f>IF(AP29&lt;&gt;" ",MAX($AR$9:AR28)," ")</f>
        <v>284.95255400000013</v>
      </c>
      <c r="AS29" s="87">
        <f t="shared" si="2"/>
        <v>0.74074074074074059</v>
      </c>
      <c r="AT29" s="264" cm="1">
        <f t="array" ref="AT29">IF(AS29&lt;&gt;" ",Interpol(31,8,Служебный!$H$54:$H$84,Служебный!$I$53:$P$53,Служебный!$I$54:$P$84,'Осадка поля'!$AS29,'Осадка поля'!$B$6)," ")</f>
        <v>0.82370370370370383</v>
      </c>
      <c r="AU29" s="200">
        <f t="shared" si="1"/>
        <v>91.355972158715659</v>
      </c>
      <c r="AV29" s="200">
        <f>IF(AP29&lt;&gt;" ",AR29*0.5," ")</f>
        <v>142.47627700000007</v>
      </c>
      <c r="AW29" s="444">
        <f>IF(AO29&lt;&gt;" ",(AU29+AU30)/2," ")</f>
        <v>90.534425646496999</v>
      </c>
      <c r="AX29" s="444">
        <f>IF(AH29&lt;&gt;0,VLOOKUP(AH29,Геология!$D$7:$BO$993,21,FALSE)," ")</f>
        <v>23</v>
      </c>
      <c r="AY29" s="445" t="str">
        <f t="shared" ref="AY29" si="75">IF(AP29&lt;&gt;" ",IF(AQ29&gt;$B$15,"Нет","Да")," ")</f>
        <v>Да</v>
      </c>
      <c r="AZ29" s="445" t="str">
        <f>IF(AP29&lt;&gt;" ",IF(AW29&gt;0.5*(AV29+AV30),"Да","Нет")," ")</f>
        <v>Нет</v>
      </c>
      <c r="BA29" s="445" t="str">
        <f>IF(AP29&lt;&gt;" ",IF(OR($AX$29&lt;7,$AX$29=7),"Да","Нет")," ")</f>
        <v>Нет</v>
      </c>
      <c r="BB29" s="445" t="str">
        <f t="shared" ref="BB29" si="76">IF(AP29&lt;&gt;" ",IF(AW29&gt;0.2*0.5*(AR29+AR30),"Да","Нет")," ")</f>
        <v>Да</v>
      </c>
      <c r="BC29" s="444">
        <f t="shared" ref="BC29" si="77">IF(AND(BE29&lt;&gt;0,BE29&lt;&gt;" "),AP29,0)</f>
        <v>0.1</v>
      </c>
      <c r="BD29" s="445">
        <f>IF(AP29&lt;&gt;" ",IF(OR(AU29&lt;AR29,AU29=AR29),0.8*AW29*AP29/(5*$AX$29*10),0.8*AW29*AP29/($AX$29*10))," ")</f>
        <v>6.2980470014954437E-3</v>
      </c>
      <c r="BE29" s="353">
        <f t="shared" ref="BE29" si="78">IF(AP29&lt;&gt;" ",IF(AND(AY29="Нет",AZ29="Нет",BA29="Нет"),0,IF(AY29="Да",BD29,IF(AZ29="Да",BD29,IF(BA29="Да",BD29)))),0)</f>
        <v>6.2980470014954437E-3</v>
      </c>
      <c r="BF29" s="232"/>
      <c r="BH29" s="448">
        <f>IF(AH29&lt;&gt;0,VLOOKUP(AH29,Геология!$D$7:$BO$993,24,FALSE)," ")</f>
        <v>0.25</v>
      </c>
      <c r="BI29" s="449">
        <f>IF(BH29&lt;&gt;" ",BH29*AM29," ")</f>
        <v>0.25</v>
      </c>
      <c r="BJ29" s="202"/>
      <c r="BK29" s="456">
        <f>IF(AM29&lt;&gt;0,AX29*AM29," ")</f>
        <v>23</v>
      </c>
      <c r="BL29" s="213"/>
    </row>
    <row r="30" spans="1:64" ht="15" customHeight="1" thickBot="1">
      <c r="A30" s="97" t="s">
        <v>198</v>
      </c>
      <c r="B30" s="50">
        <f>(1-B26^2)*B21*(1-'Несущая способность по грунту 1'!B32/'Осадка поля'!B19)/('Несущая способность по грунту 1'!B32*'Осадка поля'!B27*10)</f>
        <v>0.8394345096330903</v>
      </c>
      <c r="F30" s="454"/>
      <c r="G30" s="78"/>
      <c r="H30" s="123"/>
      <c r="I30" s="138"/>
      <c r="J30" s="123"/>
      <c r="K30" s="138"/>
      <c r="L30" s="123"/>
      <c r="M30" s="138"/>
      <c r="N30" s="123"/>
      <c r="O30" s="138"/>
      <c r="P30" s="123"/>
      <c r="Q30" s="138"/>
      <c r="R30" s="123"/>
      <c r="S30" s="138"/>
      <c r="T30" s="123"/>
      <c r="U30" s="138"/>
      <c r="V30" s="123"/>
      <c r="W30" s="138"/>
      <c r="X30" s="123"/>
      <c r="Y30" s="138"/>
      <c r="Z30" s="123"/>
      <c r="AA30" s="138"/>
      <c r="AB30" s="123"/>
      <c r="AC30" s="138"/>
      <c r="AD30" s="123"/>
      <c r="AE30" s="138"/>
      <c r="AG30" s="370"/>
      <c r="AH30" s="370"/>
      <c r="AI30" s="364"/>
      <c r="AJ30" s="425"/>
      <c r="AK30" s="364"/>
      <c r="AL30" s="370"/>
      <c r="AM30" s="459"/>
      <c r="AN30" s="386"/>
      <c r="AO30" s="353"/>
      <c r="AP30" s="353"/>
      <c r="AQ30" s="183">
        <f>IF(AP29&lt;&gt;" ",MAX($AQ$9:AQ29)+AP29," ")</f>
        <v>2.0999999999999996</v>
      </c>
      <c r="AR30" s="22">
        <f>IF(AP29&lt;&gt;" ",MAX($AR$9:AR29)+$AJ$29*AP29," ")</f>
        <v>286.86472400000014</v>
      </c>
      <c r="AS30" s="86">
        <f t="shared" si="2"/>
        <v>0.77777777777777757</v>
      </c>
      <c r="AT30" s="264" cm="1">
        <f t="array" ref="AT30">IF(AS30&lt;&gt;" ",Interpol(31,8,Служебный!$H$54:$H$84,Служебный!$I$53:$P$53,Служебный!$I$54:$P$84,'Осадка поля'!$AS30,'Осадка поля'!$B$6)," ")</f>
        <v>0.80888888888888899</v>
      </c>
      <c r="AU30" s="22">
        <f t="shared" si="1"/>
        <v>89.712879134278324</v>
      </c>
      <c r="AV30" s="22">
        <f>IF(AP29&lt;&gt;" ",AR30*0.5," ")</f>
        <v>143.43236200000007</v>
      </c>
      <c r="AW30" s="353"/>
      <c r="AX30" s="353"/>
      <c r="AY30" s="444"/>
      <c r="AZ30" s="444"/>
      <c r="BA30" s="445"/>
      <c r="BB30" s="444"/>
      <c r="BC30" s="353"/>
      <c r="BD30" s="444"/>
      <c r="BE30" s="353"/>
      <c r="BF30" s="232"/>
      <c r="BH30" s="418"/>
      <c r="BI30" s="419"/>
      <c r="BJ30" s="202"/>
      <c r="BK30" s="419"/>
      <c r="BL30" s="213"/>
    </row>
    <row r="31" spans="1:64" ht="15" customHeight="1" thickBot="1">
      <c r="A31" s="97" t="s">
        <v>199</v>
      </c>
      <c r="B31" s="235">
        <f>B29/((B29/B30*(1-B24/B27)+B24/B27))</f>
        <v>0.22331570407886867</v>
      </c>
      <c r="F31" s="454"/>
      <c r="G31" s="124">
        <v>0</v>
      </c>
      <c r="H31" s="125"/>
      <c r="I31" s="185"/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85"/>
      <c r="W31" s="185"/>
      <c r="X31" s="185"/>
      <c r="Y31" s="185"/>
      <c r="Z31" s="185"/>
      <c r="AA31" s="185"/>
      <c r="AB31" s="185"/>
      <c r="AC31" s="185"/>
      <c r="AD31" s="185"/>
      <c r="AE31" s="120"/>
      <c r="AG31" s="370"/>
      <c r="AH31" s="370"/>
      <c r="AI31" s="364"/>
      <c r="AJ31" s="425"/>
      <c r="AK31" s="364"/>
      <c r="AL31" s="370"/>
      <c r="AM31" s="459"/>
      <c r="AN31" s="386"/>
      <c r="AO31" s="353">
        <f>IF(AO29=" "," ", IF(AO29&lt;SUM(AN$9:AN$48),AO29+1, " "))</f>
        <v>12</v>
      </c>
      <c r="AP31" s="353">
        <f>IF(AO31&lt;&gt;" ",AM$29/COUNT(AO$29:AO$48), " ")</f>
        <v>0.1</v>
      </c>
      <c r="AQ31" s="183">
        <f>IF(AP31&lt;&gt;" ",SUM($AP$9:AP29)," ")</f>
        <v>2.0999999999999996</v>
      </c>
      <c r="AR31" s="22">
        <f>IF(AP31&lt;&gt;" ",MAX($AR$9:AR30)," ")</f>
        <v>286.86472400000014</v>
      </c>
      <c r="AS31" s="86">
        <f t="shared" si="2"/>
        <v>0.77777777777777757</v>
      </c>
      <c r="AT31" s="264" cm="1">
        <f t="array" ref="AT31">IF(AS31&lt;&gt;" ",Interpol(31,8,Служебный!$H$54:$H$84,Служебный!$I$53:$P$53,Служебный!$I$54:$P$84,'Осадка поля'!$AS31,'Осадка поля'!$B$6)," ")</f>
        <v>0.80888888888888899</v>
      </c>
      <c r="AU31" s="22">
        <f t="shared" si="1"/>
        <v>89.712879134278324</v>
      </c>
      <c r="AV31" s="22">
        <f>IF(AP31&lt;&gt;" ",AR31*0.5," ")</f>
        <v>143.43236200000007</v>
      </c>
      <c r="AW31" s="353">
        <f>IF(AO31&lt;&gt;" ",(AU31+AU32)/2," ")</f>
        <v>88.821501168521081</v>
      </c>
      <c r="AX31" s="353"/>
      <c r="AY31" s="445" t="str">
        <f t="shared" ref="AY31" si="79">IF(AP31&lt;&gt;" ",IF(AQ31&gt;$B$15,"Нет","Да")," ")</f>
        <v>Да</v>
      </c>
      <c r="AZ31" s="441" t="str">
        <f t="shared" ref="AZ31" si="80">IF(AP31&lt;&gt;" ",IF(AW31&gt;0.5*(AV31+AV32),"Да","Нет")," ")</f>
        <v>Нет</v>
      </c>
      <c r="BA31" s="441" t="str">
        <f t="shared" ref="BA31" si="81">IF(AP31&lt;&gt;" ",IF(OR($AX$29&lt;7,$AX$29=7),"Да","Нет")," ")</f>
        <v>Нет</v>
      </c>
      <c r="BB31" s="441" t="str">
        <f t="shared" ref="BB31" si="82">IF(AP31&lt;&gt;" ",IF(AW31&gt;0.2*0.5*(AR31+AR32),"Да","Нет")," ")</f>
        <v>Да</v>
      </c>
      <c r="BC31" s="353">
        <f t="shared" ref="BC31" si="83">IF(AND(BE31&lt;&gt;0,BE31&lt;&gt;" "),AP31,0)</f>
        <v>0.1</v>
      </c>
      <c r="BD31" s="443">
        <f t="shared" ref="BD31" si="84">IF(AP31&lt;&gt;" ",IF(OR(AU31&lt;AR31,AU31=AR31),0.8*AW31*AP31/(5*$AX$29*10),0.8*AW31*AP31/($AX$29*10))," ")</f>
        <v>6.1788870378101622E-3</v>
      </c>
      <c r="BE31" s="353">
        <f t="shared" ref="BE31:BE91" si="85">IF(AP31&lt;&gt;" ",IF(AND(AY31="Нет",AZ31="Нет",BA31="Нет"),0,IF(AY31="Да",BD31,IF(AZ31="Да",BD31,IF(BA31="Да",BD31)))),0)</f>
        <v>6.1788870378101622E-3</v>
      </c>
      <c r="BF31" s="232"/>
      <c r="BH31" s="418"/>
      <c r="BI31" s="419"/>
      <c r="BJ31" s="202"/>
      <c r="BK31" s="419"/>
      <c r="BL31" s="213"/>
    </row>
    <row r="32" spans="1:64" ht="15" customHeight="1" thickBot="1">
      <c r="A32" s="466" t="s">
        <v>200</v>
      </c>
      <c r="B32" s="466"/>
      <c r="F32" s="454"/>
      <c r="G32" s="78"/>
      <c r="H32" s="123"/>
      <c r="I32" s="138"/>
      <c r="J32" s="123"/>
      <c r="K32" s="138"/>
      <c r="L32" s="123"/>
      <c r="M32" s="138"/>
      <c r="N32" s="123"/>
      <c r="O32" s="138"/>
      <c r="P32" s="123"/>
      <c r="Q32" s="138"/>
      <c r="R32" s="123"/>
      <c r="S32" s="138"/>
      <c r="T32" s="123"/>
      <c r="U32" s="138"/>
      <c r="V32" s="123"/>
      <c r="W32" s="138"/>
      <c r="X32" s="123"/>
      <c r="Y32" s="138"/>
      <c r="Z32" s="123"/>
      <c r="AA32" s="138"/>
      <c r="AB32" s="123"/>
      <c r="AC32" s="138"/>
      <c r="AD32" s="123"/>
      <c r="AE32" s="138"/>
      <c r="AG32" s="370"/>
      <c r="AH32" s="370"/>
      <c r="AI32" s="364"/>
      <c r="AJ32" s="425"/>
      <c r="AK32" s="364"/>
      <c r="AL32" s="370"/>
      <c r="AM32" s="459"/>
      <c r="AN32" s="386"/>
      <c r="AO32" s="353"/>
      <c r="AP32" s="353"/>
      <c r="AQ32" s="183">
        <f>IF(AP31&lt;&gt;" ",MAX($AQ$9:AQ31)+AP31," ")</f>
        <v>2.1999999999999997</v>
      </c>
      <c r="AR32" s="22">
        <f>IF(AP31&lt;&gt;" ",MAX($AR$9:AR31)+$AJ$29*AP31," ")</f>
        <v>288.77689400000014</v>
      </c>
      <c r="AS32" s="86">
        <f t="shared" si="2"/>
        <v>0.81481481481481466</v>
      </c>
      <c r="AT32" s="264" cm="1">
        <f t="array" ref="AT32">IF(AS32&lt;&gt;" ",Interpol(31,8,Служебный!$H$54:$H$84,Служебный!$I$53:$P$53,Служебный!$I$54:$P$84,'Осадка поля'!$AS32,'Осадка поля'!$B$6)," ")</f>
        <v>0.79281481481481497</v>
      </c>
      <c r="AU32" s="22">
        <f t="shared" si="1"/>
        <v>87.930123202763824</v>
      </c>
      <c r="AV32" s="22">
        <f>IF(AP31&lt;&gt;" ",AR32*0.5," ")</f>
        <v>144.38844700000007</v>
      </c>
      <c r="AW32" s="353"/>
      <c r="AX32" s="353"/>
      <c r="AY32" s="444"/>
      <c r="AZ32" s="444"/>
      <c r="BA32" s="445"/>
      <c r="BB32" s="444"/>
      <c r="BC32" s="353"/>
      <c r="BD32" s="444"/>
      <c r="BE32" s="353"/>
      <c r="BF32" s="232"/>
      <c r="BH32" s="418"/>
      <c r="BI32" s="419"/>
      <c r="BJ32" s="202"/>
      <c r="BK32" s="419"/>
      <c r="BL32" s="213"/>
    </row>
    <row r="33" spans="1:64" ht="15" customHeight="1" thickBot="1">
      <c r="A33" s="96" t="s">
        <v>201</v>
      </c>
      <c r="B33" s="59">
        <v>30000</v>
      </c>
      <c r="F33" s="454"/>
      <c r="G33" s="124">
        <v>0</v>
      </c>
      <c r="H33" s="125"/>
      <c r="I33" s="185"/>
      <c r="J33" s="185"/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85"/>
      <c r="W33" s="185"/>
      <c r="X33" s="185"/>
      <c r="Y33" s="185"/>
      <c r="Z33" s="185"/>
      <c r="AA33" s="185"/>
      <c r="AB33" s="185"/>
      <c r="AC33" s="185"/>
      <c r="AD33" s="185"/>
      <c r="AE33" s="120"/>
      <c r="AG33" s="370"/>
      <c r="AH33" s="370"/>
      <c r="AI33" s="364"/>
      <c r="AJ33" s="425"/>
      <c r="AK33" s="364"/>
      <c r="AL33" s="370"/>
      <c r="AM33" s="459"/>
      <c r="AN33" s="386"/>
      <c r="AO33" s="353">
        <f>IF(AO31=" "," ", IF(AO31&lt;SUM(AN$9:AN$48),AO31+1, " "))</f>
        <v>13</v>
      </c>
      <c r="AP33" s="353">
        <f>IF(AO33&lt;&gt;" ",AM$29/COUNT(AO$29:AO$48), " ")</f>
        <v>0.1</v>
      </c>
      <c r="AQ33" s="183">
        <f>IF(AP33&lt;&gt;" ",SUM($AP$9:AP31)," ")</f>
        <v>2.1999999999999997</v>
      </c>
      <c r="AR33" s="22">
        <f>IF(AP33&lt;&gt;" ",MAX($AR$9:AR32)," ")</f>
        <v>288.77689400000014</v>
      </c>
      <c r="AS33" s="86">
        <f t="shared" si="2"/>
        <v>0.81481481481481466</v>
      </c>
      <c r="AT33" s="264" cm="1">
        <f t="array" ref="AT33">IF(AS33&lt;&gt;" ",Interpol(31,8,Служебный!$H$54:$H$84,Служебный!$I$53:$P$53,Служебный!$I$54:$P$84,'Осадка поля'!$AS33,'Осадка поля'!$B$6)," ")</f>
        <v>0.79281481481481497</v>
      </c>
      <c r="AU33" s="22">
        <f t="shared" si="1"/>
        <v>87.930123202763824</v>
      </c>
      <c r="AV33" s="22">
        <f>IF(AP33&lt;&gt;" ",AR33*0.5," ")</f>
        <v>144.38844700000007</v>
      </c>
      <c r="AW33" s="353">
        <f>IF(AO33&lt;&gt;" ",(AU33+AU34)/2," ")</f>
        <v>86.933998056698684</v>
      </c>
      <c r="AX33" s="353"/>
      <c r="AY33" s="445" t="str">
        <f t="shared" ref="AY33" si="86">IF(AP33&lt;&gt;" ",IF(AQ33&gt;$B$15,"Нет","Да")," ")</f>
        <v>Да</v>
      </c>
      <c r="AZ33" s="441" t="str">
        <f t="shared" ref="AZ33" si="87">IF(AP33&lt;&gt;" ",IF(AW33&gt;0.5*(AV33+AV34),"Да","Нет")," ")</f>
        <v>Нет</v>
      </c>
      <c r="BA33" s="441" t="str">
        <f t="shared" ref="BA33" si="88">IF(AP33&lt;&gt;" ",IF(OR($AX$29&lt;7,$AX$29=7),"Да","Нет")," ")</f>
        <v>Нет</v>
      </c>
      <c r="BB33" s="441" t="str">
        <f t="shared" ref="BB33" si="89">IF(AP33&lt;&gt;" ",IF(AW33&gt;0.2*0.5*(AR33+AR34),"Да","Нет")," ")</f>
        <v>Да</v>
      </c>
      <c r="BC33" s="353">
        <f t="shared" ref="BC33" si="90">IF(AND(BE33&lt;&gt;0,BE33&lt;&gt;" "),AP33,0)</f>
        <v>0.1</v>
      </c>
      <c r="BD33" s="443">
        <f t="shared" ref="BD33" si="91">IF(AP33&lt;&gt;" ",IF(OR(AU33&lt;AR33,AU33=AR33),0.8*AW33*AP33/(5*$AX$29*10),0.8*AW33*AP33/($AX$29*10))," ")</f>
        <v>6.0475824735094731E-3</v>
      </c>
      <c r="BE33" s="353">
        <f t="shared" ref="BE33:BE93" si="92">IF(AP33&lt;&gt;" ",IF(AND(AY33="Нет",AZ33="Нет",BA33="Нет"),0,IF(AY33="Да",BD33,IF(AZ33="Да",BD33,IF(BA33="Да",BD33)))),0)</f>
        <v>6.0475824735094731E-3</v>
      </c>
      <c r="BF33" s="232"/>
      <c r="BH33" s="418"/>
      <c r="BI33" s="419"/>
      <c r="BJ33" s="202"/>
      <c r="BK33" s="419"/>
      <c r="BL33" s="213"/>
    </row>
    <row r="34" spans="1:64" ht="15" customHeight="1" thickBot="1">
      <c r="A34" s="96" t="s">
        <v>51</v>
      </c>
      <c r="B34" s="50">
        <f>('Несущая способность по грунту 1'!B32)^2</f>
        <v>0.09</v>
      </c>
      <c r="F34" s="454"/>
      <c r="G34" s="78"/>
      <c r="H34" s="123"/>
      <c r="I34" s="138"/>
      <c r="J34" s="123"/>
      <c r="K34" s="138"/>
      <c r="L34" s="123"/>
      <c r="M34" s="138"/>
      <c r="N34" s="123"/>
      <c r="O34" s="138"/>
      <c r="P34" s="123"/>
      <c r="Q34" s="138"/>
      <c r="R34" s="123"/>
      <c r="S34" s="138"/>
      <c r="T34" s="123"/>
      <c r="U34" s="138"/>
      <c r="V34" s="123"/>
      <c r="W34" s="138"/>
      <c r="X34" s="123"/>
      <c r="Y34" s="138"/>
      <c r="Z34" s="123"/>
      <c r="AA34" s="138"/>
      <c r="AB34" s="123"/>
      <c r="AC34" s="138"/>
      <c r="AD34" s="123"/>
      <c r="AE34" s="138"/>
      <c r="AG34" s="370"/>
      <c r="AH34" s="370"/>
      <c r="AI34" s="364"/>
      <c r="AJ34" s="425"/>
      <c r="AK34" s="364"/>
      <c r="AL34" s="370"/>
      <c r="AM34" s="459"/>
      <c r="AN34" s="386"/>
      <c r="AO34" s="353"/>
      <c r="AP34" s="353"/>
      <c r="AQ34" s="183">
        <f>IF(AP33&lt;&gt;" ",MAX($AQ$9:AQ33)+AP33," ")</f>
        <v>2.2999999999999998</v>
      </c>
      <c r="AR34" s="22">
        <f>IF(AP33&lt;&gt;" ",MAX($AR$9:AR33)+$AJ$29*AP33," ")</f>
        <v>290.68906400000014</v>
      </c>
      <c r="AS34" s="86">
        <f t="shared" si="2"/>
        <v>0.85185185185185175</v>
      </c>
      <c r="AT34" s="264" cm="1">
        <f t="array" ref="AT34">IF(AS34&lt;&gt;" ",Interpol(31,8,Служебный!$H$54:$H$84,Служебный!$I$53:$P$53,Служебный!$I$54:$P$84,'Осадка поля'!$AS34,'Осадка поля'!$B$6)," ")</f>
        <v>0.7748518518518519</v>
      </c>
      <c r="AU34" s="22">
        <f t="shared" si="1"/>
        <v>85.937872910633544</v>
      </c>
      <c r="AV34" s="22">
        <f>IF(AP33&lt;&gt;" ",AR34*0.5," ")</f>
        <v>145.34453200000007</v>
      </c>
      <c r="AW34" s="353"/>
      <c r="AX34" s="353"/>
      <c r="AY34" s="444"/>
      <c r="AZ34" s="444"/>
      <c r="BA34" s="445"/>
      <c r="BB34" s="444"/>
      <c r="BC34" s="353"/>
      <c r="BD34" s="444"/>
      <c r="BE34" s="353"/>
      <c r="BF34" s="232"/>
      <c r="BH34" s="418"/>
      <c r="BI34" s="419"/>
      <c r="BJ34" s="202"/>
      <c r="BK34" s="419"/>
      <c r="BL34" s="213"/>
    </row>
    <row r="35" spans="1:64" ht="15" customHeight="1" thickBot="1">
      <c r="A35" s="97" t="s">
        <v>202</v>
      </c>
      <c r="B35" s="235">
        <f>B21*('Несущая способность по грунту 1'!$B$21-'Осадка поля'!B19+0.05)/('Осадка поля'!B33*'Осадка поля'!B34*10)</f>
        <v>4.5084418724279852E-2</v>
      </c>
      <c r="F35" s="454"/>
      <c r="G35" s="124">
        <v>0</v>
      </c>
      <c r="H35" s="12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185"/>
      <c r="W35" s="185"/>
      <c r="X35" s="185"/>
      <c r="Y35" s="185"/>
      <c r="Z35" s="185"/>
      <c r="AA35" s="185"/>
      <c r="AB35" s="185"/>
      <c r="AC35" s="185"/>
      <c r="AD35" s="185"/>
      <c r="AE35" s="120"/>
      <c r="AG35" s="370"/>
      <c r="AH35" s="370"/>
      <c r="AI35" s="364"/>
      <c r="AJ35" s="425"/>
      <c r="AK35" s="364"/>
      <c r="AL35" s="370"/>
      <c r="AM35" s="459"/>
      <c r="AN35" s="386"/>
      <c r="AO35" s="353">
        <f>IF(AO33=" "," ", IF(AO33&lt;SUM(AN$9:AN$48),AO33+1, " "))</f>
        <v>14</v>
      </c>
      <c r="AP35" s="353">
        <f>IF(AO35&lt;&gt;" ",AM$29/COUNT(AO$29:AO$48), " ")</f>
        <v>0.1</v>
      </c>
      <c r="AQ35" s="183">
        <f>IF(AP35&lt;&gt;" ",SUM($AP$9:AP33)," ")</f>
        <v>2.2999999999999998</v>
      </c>
      <c r="AR35" s="22">
        <f>IF(AP35&lt;&gt;" ",MAX($AR$9:AR34)," ")</f>
        <v>290.68906400000014</v>
      </c>
      <c r="AS35" s="86">
        <f t="shared" si="2"/>
        <v>0.85185185185185175</v>
      </c>
      <c r="AT35" s="264" cm="1">
        <f t="array" ref="AT35">IF(AS35&lt;&gt;" ",Interpol(31,8,Служебный!$H$54:$H$84,Служебный!$I$53:$P$53,Служебный!$I$54:$P$84,'Осадка поля'!$AS35,'Осадка поля'!$B$6)," ")</f>
        <v>0.7748518518518519</v>
      </c>
      <c r="AU35" s="22">
        <f t="shared" si="1"/>
        <v>85.937872910633544</v>
      </c>
      <c r="AV35" s="22">
        <f>IF(AP35&lt;&gt;" ",AR35*0.5," ")</f>
        <v>145.34453200000007</v>
      </c>
      <c r="AW35" s="353">
        <f>IF(AO35&lt;&gt;" ",(AU35+AU36)/2," ")</f>
        <v>84.941747764568419</v>
      </c>
      <c r="AX35" s="353"/>
      <c r="AY35" s="445" t="str">
        <f t="shared" ref="AY35" si="93">IF(AP35&lt;&gt;" ",IF(AQ35&gt;$B$15,"Нет","Да")," ")</f>
        <v>Да</v>
      </c>
      <c r="AZ35" s="441" t="str">
        <f t="shared" ref="AZ35" si="94">IF(AP35&lt;&gt;" ",IF(AW35&gt;0.5*(AV35+AV36),"Да","Нет")," ")</f>
        <v>Нет</v>
      </c>
      <c r="BA35" s="441" t="str">
        <f t="shared" ref="BA35" si="95">IF(AP35&lt;&gt;" ",IF(OR($AX$29&lt;7,$AX$29=7),"Да","Нет")," ")</f>
        <v>Нет</v>
      </c>
      <c r="BB35" s="441" t="str">
        <f t="shared" ref="BB35" si="96">IF(AP35&lt;&gt;" ",IF(AW35&gt;0.2*0.5*(AR35+AR36),"Да","Нет")," ")</f>
        <v>Да</v>
      </c>
      <c r="BC35" s="353">
        <f t="shared" ref="BC35" si="97">IF(AND(BE35&lt;&gt;0,BE35&lt;&gt;" "),AP35,0)</f>
        <v>0.1</v>
      </c>
      <c r="BD35" s="443">
        <f t="shared" ref="BD35" si="98">IF(AP35&lt;&gt;" ",IF(OR(AU35&lt;AR35,AU35=AR35),0.8*AW35*AP35/(5*$AX$29*10),0.8*AW35*AP35/($AX$29*10))," ")</f>
        <v>5.9089911488395428E-3</v>
      </c>
      <c r="BE35" s="353">
        <f t="shared" ref="BE35:BE95" si="99">IF(AP35&lt;&gt;" ",IF(AND(AY35="Нет",AZ35="Нет",BA35="Нет"),0,IF(AY35="Да",BD35,IF(AZ35="Да",BD35,IF(BA35="Да",BD35)))),0)</f>
        <v>5.9089911488395428E-3</v>
      </c>
      <c r="BF35" s="232"/>
      <c r="BH35" s="418"/>
      <c r="BI35" s="419"/>
      <c r="BJ35" s="202"/>
      <c r="BK35" s="419"/>
      <c r="BL35" s="213"/>
    </row>
    <row r="36" spans="1:64" ht="15" customHeight="1" thickBot="1">
      <c r="A36" s="466" t="s">
        <v>308</v>
      </c>
      <c r="B36" s="466"/>
      <c r="F36" s="454"/>
      <c r="G36" s="78"/>
      <c r="H36" s="123"/>
      <c r="I36" s="138"/>
      <c r="J36" s="123"/>
      <c r="K36" s="138"/>
      <c r="L36" s="123"/>
      <c r="M36" s="138"/>
      <c r="N36" s="123"/>
      <c r="O36" s="138"/>
      <c r="P36" s="123"/>
      <c r="Q36" s="138"/>
      <c r="R36" s="123"/>
      <c r="S36" s="138"/>
      <c r="T36" s="123"/>
      <c r="U36" s="138"/>
      <c r="V36" s="123"/>
      <c r="W36" s="138"/>
      <c r="X36" s="123"/>
      <c r="Y36" s="138"/>
      <c r="Z36" s="123"/>
      <c r="AA36" s="138"/>
      <c r="AB36" s="123"/>
      <c r="AC36" s="138"/>
      <c r="AD36" s="123"/>
      <c r="AE36" s="138"/>
      <c r="AG36" s="370"/>
      <c r="AH36" s="370"/>
      <c r="AI36" s="364"/>
      <c r="AJ36" s="425"/>
      <c r="AK36" s="364"/>
      <c r="AL36" s="370"/>
      <c r="AM36" s="459"/>
      <c r="AN36" s="386"/>
      <c r="AO36" s="353"/>
      <c r="AP36" s="353"/>
      <c r="AQ36" s="183">
        <f>IF(AP35&lt;&gt;" ",MAX($AQ$9:AQ35)+AP35," ")</f>
        <v>2.4</v>
      </c>
      <c r="AR36" s="22">
        <f>IF(AP35&lt;&gt;" ",MAX($AR$9:AR35)+$AJ$29*AP35," ")</f>
        <v>292.60123400000015</v>
      </c>
      <c r="AS36" s="86">
        <f t="shared" si="2"/>
        <v>0.88888888888888884</v>
      </c>
      <c r="AT36" s="264" cm="1">
        <f t="array" ref="AT36">IF(AS36&lt;&gt;" ",Interpol(31,8,Служебный!$H$54:$H$84,Служебный!$I$53:$P$53,Служебный!$I$54:$P$84,'Осадка поля'!$AS36,'Осадка поля'!$B$6)," ")</f>
        <v>0.75688888888888894</v>
      </c>
      <c r="AU36" s="22">
        <f t="shared" si="1"/>
        <v>83.945622618503279</v>
      </c>
      <c r="AV36" s="22">
        <f>IF(AP35&lt;&gt;" ",AR36*0.5," ")</f>
        <v>146.30061700000007</v>
      </c>
      <c r="AW36" s="353"/>
      <c r="AX36" s="353"/>
      <c r="AY36" s="444"/>
      <c r="AZ36" s="444"/>
      <c r="BA36" s="445"/>
      <c r="BB36" s="444"/>
      <c r="BC36" s="353"/>
      <c r="BD36" s="444"/>
      <c r="BE36" s="353"/>
      <c r="BF36" s="232"/>
      <c r="BH36" s="418"/>
      <c r="BI36" s="419"/>
      <c r="BJ36" s="202"/>
      <c r="BK36" s="419"/>
      <c r="BL36" s="213"/>
    </row>
    <row r="37" spans="1:64" ht="15" customHeight="1" thickBot="1">
      <c r="A37" s="97" t="s">
        <v>309</v>
      </c>
      <c r="B37" s="235">
        <f>BF9</f>
        <v>0.19819466051461118</v>
      </c>
      <c r="F37" s="454"/>
      <c r="G37" s="124">
        <v>0</v>
      </c>
      <c r="H37" s="125"/>
      <c r="I37" s="185"/>
      <c r="J37" s="185"/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20"/>
      <c r="AG37" s="370"/>
      <c r="AH37" s="370"/>
      <c r="AI37" s="364"/>
      <c r="AJ37" s="425"/>
      <c r="AK37" s="364"/>
      <c r="AL37" s="370"/>
      <c r="AM37" s="459"/>
      <c r="AN37" s="386"/>
      <c r="AO37" s="353">
        <f>IF(AO35=" "," ", IF(AO35&lt;SUM(AN$9:AN$48),AO35+1, " "))</f>
        <v>15</v>
      </c>
      <c r="AP37" s="353">
        <f>IF(AO37&lt;&gt;" ",AM$29/COUNT(AO$29:AO$48), " ")</f>
        <v>0.1</v>
      </c>
      <c r="AQ37" s="183">
        <f>IF(AP37&lt;&gt;" ",SUM($AP$9:AP35)," ")</f>
        <v>2.4</v>
      </c>
      <c r="AR37" s="22">
        <f>IF(AP37&lt;&gt;" ",MAX($AR$9:AR36)," ")</f>
        <v>292.60123400000015</v>
      </c>
      <c r="AS37" s="86">
        <f t="shared" si="2"/>
        <v>0.88888888888888884</v>
      </c>
      <c r="AT37" s="264" cm="1">
        <f t="array" ref="AT37">IF(AS37&lt;&gt;" ",Interpol(31,8,Служебный!$H$54:$H$84,Служебный!$I$53:$P$53,Служебный!$I$54:$P$84,'Осадка поля'!$AS37,'Осадка поля'!$B$6)," ")</f>
        <v>0.75688888888888894</v>
      </c>
      <c r="AU37" s="22">
        <f t="shared" si="1"/>
        <v>83.945622618503279</v>
      </c>
      <c r="AV37" s="22">
        <f>IF(AP37&lt;&gt;" ",AR37*0.5," ")</f>
        <v>146.30061700000007</v>
      </c>
      <c r="AW37" s="353">
        <f>IF(AO37&lt;&gt;" ",(AU37+AU38)/2," ")</f>
        <v>82.949497472438139</v>
      </c>
      <c r="AX37" s="353"/>
      <c r="AY37" s="445" t="str">
        <f t="shared" ref="AY37" si="100">IF(AP37&lt;&gt;" ",IF(AQ37&gt;$B$15,"Нет","Да")," ")</f>
        <v>Да</v>
      </c>
      <c r="AZ37" s="441" t="str">
        <f t="shared" ref="AZ37" si="101">IF(AP37&lt;&gt;" ",IF(AW37&gt;0.5*(AV37+AV38),"Да","Нет")," ")</f>
        <v>Нет</v>
      </c>
      <c r="BA37" s="441" t="str">
        <f t="shared" ref="BA37" si="102">IF(AP37&lt;&gt;" ",IF(OR($AX$29&lt;7,$AX$29=7),"Да","Нет")," ")</f>
        <v>Нет</v>
      </c>
      <c r="BB37" s="441" t="str">
        <f t="shared" ref="BB37" si="103">IF(AP37&lt;&gt;" ",IF(AW37&gt;0.2*0.5*(AR37+AR38),"Да","Нет")," ")</f>
        <v>Да</v>
      </c>
      <c r="BC37" s="353">
        <f t="shared" ref="BC37" si="104">IF(AND(BE37&lt;&gt;0,BE37&lt;&gt;" "),AP37,0)</f>
        <v>0.1</v>
      </c>
      <c r="BD37" s="443">
        <f t="shared" ref="BD37" si="105">IF(AP37&lt;&gt;" ",IF(OR(AU37&lt;AR37,AU37=AR37),0.8*AW37*AP37/(5*$AX$29*10),0.8*AW37*AP37/($AX$29*10))," ")</f>
        <v>5.77039982416961E-3</v>
      </c>
      <c r="BE37" s="353">
        <f t="shared" ref="BE37:BE97" si="106">IF(AP37&lt;&gt;" ",IF(AND(AY37="Нет",AZ37="Нет",BA37="Нет"),0,IF(AY37="Да",BD37,IF(AZ37="Да",BD37,IF(BA37="Да",BD37)))),0)</f>
        <v>5.77039982416961E-3</v>
      </c>
      <c r="BF37" s="232"/>
      <c r="BH37" s="418"/>
      <c r="BI37" s="419"/>
      <c r="BJ37" s="202"/>
      <c r="BK37" s="419"/>
      <c r="BL37" s="213"/>
    </row>
    <row r="38" spans="1:64" ht="15" customHeight="1" thickBot="1">
      <c r="F38" s="454"/>
      <c r="G38" s="78"/>
      <c r="H38" s="123"/>
      <c r="I38" s="138"/>
      <c r="J38" s="123"/>
      <c r="K38" s="138"/>
      <c r="L38" s="123"/>
      <c r="M38" s="138"/>
      <c r="N38" s="123"/>
      <c r="O38" s="138"/>
      <c r="P38" s="123"/>
      <c r="Q38" s="138"/>
      <c r="R38" s="123"/>
      <c r="S38" s="138"/>
      <c r="T38" s="123"/>
      <c r="U38" s="138"/>
      <c r="V38" s="123"/>
      <c r="W38" s="138"/>
      <c r="X38" s="123"/>
      <c r="Y38" s="138"/>
      <c r="Z38" s="123"/>
      <c r="AA38" s="138"/>
      <c r="AB38" s="123"/>
      <c r="AC38" s="138"/>
      <c r="AD38" s="123"/>
      <c r="AE38" s="138"/>
      <c r="AG38" s="370"/>
      <c r="AH38" s="370"/>
      <c r="AI38" s="364"/>
      <c r="AJ38" s="425"/>
      <c r="AK38" s="364"/>
      <c r="AL38" s="370"/>
      <c r="AM38" s="459"/>
      <c r="AN38" s="386"/>
      <c r="AO38" s="353"/>
      <c r="AP38" s="353"/>
      <c r="AQ38" s="183">
        <f>IF(AP37&lt;&gt;" ",MAX($AQ$9:AQ37)+AP37," ")</f>
        <v>2.5</v>
      </c>
      <c r="AR38" s="22">
        <f>IF(AP37&lt;&gt;" ",MAX($AR$9:AR37)+$AJ$29*AP37," ")</f>
        <v>294.51340400000015</v>
      </c>
      <c r="AS38" s="86">
        <f t="shared" si="2"/>
        <v>0.92592592592592582</v>
      </c>
      <c r="AT38" s="264" cm="1">
        <f t="array" ref="AT38">IF(AS38&lt;&gt;" ",Interpol(31,8,Служебный!$H$54:$H$84,Служебный!$I$53:$P$53,Служебный!$I$54:$P$84,'Осадка поля'!$AS38,'Осадка поля'!$B$6)," ")</f>
        <v>0.73892592592592599</v>
      </c>
      <c r="AU38" s="22">
        <f t="shared" si="1"/>
        <v>81.953372326373014</v>
      </c>
      <c r="AV38" s="22">
        <f>IF(AP37&lt;&gt;" ",AR38*0.5," ")</f>
        <v>147.25670200000008</v>
      </c>
      <c r="AW38" s="353"/>
      <c r="AX38" s="353"/>
      <c r="AY38" s="444"/>
      <c r="AZ38" s="444"/>
      <c r="BA38" s="445"/>
      <c r="BB38" s="444"/>
      <c r="BC38" s="353"/>
      <c r="BD38" s="444"/>
      <c r="BE38" s="353"/>
      <c r="BF38" s="232"/>
      <c r="BH38" s="418"/>
      <c r="BI38" s="419"/>
      <c r="BJ38" s="202"/>
      <c r="BK38" s="419"/>
      <c r="BL38" s="213"/>
    </row>
    <row r="39" spans="1:64" ht="15" customHeight="1" thickBot="1">
      <c r="A39" s="98" t="s">
        <v>203</v>
      </c>
      <c r="B39" s="99">
        <f>BF9+B31+B35</f>
        <v>0.46659478331775972</v>
      </c>
      <c r="F39" s="454"/>
      <c r="G39" s="124">
        <v>0</v>
      </c>
      <c r="H39" s="125"/>
      <c r="I39" s="185"/>
      <c r="J39" s="185"/>
      <c r="K39" s="185"/>
      <c r="L39" s="185"/>
      <c r="M39" s="185"/>
      <c r="N39" s="185"/>
      <c r="O39" s="185"/>
      <c r="P39" s="185"/>
      <c r="Q39" s="185"/>
      <c r="R39" s="185"/>
      <c r="S39" s="185"/>
      <c r="T39" s="185"/>
      <c r="U39" s="185"/>
      <c r="V39" s="185"/>
      <c r="W39" s="185"/>
      <c r="X39" s="185"/>
      <c r="Y39" s="185"/>
      <c r="Z39" s="185"/>
      <c r="AA39" s="185"/>
      <c r="AB39" s="185"/>
      <c r="AC39" s="185"/>
      <c r="AD39" s="185"/>
      <c r="AE39" s="120"/>
      <c r="AG39" s="370"/>
      <c r="AH39" s="370"/>
      <c r="AI39" s="364"/>
      <c r="AJ39" s="425"/>
      <c r="AK39" s="364"/>
      <c r="AL39" s="370"/>
      <c r="AM39" s="459"/>
      <c r="AN39" s="386"/>
      <c r="AO39" s="353">
        <f>IF(AO37=" "," ", IF(AO37&lt;SUM(AN$9:AN$48),AO37+1, " "))</f>
        <v>16</v>
      </c>
      <c r="AP39" s="353">
        <f>IF(AO39&lt;&gt;" ",AM$29/COUNT(AO$29:AO$48), " ")</f>
        <v>0.1</v>
      </c>
      <c r="AQ39" s="183">
        <f>IF(AP39&lt;&gt;" ",SUM($AP$9:AP37)," ")</f>
        <v>2.5</v>
      </c>
      <c r="AR39" s="22">
        <f>IF(AP39&lt;&gt;" ",MAX($AR$9:AR38)," ")</f>
        <v>294.51340400000015</v>
      </c>
      <c r="AS39" s="86">
        <f t="shared" si="2"/>
        <v>0.92592592592592582</v>
      </c>
      <c r="AT39" s="264" cm="1">
        <f t="array" ref="AT39">IF(AS39&lt;&gt;" ",Interpol(31,8,Служебный!$H$54:$H$84,Служебный!$I$53:$P$53,Служебный!$I$54:$P$84,'Осадка поля'!$AS39,'Осадка поля'!$B$6)," ")</f>
        <v>0.73892592592592599</v>
      </c>
      <c r="AU39" s="22">
        <f t="shared" si="1"/>
        <v>81.953372326373014</v>
      </c>
      <c r="AV39" s="22">
        <f>IF(AP39&lt;&gt;" ",AR39*0.5," ")</f>
        <v>147.25670200000008</v>
      </c>
      <c r="AW39" s="353">
        <f>IF(AO39&lt;&gt;" ",(AU39+AU40)/2," ")</f>
        <v>80.957247180307888</v>
      </c>
      <c r="AX39" s="353"/>
      <c r="AY39" s="445" t="str">
        <f t="shared" ref="AY39" si="107">IF(AP39&lt;&gt;" ",IF(AQ39&gt;$B$15,"Нет","Да")," ")</f>
        <v>Да</v>
      </c>
      <c r="AZ39" s="441" t="str">
        <f t="shared" ref="AZ39" si="108">IF(AP39&lt;&gt;" ",IF(AW39&gt;0.5*(AV39+AV40),"Да","Нет")," ")</f>
        <v>Нет</v>
      </c>
      <c r="BA39" s="441" t="str">
        <f t="shared" ref="BA39" si="109">IF(AP39&lt;&gt;" ",IF(OR($AX$29&lt;7,$AX$29=7),"Да","Нет")," ")</f>
        <v>Нет</v>
      </c>
      <c r="BB39" s="441" t="str">
        <f t="shared" ref="BB39" si="110">IF(AP39&lt;&gt;" ",IF(AW39&gt;0.2*0.5*(AR39+AR40),"Да","Нет")," ")</f>
        <v>Да</v>
      </c>
      <c r="BC39" s="353">
        <f t="shared" ref="BC39" si="111">IF(AND(BE39&lt;&gt;0,BE39&lt;&gt;" "),AP39,0)</f>
        <v>0.1</v>
      </c>
      <c r="BD39" s="443">
        <f t="shared" ref="BD39" si="112">IF(AP39&lt;&gt;" ",IF(OR(AU39&lt;AR39,AU39=AR39),0.8*AW39*AP39/(5*$AX$29*10),0.8*AW39*AP39/($AX$29*10))," ")</f>
        <v>5.6318084994996798E-3</v>
      </c>
      <c r="BE39" s="353">
        <f t="shared" ref="BE39:BE99" si="113">IF(AP39&lt;&gt;" ",IF(AND(AY39="Нет",AZ39="Нет",BA39="Нет"),0,IF(AY39="Да",BD39,IF(AZ39="Да",BD39,IF(BA39="Да",BD39)))),0)</f>
        <v>5.6318084994996798E-3</v>
      </c>
      <c r="BF39" s="232"/>
      <c r="BH39" s="418"/>
      <c r="BI39" s="419"/>
      <c r="BJ39" s="202"/>
      <c r="BK39" s="419"/>
      <c r="BL39" s="213"/>
    </row>
    <row r="40" spans="1:64" ht="15" customHeight="1" thickBot="1">
      <c r="A40" s="95" t="s">
        <v>306</v>
      </c>
      <c r="B40" s="49">
        <f>AVERAGE(H44:AE44)/(B39/100)</f>
        <v>7603.1577652337864</v>
      </c>
      <c r="F40" s="455"/>
      <c r="G40" s="78">
        <f>IF(G39&lt;&gt;0,G39/2,IF(G37&lt;&gt;0,G37/2,IF(G35&lt;&gt;0,G35/2,IF(G33&lt;&gt;0,G33/2,IF(G31&lt;&gt;0,G31/2,IF(G29&lt;&gt;0,G29/2,IF(G27&lt;&gt;0,G27/2,IF(G25&lt;&gt;0,G25/2,IF(G23&lt;&gt;0,G23/2,IF(G21&lt;&gt;0,G21/2,IF(G19&lt;&gt;0,G19/2,IF(G17&lt;&gt;0,G17/2,IF(G15&lt;&gt;0,G15/2,IF(G13&lt;&gt;0,G13/2,0))))))))))))))</f>
        <v>0.45</v>
      </c>
      <c r="H40" s="123"/>
      <c r="I40" s="138"/>
      <c r="J40" s="123"/>
      <c r="K40" s="138"/>
      <c r="L40" s="123"/>
      <c r="M40" s="138"/>
      <c r="N40" s="123"/>
      <c r="O40" s="138"/>
      <c r="P40" s="123"/>
      <c r="Q40" s="138"/>
      <c r="R40" s="123"/>
      <c r="S40" s="138"/>
      <c r="T40" s="123"/>
      <c r="U40" s="138"/>
      <c r="V40" s="123"/>
      <c r="W40" s="138"/>
      <c r="X40" s="123"/>
      <c r="Y40" s="138"/>
      <c r="Z40" s="123"/>
      <c r="AA40" s="138"/>
      <c r="AB40" s="123"/>
      <c r="AC40" s="138"/>
      <c r="AD40" s="123"/>
      <c r="AE40" s="138"/>
      <c r="AG40" s="370"/>
      <c r="AH40" s="370"/>
      <c r="AI40" s="364"/>
      <c r="AJ40" s="425"/>
      <c r="AK40" s="364"/>
      <c r="AL40" s="370"/>
      <c r="AM40" s="459"/>
      <c r="AN40" s="386"/>
      <c r="AO40" s="353"/>
      <c r="AP40" s="353"/>
      <c r="AQ40" s="183">
        <f>IF(AP39&lt;&gt;" ",MAX($AQ$9:AQ39)+AP39," ")</f>
        <v>2.6</v>
      </c>
      <c r="AR40" s="22">
        <f>IF(AP39&lt;&gt;" ",MAX($AR$9:AR39)+$AJ$29*AP39," ")</f>
        <v>296.42557400000015</v>
      </c>
      <c r="AS40" s="86">
        <f t="shared" si="2"/>
        <v>0.96296296296296291</v>
      </c>
      <c r="AT40" s="264" cm="1">
        <f t="array" ref="AT40">IF(AS40&lt;&gt;" ",Interpol(31,8,Служебный!$H$54:$H$84,Служебный!$I$53:$P$53,Служебный!$I$54:$P$84,'Осадка поля'!$AS40,'Осадка поля'!$B$6)," ")</f>
        <v>0.72096296296296303</v>
      </c>
      <c r="AU40" s="22">
        <f t="shared" si="1"/>
        <v>79.961122034242749</v>
      </c>
      <c r="AV40" s="22">
        <f>IF(AP39&lt;&gt;" ",AR40*0.5," ")</f>
        <v>148.21278700000008</v>
      </c>
      <c r="AW40" s="353"/>
      <c r="AX40" s="353"/>
      <c r="AY40" s="444"/>
      <c r="AZ40" s="444"/>
      <c r="BA40" s="445"/>
      <c r="BB40" s="444"/>
      <c r="BC40" s="353"/>
      <c r="BD40" s="444"/>
      <c r="BE40" s="353"/>
      <c r="BF40" s="232"/>
      <c r="BH40" s="418"/>
      <c r="BI40" s="419"/>
      <c r="BJ40" s="202"/>
      <c r="BK40" s="419"/>
      <c r="BL40" s="213"/>
    </row>
    <row r="41" spans="1:64">
      <c r="AG41" s="370"/>
      <c r="AH41" s="370"/>
      <c r="AI41" s="364"/>
      <c r="AJ41" s="425"/>
      <c r="AK41" s="364"/>
      <c r="AL41" s="370"/>
      <c r="AM41" s="459"/>
      <c r="AN41" s="386"/>
      <c r="AO41" s="353">
        <f>IF(AO39=" "," ", IF(AO39&lt;SUM(AN$9:AN$48),AO39+1, " "))</f>
        <v>17</v>
      </c>
      <c r="AP41" s="353">
        <f>IF(AO41&lt;&gt;" ",AM$29/COUNT(AO$29:AO$48), " ")</f>
        <v>0.1</v>
      </c>
      <c r="AQ41" s="183">
        <f>IF(AP41&lt;&gt;" ",SUM($AP$9:AP39)," ")</f>
        <v>2.6</v>
      </c>
      <c r="AR41" s="22">
        <f>IF(AP41&lt;&gt;" ",MAX($AR$9:AR40)," ")</f>
        <v>296.42557400000015</v>
      </c>
      <c r="AS41" s="86">
        <f t="shared" si="2"/>
        <v>0.96296296296296291</v>
      </c>
      <c r="AT41" s="264" cm="1">
        <f t="array" ref="AT41">IF(AS41&lt;&gt;" ",Interpol(31,8,Служебный!$H$54:$H$84,Служебный!$I$53:$P$53,Служебный!$I$54:$P$84,'Осадка поля'!$AS41,'Осадка поля'!$B$6)," ")</f>
        <v>0.72096296296296303</v>
      </c>
      <c r="AU41" s="22">
        <f t="shared" si="1"/>
        <v>79.961122034242749</v>
      </c>
      <c r="AV41" s="22">
        <f>IF(AP41&lt;&gt;" ",AR41*0.5," ")</f>
        <v>148.21278700000008</v>
      </c>
      <c r="AW41" s="353">
        <f>IF(AO41&lt;&gt;" ",(AU41+AU42)/2," ")</f>
        <v>78.964996888177609</v>
      </c>
      <c r="AX41" s="353"/>
      <c r="AY41" s="445" t="str">
        <f t="shared" ref="AY41" si="114">IF(AP41&lt;&gt;" ",IF(AQ41&gt;$B$15,"Нет","Да")," ")</f>
        <v>Да</v>
      </c>
      <c r="AZ41" s="441" t="str">
        <f t="shared" ref="AZ41" si="115">IF(AP41&lt;&gt;" ",IF(AW41&gt;0.5*(AV41+AV42),"Да","Нет")," ")</f>
        <v>Нет</v>
      </c>
      <c r="BA41" s="441" t="str">
        <f t="shared" ref="BA41" si="116">IF(AP41&lt;&gt;" ",IF(OR($AX$29&lt;7,$AX$29=7),"Да","Нет")," ")</f>
        <v>Нет</v>
      </c>
      <c r="BB41" s="441" t="str">
        <f t="shared" ref="BB41" si="117">IF(AP41&lt;&gt;" ",IF(AW41&gt;0.2*0.5*(AR41+AR42),"Да","Нет")," ")</f>
        <v>Да</v>
      </c>
      <c r="BC41" s="353">
        <f t="shared" ref="BC41" si="118">IF(AND(BE41&lt;&gt;0,BE41&lt;&gt;" "),AP41,0)</f>
        <v>0.1</v>
      </c>
      <c r="BD41" s="443">
        <f t="shared" ref="BD41" si="119">IF(AP41&lt;&gt;" ",IF(OR(AU41&lt;AR41,AU41=AR41),0.8*AW41*AP41/(5*$AX$29*10),0.8*AW41*AP41/($AX$29*10))," ")</f>
        <v>5.4932171748297478E-3</v>
      </c>
      <c r="BE41" s="353">
        <f t="shared" ref="BE41:BE101" si="120">IF(AP41&lt;&gt;" ",IF(AND(AY41="Нет",AZ41="Нет",BA41="Нет"),0,IF(AY41="Да",BD41,IF(AZ41="Да",BD41,IF(BA41="Да",BD41)))),0)</f>
        <v>5.4932171748297478E-3</v>
      </c>
      <c r="BF41" s="232"/>
      <c r="BH41" s="418"/>
      <c r="BI41" s="419"/>
      <c r="BJ41" s="202"/>
      <c r="BK41" s="419"/>
      <c r="BL41" s="213"/>
    </row>
    <row r="42" spans="1:64" ht="15.75" thickBot="1">
      <c r="AG42" s="370"/>
      <c r="AH42" s="370"/>
      <c r="AI42" s="364"/>
      <c r="AJ42" s="425"/>
      <c r="AK42" s="364"/>
      <c r="AL42" s="370"/>
      <c r="AM42" s="459"/>
      <c r="AN42" s="386"/>
      <c r="AO42" s="353"/>
      <c r="AP42" s="353"/>
      <c r="AQ42" s="183">
        <f>IF(AP41&lt;&gt;" ",MAX($AQ$9:AQ41)+AP41," ")</f>
        <v>2.7</v>
      </c>
      <c r="AR42" s="22">
        <f>IF(AP41&lt;&gt;" ",MAX($AR$9:AR41)+$AJ$29*AP41," ")</f>
        <v>298.33774400000016</v>
      </c>
      <c r="AS42" s="86">
        <f t="shared" si="2"/>
        <v>1</v>
      </c>
      <c r="AT42" s="264" cm="1">
        <f t="array" ref="AT42">IF(AS42&lt;&gt;" ",Interpol(31,8,Служебный!$H$54:$H$84,Служебный!$I$53:$P$53,Служебный!$I$54:$P$84,'Осадка поля'!$AS42,'Осадка поля'!$B$6)," ")</f>
        <v>0.70300000000000007</v>
      </c>
      <c r="AU42" s="22">
        <f t="shared" si="1"/>
        <v>77.968871742112484</v>
      </c>
      <c r="AV42" s="22">
        <f>IF(AP41&lt;&gt;" ",AR42*0.5," ")</f>
        <v>149.16887200000008</v>
      </c>
      <c r="AW42" s="353"/>
      <c r="AX42" s="353"/>
      <c r="AY42" s="444"/>
      <c r="AZ42" s="444"/>
      <c r="BA42" s="445"/>
      <c r="BB42" s="444"/>
      <c r="BC42" s="353"/>
      <c r="BD42" s="444"/>
      <c r="BE42" s="353"/>
      <c r="BF42" s="232"/>
      <c r="BH42" s="418"/>
      <c r="BI42" s="419"/>
      <c r="BJ42" s="202"/>
      <c r="BK42" s="419"/>
      <c r="BL42" s="213"/>
    </row>
    <row r="43" spans="1:64">
      <c r="AG43" s="370"/>
      <c r="AH43" s="370"/>
      <c r="AI43" s="364"/>
      <c r="AJ43" s="425"/>
      <c r="AK43" s="364"/>
      <c r="AL43" s="370"/>
      <c r="AM43" s="459"/>
      <c r="AN43" s="386"/>
      <c r="AO43" s="353">
        <f>IF(AO41=" "," ", IF(AO41&lt;SUM(AN$9:AN$48),AO41+1, " "))</f>
        <v>18</v>
      </c>
      <c r="AP43" s="353">
        <f>IF(AO43&lt;&gt;" ",AM$29/COUNT(AO$29:AO$48), " ")</f>
        <v>0.1</v>
      </c>
      <c r="AQ43" s="183">
        <f>IF(AP43&lt;&gt;" ",SUM($AP$9:AP41)," ")</f>
        <v>2.7</v>
      </c>
      <c r="AR43" s="22">
        <f>IF(AP43&lt;&gt;" ",MAX($AR$9:AR42)," ")</f>
        <v>298.33774400000016</v>
      </c>
      <c r="AS43" s="86">
        <f t="shared" si="2"/>
        <v>1</v>
      </c>
      <c r="AT43" s="264" cm="1">
        <f t="array" ref="AT43">IF(AS43&lt;&gt;" ",Interpol(31,8,Служебный!$H$54:$H$84,Служебный!$I$53:$P$53,Служебный!$I$54:$P$84,'Осадка поля'!$AS43,'Осадка поля'!$B$6)," ")</f>
        <v>0.70300000000000007</v>
      </c>
      <c r="AU43" s="22">
        <f t="shared" si="1"/>
        <v>77.968871742112484</v>
      </c>
      <c r="AV43" s="22">
        <f>IF(AP43&lt;&gt;" ",AR43*0.5," ")</f>
        <v>149.16887200000008</v>
      </c>
      <c r="AW43" s="353">
        <f>IF(AO43&lt;&gt;" ",(AU43+AU44)/2," ")</f>
        <v>76.972746596047358</v>
      </c>
      <c r="AX43" s="353"/>
      <c r="AY43" s="445" t="str">
        <f t="shared" ref="AY43" si="121">IF(AP43&lt;&gt;" ",IF(AQ43&gt;$B$15,"Нет","Да")," ")</f>
        <v>Да</v>
      </c>
      <c r="AZ43" s="441" t="str">
        <f t="shared" ref="AZ43" si="122">IF(AP43&lt;&gt;" ",IF(AW43&gt;0.5*(AV43+AV44),"Да","Нет")," ")</f>
        <v>Нет</v>
      </c>
      <c r="BA43" s="441" t="str">
        <f t="shared" ref="BA43" si="123">IF(AP43&lt;&gt;" ",IF(OR($AX$29&lt;7,$AX$29=7),"Да","Нет")," ")</f>
        <v>Нет</v>
      </c>
      <c r="BB43" s="441" t="str">
        <f t="shared" ref="BB43" si="124">IF(AP43&lt;&gt;" ",IF(AW43&gt;0.2*0.5*(AR43+AR44),"Да","Нет")," ")</f>
        <v>Да</v>
      </c>
      <c r="BC43" s="353">
        <f t="shared" ref="BC43" si="125">IF(AND(BE43&lt;&gt;0,BE43&lt;&gt;" "),AP43,0)</f>
        <v>0.1</v>
      </c>
      <c r="BD43" s="443">
        <f t="shared" ref="BD43" si="126">IF(AP43&lt;&gt;" ",IF(OR(AU43&lt;AR43,AU43=AR43),0.8*AW43*AP43/(5*$AX$29*10),0.8*AW43*AP43/($AX$29*10))," ")</f>
        <v>5.3546258501598167E-3</v>
      </c>
      <c r="BE43" s="353">
        <f t="shared" ref="BE43:BE103" si="127">IF(AP43&lt;&gt;" ",IF(AND(AY43="Нет",AZ43="Нет",BA43="Нет"),0,IF(AY43="Да",BD43,IF(AZ43="Да",BD43,IF(BA43="Да",BD43)))),0)</f>
        <v>5.3546258501598167E-3</v>
      </c>
      <c r="BF43" s="232"/>
      <c r="BH43" s="418"/>
      <c r="BI43" s="419"/>
      <c r="BJ43" s="202"/>
      <c r="BK43" s="419"/>
      <c r="BL43" s="213"/>
    </row>
    <row r="44" spans="1:64" ht="15.75" thickBot="1">
      <c r="F44" s="236"/>
      <c r="G44" s="236"/>
      <c r="H44" s="236"/>
      <c r="I44" s="236">
        <f>IF(SUM(I12:I40)=0,0,AVERAGEA(I12:I40))</f>
        <v>84.86375000000001</v>
      </c>
      <c r="J44" s="236"/>
      <c r="K44" s="236">
        <f t="shared" ref="K44" si="128">IF(SUM(K12:K40)=0,0,AVERAGEA(K12:K40))</f>
        <v>85.186250000000001</v>
      </c>
      <c r="L44" s="236"/>
      <c r="M44" s="236">
        <f t="shared" ref="M44" si="129">IF(SUM(M12:M40)=0,0,AVERAGEA(M12:M40))</f>
        <v>85.795000000000002</v>
      </c>
      <c r="N44" s="236"/>
      <c r="O44" s="236">
        <f t="shared" ref="O44" si="130">IF(SUM(O12:O40)=0,0,AVERAGEA(O12:O40))</f>
        <v>85.125</v>
      </c>
      <c r="P44" s="236"/>
      <c r="Q44" s="236">
        <f t="shared" ref="Q44" si="131">IF(SUM(Q12:Q40)=0,0,AVERAGEA(Q12:Q40))</f>
        <v>84.741250000000008</v>
      </c>
      <c r="R44" s="236"/>
      <c r="S44" s="236">
        <f t="shared" ref="S44" si="132">IF(SUM(S12:S40)=0,0,AVERAGEA(S12:S40))</f>
        <v>0</v>
      </c>
      <c r="T44" s="236"/>
      <c r="U44" s="236">
        <f t="shared" ref="U44" si="133">IF(SUM(U12:U40)=0,0,AVERAGEA(U12:U40))</f>
        <v>0</v>
      </c>
      <c r="V44" s="236"/>
      <c r="W44" s="236">
        <f t="shared" ref="W44" si="134">IF(SUM(W12:W40)=0,0,AVERAGEA(W12:W40))</f>
        <v>0</v>
      </c>
      <c r="X44" s="236"/>
      <c r="Y44" s="236">
        <f t="shared" ref="Y44" si="135">IF(SUM(Y12:Y40)=0,0,AVERAGEA(Y12:Y40))</f>
        <v>0</v>
      </c>
      <c r="Z44" s="236"/>
      <c r="AA44" s="236">
        <f t="shared" ref="AA44" si="136">IF(SUM(AA12:AA40)=0,0,AVERAGEA(AA12:AA40))</f>
        <v>0</v>
      </c>
      <c r="AB44" s="236"/>
      <c r="AC44" s="236">
        <f t="shared" ref="AC44" si="137">IF(SUM(AC12:AC40)=0,0,AVERAGEA(AC12:AC40))</f>
        <v>0</v>
      </c>
      <c r="AD44" s="236"/>
      <c r="AE44" s="236">
        <f t="shared" ref="AE44" si="138">IF(SUM(AE12:AE40)=0,0,AVERAGEA(AE12:AE40))</f>
        <v>0</v>
      </c>
      <c r="AG44" s="370"/>
      <c r="AH44" s="370"/>
      <c r="AI44" s="364"/>
      <c r="AJ44" s="425"/>
      <c r="AK44" s="364"/>
      <c r="AL44" s="370"/>
      <c r="AM44" s="459"/>
      <c r="AN44" s="386"/>
      <c r="AO44" s="353"/>
      <c r="AP44" s="353"/>
      <c r="AQ44" s="183">
        <f>IF(AP43&lt;&gt;" ",MAX($AQ$9:AQ43)+AP43," ")</f>
        <v>2.8000000000000003</v>
      </c>
      <c r="AR44" s="22">
        <f>IF(AP43&lt;&gt;" ",MAX($AR$9:AR43)+$AJ$29*AP43," ")</f>
        <v>300.24991400000016</v>
      </c>
      <c r="AS44" s="86">
        <f t="shared" si="2"/>
        <v>1.037037037037037</v>
      </c>
      <c r="AT44" s="264" cm="1">
        <f t="array" ref="AT44">IF(AS44&lt;&gt;" ",Interpol(31,8,Служебный!$H$54:$H$84,Служебный!$I$53:$P$53,Служебный!$I$54:$P$84,'Осадка поля'!$AS44,'Осадка поля'!$B$6)," ")</f>
        <v>0.68503703703703711</v>
      </c>
      <c r="AU44" s="22">
        <f t="shared" si="1"/>
        <v>75.976621449982218</v>
      </c>
      <c r="AV44" s="22">
        <f>IF(AP43&lt;&gt;" ",AR44*0.5," ")</f>
        <v>150.12495700000008</v>
      </c>
      <c r="AW44" s="353"/>
      <c r="AX44" s="353"/>
      <c r="AY44" s="444"/>
      <c r="AZ44" s="444"/>
      <c r="BA44" s="445"/>
      <c r="BB44" s="444"/>
      <c r="BC44" s="353"/>
      <c r="BD44" s="444"/>
      <c r="BE44" s="353"/>
      <c r="BF44" s="232"/>
      <c r="BH44" s="418"/>
      <c r="BI44" s="419"/>
      <c r="BJ44" s="202"/>
      <c r="BK44" s="419"/>
      <c r="BL44" s="213"/>
    </row>
    <row r="45" spans="1:64">
      <c r="AG45" s="370"/>
      <c r="AH45" s="370"/>
      <c r="AI45" s="364"/>
      <c r="AJ45" s="425"/>
      <c r="AK45" s="364"/>
      <c r="AL45" s="370"/>
      <c r="AM45" s="459"/>
      <c r="AN45" s="386"/>
      <c r="AO45" s="353">
        <f>IF(AO43=" "," ", IF(AO43&lt;SUM(AN$9:AN$48),AO43+1, " "))</f>
        <v>19</v>
      </c>
      <c r="AP45" s="353">
        <f>IF(AO45&lt;&gt;" ",AM$29/COUNT(AO$29:AO$48), " ")</f>
        <v>0.1</v>
      </c>
      <c r="AQ45" s="183">
        <f>IF(AP45&lt;&gt;" ",SUM($AP$9:AP43)," ")</f>
        <v>2.8000000000000003</v>
      </c>
      <c r="AR45" s="22">
        <f>IF(AP45&lt;&gt;" ",MAX($AR$9:AR44)," ")</f>
        <v>300.24991400000016</v>
      </c>
      <c r="AS45" s="86">
        <f t="shared" si="2"/>
        <v>1.037037037037037</v>
      </c>
      <c r="AT45" s="264" cm="1">
        <f t="array" ref="AT45">IF(AS45&lt;&gt;" ",Interpol(31,8,Служебный!$H$54:$H$84,Служебный!$I$53:$P$53,Служебный!$I$54:$P$84,'Осадка поля'!$AS45,'Осадка поля'!$B$6)," ")</f>
        <v>0.68503703703703711</v>
      </c>
      <c r="AU45" s="22">
        <f t="shared" si="1"/>
        <v>75.976621449982218</v>
      </c>
      <c r="AV45" s="22">
        <f>IF(AP45&lt;&gt;" ",AR45*0.5," ")</f>
        <v>150.12495700000008</v>
      </c>
      <c r="AW45" s="353">
        <f>IF(AO45&lt;&gt;" ",(AU45+AU46)/2," ")</f>
        <v>74.980496303917079</v>
      </c>
      <c r="AX45" s="353"/>
      <c r="AY45" s="445" t="str">
        <f t="shared" ref="AY45" si="139">IF(AP45&lt;&gt;" ",IF(AQ45&gt;$B$15,"Нет","Да")," ")</f>
        <v>Нет</v>
      </c>
      <c r="AZ45" s="441" t="str">
        <f t="shared" ref="AZ45" si="140">IF(AP45&lt;&gt;" ",IF(AW45&gt;0.5*(AV45+AV46),"Да","Нет")," ")</f>
        <v>Нет</v>
      </c>
      <c r="BA45" s="441" t="str">
        <f t="shared" ref="BA45" si="141">IF(AP45&lt;&gt;" ",IF(OR($AX$29&lt;7,$AX$29=7),"Да","Нет")," ")</f>
        <v>Нет</v>
      </c>
      <c r="BB45" s="441" t="str">
        <f t="shared" ref="BB45" si="142">IF(AP45&lt;&gt;" ",IF(AW45&gt;0.2*0.5*(AR45+AR46),"Да","Нет")," ")</f>
        <v>Да</v>
      </c>
      <c r="BC45" s="353">
        <f t="shared" ref="BC45:BC79" si="143">IF(AND(BE45&lt;&gt;0,BE45&lt;&gt;" "),AP45,0)</f>
        <v>0</v>
      </c>
      <c r="BD45" s="443">
        <f t="shared" ref="BD45" si="144">IF(AP45&lt;&gt;" ",IF(OR(AU45&lt;AR45,AU45=AR45),0.8*AW45*AP45/(5*$AX$29*10),0.8*AW45*AP45/($AX$29*10))," ")</f>
        <v>5.2160345254898847E-3</v>
      </c>
      <c r="BE45" s="353">
        <f t="shared" ref="BE45:BE105" si="145">IF(AP45&lt;&gt;" ",IF(AND(AY45="Нет",AZ45="Нет",BA45="Нет"),0,IF(AY45="Да",BD45,IF(AZ45="Да",BD45,IF(BA45="Да",BD45)))),0)</f>
        <v>0</v>
      </c>
      <c r="BF45" s="232"/>
      <c r="BH45" s="418"/>
      <c r="BI45" s="419"/>
      <c r="BJ45" s="202"/>
      <c r="BK45" s="419"/>
      <c r="BL45" s="213"/>
    </row>
    <row r="46" spans="1:64" ht="15.75" thickBot="1">
      <c r="AG46" s="370"/>
      <c r="AH46" s="370"/>
      <c r="AI46" s="364"/>
      <c r="AJ46" s="425"/>
      <c r="AK46" s="364"/>
      <c r="AL46" s="370"/>
      <c r="AM46" s="459"/>
      <c r="AN46" s="386"/>
      <c r="AO46" s="353"/>
      <c r="AP46" s="353"/>
      <c r="AQ46" s="183">
        <f>IF(AP45&lt;&gt;" ",MAX($AQ$9:AQ45)+AP45," ")</f>
        <v>2.9000000000000004</v>
      </c>
      <c r="AR46" s="22">
        <f>IF(AP45&lt;&gt;" ",MAX($AR$9:AR45)+$AJ$29*AP45," ")</f>
        <v>302.16208400000016</v>
      </c>
      <c r="AS46" s="86">
        <f t="shared" si="2"/>
        <v>1.0740740740740742</v>
      </c>
      <c r="AT46" s="264" cm="1">
        <f t="array" ref="AT46">IF(AS46&lt;&gt;" ",Interpol(31,8,Служебный!$H$54:$H$84,Служебный!$I$53:$P$53,Служебный!$I$54:$P$84,'Осадка поля'!$AS46,'Осадка поля'!$B$6)," ")</f>
        <v>0.66707407407407404</v>
      </c>
      <c r="AU46" s="22">
        <f t="shared" si="1"/>
        <v>73.984371157851953</v>
      </c>
      <c r="AV46" s="22">
        <f>IF(AP45&lt;&gt;" ",AR46*0.5," ")</f>
        <v>151.08104200000008</v>
      </c>
      <c r="AW46" s="353"/>
      <c r="AX46" s="353"/>
      <c r="AY46" s="444"/>
      <c r="AZ46" s="444"/>
      <c r="BA46" s="445"/>
      <c r="BB46" s="444"/>
      <c r="BC46" s="353"/>
      <c r="BD46" s="444"/>
      <c r="BE46" s="353"/>
      <c r="BF46" s="232"/>
      <c r="BH46" s="418"/>
      <c r="BI46" s="419"/>
      <c r="BJ46" s="202"/>
      <c r="BK46" s="419"/>
      <c r="BL46" s="213"/>
    </row>
    <row r="47" spans="1:64">
      <c r="AG47" s="370"/>
      <c r="AH47" s="370"/>
      <c r="AI47" s="364"/>
      <c r="AJ47" s="425"/>
      <c r="AK47" s="364"/>
      <c r="AL47" s="370"/>
      <c r="AM47" s="459"/>
      <c r="AN47" s="386"/>
      <c r="AO47" s="353">
        <f>IF(AO45=" "," ", IF(AO45&lt;SUM(AN$9:AN$48),AO45+1, " "))</f>
        <v>20</v>
      </c>
      <c r="AP47" s="353">
        <f>IF(AO47&lt;&gt;" ",AM$29/COUNT(AO$29:AO$48), " ")</f>
        <v>0.1</v>
      </c>
      <c r="AQ47" s="183">
        <f>IF(AP47&lt;&gt;" ",SUM($AP$9:AP45)," ")</f>
        <v>2.9000000000000004</v>
      </c>
      <c r="AR47" s="22">
        <f>IF(AP47&lt;&gt;" ",MAX($AR$9:AR46)," ")</f>
        <v>302.16208400000016</v>
      </c>
      <c r="AS47" s="86">
        <f t="shared" si="2"/>
        <v>1.0740740740740742</v>
      </c>
      <c r="AT47" s="264" cm="1">
        <f t="array" ref="AT47">IF(AS47&lt;&gt;" ",Interpol(31,8,Служебный!$H$54:$H$84,Служебный!$I$53:$P$53,Служебный!$I$54:$P$84,'Осадка поля'!$AS47,'Осадка поля'!$B$6)," ")</f>
        <v>0.66707407407407404</v>
      </c>
      <c r="AU47" s="22">
        <f t="shared" si="1"/>
        <v>73.984371157851953</v>
      </c>
      <c r="AV47" s="22">
        <f>IF(AP47&lt;&gt;" ",AR47*0.5," ")</f>
        <v>151.08104200000008</v>
      </c>
      <c r="AW47" s="353">
        <f>IF(AO47&lt;&gt;" ",(AU47+AU48)/2," ")</f>
        <v>72.988246011786828</v>
      </c>
      <c r="AX47" s="353"/>
      <c r="AY47" s="445" t="str">
        <f t="shared" ref="AY47" si="146">IF(AP47&lt;&gt;" ",IF(AQ47&gt;$B$15,"Нет","Да")," ")</f>
        <v>Нет</v>
      </c>
      <c r="AZ47" s="441" t="str">
        <f t="shared" ref="AZ47" si="147">IF(AP47&lt;&gt;" ",IF(AW47&gt;0.5*(AV47+AV48),"Да","Нет")," ")</f>
        <v>Нет</v>
      </c>
      <c r="BA47" s="441" t="str">
        <f t="shared" ref="BA47" si="148">IF(AP47&lt;&gt;" ",IF(OR($AX$29&lt;7,$AX$29=7),"Да","Нет")," ")</f>
        <v>Нет</v>
      </c>
      <c r="BB47" s="441" t="str">
        <f t="shared" ref="BB47" si="149">IF(AP47&lt;&gt;" ",IF(AW47&gt;0.2*0.5*(AR47+AR48),"Да","Нет")," ")</f>
        <v>Да</v>
      </c>
      <c r="BC47" s="353">
        <f t="shared" ref="BC47:BC81" si="150">IF(AND(BE47&lt;&gt;0,BE47&lt;&gt;" "),AP47,0)</f>
        <v>0</v>
      </c>
      <c r="BD47" s="443">
        <f t="shared" ref="BD47" si="151">IF(AP47&lt;&gt;" ",IF(OR(AU47&lt;AR47,AU47=AR47),0.8*AW47*AP47/(5*$AX$29*10),0.8*AW47*AP47/($AX$29*10))," ")</f>
        <v>5.0774432008199536E-3</v>
      </c>
      <c r="BE47" s="353">
        <f t="shared" ref="BE47:BE107" si="152">IF(AP47&lt;&gt;" ",IF(AND(AY47="Нет",AZ47="Нет",BA47="Нет"),0,IF(AY47="Да",BD47,IF(AZ47="Да",BD47,IF(BA47="Да",BD47)))),0)</f>
        <v>0</v>
      </c>
      <c r="BF47" s="232"/>
      <c r="BH47" s="418"/>
      <c r="BI47" s="419"/>
      <c r="BJ47" s="202"/>
      <c r="BK47" s="419"/>
      <c r="BL47" s="213"/>
    </row>
    <row r="48" spans="1:64" ht="15.75" thickBot="1">
      <c r="AG48" s="370"/>
      <c r="AH48" s="370"/>
      <c r="AI48" s="364"/>
      <c r="AJ48" s="425"/>
      <c r="AK48" s="364"/>
      <c r="AL48" s="370"/>
      <c r="AM48" s="459"/>
      <c r="AN48" s="386"/>
      <c r="AO48" s="353"/>
      <c r="AP48" s="353"/>
      <c r="AQ48" s="183">
        <f>IF(AP47&lt;&gt;" ",MAX($AQ$9:AQ47)+AP47," ")</f>
        <v>3.0000000000000004</v>
      </c>
      <c r="AR48" s="22">
        <f>IF(AP47&lt;&gt;" ",MAX($AR$9:AR47)+$AJ$29*AP47," ")</f>
        <v>304.07425400000017</v>
      </c>
      <c r="AS48" s="86">
        <f t="shared" si="2"/>
        <v>1.1111111111111112</v>
      </c>
      <c r="AT48" s="264" cm="1">
        <f t="array" ref="AT48">IF(AS48&lt;&gt;" ",Interpol(31,8,Служебный!$H$54:$H$84,Служебный!$I$53:$P$53,Служебный!$I$54:$P$84,'Осадка поля'!$AS48,'Осадка поля'!$B$6)," ")</f>
        <v>0.64911111111111108</v>
      </c>
      <c r="AU48" s="22">
        <f t="shared" si="1"/>
        <v>71.992120865721688</v>
      </c>
      <c r="AV48" s="22">
        <f>IF(AP47&lt;&gt;" ",AR48*0.5," ")</f>
        <v>152.03712700000008</v>
      </c>
      <c r="AW48" s="353"/>
      <c r="AX48" s="353"/>
      <c r="AY48" s="444"/>
      <c r="AZ48" s="444"/>
      <c r="BA48" s="445"/>
      <c r="BB48" s="444"/>
      <c r="BC48" s="353"/>
      <c r="BD48" s="444"/>
      <c r="BE48" s="353"/>
      <c r="BF48" s="232"/>
      <c r="BH48" s="418"/>
      <c r="BI48" s="419"/>
      <c r="BJ48" s="202"/>
      <c r="BK48" s="419"/>
      <c r="BL48" s="213"/>
    </row>
    <row r="49" spans="33:64">
      <c r="AG49" s="370">
        <f t="shared" ref="AG49" si="153">AG29+1</f>
        <v>12</v>
      </c>
      <c r="AH49" s="390">
        <f>IF(AG49&gt;20,0,VLOOKUP(AG49,Скважина!$E$8:$K$27,2,FALSE))</f>
        <v>5</v>
      </c>
      <c r="AI49" s="388" t="str">
        <f>IF(OR(AH49=0,AG49&gt;20),0,VLOOKUP(AH49,Геология!$D$7:$BO$993,7,FALSE))</f>
        <v xml:space="preserve">Супеси твердые   </v>
      </c>
      <c r="AJ49" s="425">
        <f>VLOOKUP(AH49,Геология!$D$7:$BO$993,23,FALSE)</f>
        <v>19.611999999999998</v>
      </c>
      <c r="AK49" s="364">
        <f>IF(AM29&lt;&gt;0,AL29,AK29)</f>
        <v>117</v>
      </c>
      <c r="AL49" s="390">
        <f>VLOOKUP(AG49,Скважина!$E$8:$K$27,5,FALSE)</f>
        <v>111.73</v>
      </c>
      <c r="AM49" s="459">
        <f>IF(IF(AH49&lt;&gt;0,AK49-AL49,0)&lt;0,0,IF(AH49&lt;&gt;0,AK49-AL49,0))</f>
        <v>5.269999999999996</v>
      </c>
      <c r="AN49" s="376">
        <v>10</v>
      </c>
      <c r="AO49" s="353">
        <f>IF(AN49&lt;&gt;0,MAX(AO$9:AO$48)+1," ")</f>
        <v>21</v>
      </c>
      <c r="AP49" s="353">
        <f>IF(AO49&lt;&gt;" ",AM$49/COUNT(AO$49:AO$68), " ")</f>
        <v>0.52699999999999958</v>
      </c>
      <c r="AQ49" s="183">
        <f>IF(AP49&lt;&gt;" ",SUM($AP$9:AP47)," ")</f>
        <v>3.0000000000000004</v>
      </c>
      <c r="AR49" s="22">
        <f>IF(AP49&lt;&gt;" ",MAX($AR$9:AR48)," ")</f>
        <v>304.07425400000017</v>
      </c>
      <c r="AS49" s="86">
        <f t="shared" si="2"/>
        <v>1.1111111111111112</v>
      </c>
      <c r="AT49" s="264" cm="1">
        <f t="array" ref="AT49">IF(AS49&lt;&gt;" ",Interpol(31,8,Служебный!$H$54:$H$84,Служебный!$I$53:$P$53,Служебный!$I$54:$P$84,'Осадка поля'!$AS49,'Осадка поля'!$B$6)," ")</f>
        <v>0.64911111111111108</v>
      </c>
      <c r="AU49" s="22">
        <f t="shared" si="1"/>
        <v>71.992120865721688</v>
      </c>
      <c r="AV49" s="22">
        <f>IF(AP49&lt;&gt;" ",AR49*0.5," ")</f>
        <v>152.03712700000008</v>
      </c>
      <c r="AW49" s="353">
        <f>IF(AO49&lt;&gt;" ",(AU49+AU50)/2," ")</f>
        <v>67.287791496786568</v>
      </c>
      <c r="AX49" s="444">
        <f>IF(AH49&lt;&gt;0,VLOOKUP(AH49,Геология!$D$7:$BO$993,21,FALSE)," ")</f>
        <v>21</v>
      </c>
      <c r="AY49" s="445" t="str">
        <f t="shared" ref="AY49" si="154">IF(AP49&lt;&gt;" ",IF(AQ49&gt;$B$15,"Нет","Да")," ")</f>
        <v>Нет</v>
      </c>
      <c r="AZ49" s="441" t="str">
        <f t="shared" ref="AZ49" si="155">IF(AP49&lt;&gt;" ",IF(AW49&gt;0.5*(AV49+AV50),"Да","Нет")," ")</f>
        <v>Нет</v>
      </c>
      <c r="BA49" s="441" t="str">
        <f>IF(AP49&lt;&gt;" ",IF(OR($AX$49&lt;7,$AX$49=7),"Да","Нет")," ")</f>
        <v>Нет</v>
      </c>
      <c r="BB49" s="441" t="str">
        <f t="shared" ref="BB49" si="156">IF(AP49&lt;&gt;" ",IF(AW49&gt;0.2*0.5*(AR49+AR50),"Да","Нет")," ")</f>
        <v>Да</v>
      </c>
      <c r="BC49" s="353">
        <f t="shared" ref="BC49:BC83" si="157">IF(AND(BE49&lt;&gt;0,BE49&lt;&gt;" "),AP49,0)</f>
        <v>0</v>
      </c>
      <c r="BD49" s="443">
        <f>IF(AP49&lt;&gt;" ",IF(OR(AU49&lt;AR49,AU49=AR49),0.8*AW49*AP49/(5*$AX$49*10),0.8*AW49*AP49/($AX$49*10))," ")</f>
        <v>2.7017650376233521E-2</v>
      </c>
      <c r="BE49" s="353">
        <f t="shared" ref="BE49" si="158">IF(AP49&lt;&gt;" ",IF(AND(AY49="Нет",AZ49="Нет",BA49="Нет"),0,IF(AY49="Да",BD49,IF(AZ49="Да",BD49,IF(BA49="Да",BD49)))),0)</f>
        <v>0</v>
      </c>
      <c r="BF49" s="232"/>
      <c r="BH49" s="448">
        <f>IF(AH49&lt;&gt;0,VLOOKUP(AH49,Геология!$D$7:$BO$993,24,FALSE)," ")</f>
        <v>0.3</v>
      </c>
      <c r="BI49" s="449">
        <f>IF(BH49&lt;&gt;" ",BH49*AM49," ")</f>
        <v>1.5809999999999989</v>
      </c>
      <c r="BJ49" s="202"/>
      <c r="BK49" s="456">
        <f>IF(AM49&lt;&gt;0,AX49*AM49," ")</f>
        <v>110.66999999999992</v>
      </c>
      <c r="BL49" s="213"/>
    </row>
    <row r="50" spans="33:64" ht="15.75" thickBot="1">
      <c r="AG50" s="370"/>
      <c r="AH50" s="370"/>
      <c r="AI50" s="364"/>
      <c r="AJ50" s="425"/>
      <c r="AK50" s="364"/>
      <c r="AL50" s="370"/>
      <c r="AM50" s="459"/>
      <c r="AN50" s="376"/>
      <c r="AO50" s="353"/>
      <c r="AP50" s="353"/>
      <c r="AQ50" s="183">
        <f>IF(AP49&lt;&gt;" ",MAX($AQ$9:AQ49)+AP49," ")</f>
        <v>3.5270000000000001</v>
      </c>
      <c r="AR50" s="22">
        <f>IF(AP49&lt;&gt;" ",MAX($AR$9:AR49)+$AJ$29*AP49," ")</f>
        <v>314.15138990000014</v>
      </c>
      <c r="AS50" s="86">
        <f t="shared" si="2"/>
        <v>1.3062962962962963</v>
      </c>
      <c r="AT50" s="264" cm="1">
        <f t="array" ref="AT50">IF(AS50&lt;&gt;" ",Interpol(31,8,Служебный!$H$54:$H$84,Служебный!$I$53:$P$53,Служебный!$I$54:$P$84,'Осадка поля'!$AS50,'Осадка поля'!$B$6)," ")</f>
        <v>0.5642787037037037</v>
      </c>
      <c r="AU50" s="22">
        <f t="shared" si="1"/>
        <v>62.58346212785144</v>
      </c>
      <c r="AV50" s="22">
        <f>IF(AP49&lt;&gt;" ",AR50*0.5," ")</f>
        <v>157.07569495000007</v>
      </c>
      <c r="AW50" s="353"/>
      <c r="AX50" s="353"/>
      <c r="AY50" s="444"/>
      <c r="AZ50" s="444"/>
      <c r="BA50" s="445"/>
      <c r="BB50" s="444"/>
      <c r="BC50" s="353"/>
      <c r="BD50" s="444"/>
      <c r="BE50" s="353"/>
      <c r="BF50" s="232"/>
      <c r="BH50" s="418"/>
      <c r="BI50" s="419"/>
      <c r="BJ50" s="202"/>
      <c r="BK50" s="419"/>
      <c r="BL50" s="213"/>
    </row>
    <row r="51" spans="33:64">
      <c r="AG51" s="370"/>
      <c r="AH51" s="370"/>
      <c r="AI51" s="364"/>
      <c r="AJ51" s="425"/>
      <c r="AK51" s="364"/>
      <c r="AL51" s="370"/>
      <c r="AM51" s="459"/>
      <c r="AN51" s="376"/>
      <c r="AO51" s="353">
        <f>IF(AO49=" "," ", IF(AO49&lt;SUM(AN$9:AN$68),AO49+1, " "))</f>
        <v>22</v>
      </c>
      <c r="AP51" s="353">
        <f>IF(AO51&lt;&gt;" ",AM$49/COUNT(AO$49:AO$68), " ")</f>
        <v>0.52699999999999958</v>
      </c>
      <c r="AQ51" s="183">
        <f>IF(AP51&lt;&gt;" ",SUM($AP$9:AP49)," ")</f>
        <v>3.5270000000000001</v>
      </c>
      <c r="AR51" s="22">
        <f>IF(AP51&lt;&gt;" ",MAX($AR$9:AR50)," ")</f>
        <v>314.15138990000014</v>
      </c>
      <c r="AS51" s="86">
        <f t="shared" si="2"/>
        <v>1.3062962962962963</v>
      </c>
      <c r="AT51" s="264" cm="1">
        <f t="array" ref="AT51">IF(AS51&lt;&gt;" ",Interpol(31,8,Служебный!$H$54:$H$84,Служебный!$I$53:$P$53,Служебный!$I$54:$P$84,'Осадка поля'!$AS51,'Осадка поля'!$B$6)," ")</f>
        <v>0.5642787037037037</v>
      </c>
      <c r="AU51" s="22">
        <f t="shared" si="1"/>
        <v>62.58346212785144</v>
      </c>
      <c r="AV51" s="22">
        <f>IF(AP51&lt;&gt;" ",AR51*0.5," ")</f>
        <v>157.07569495000007</v>
      </c>
      <c r="AW51" s="353">
        <f>IF(AO51&lt;&gt;" ",(AU51+AU52)/2," ")</f>
        <v>58.335091073197688</v>
      </c>
      <c r="AX51" s="353"/>
      <c r="AY51" s="445" t="str">
        <f t="shared" ref="AY51" si="159">IF(AP51&lt;&gt;" ",IF(AQ51&gt;$B$15,"Нет","Да")," ")</f>
        <v>Нет</v>
      </c>
      <c r="AZ51" s="441" t="str">
        <f t="shared" ref="AZ51" si="160">IF(AP51&lt;&gt;" ",IF(AW51&gt;0.5*(AV51+AV52),"Да","Нет")," ")</f>
        <v>Нет</v>
      </c>
      <c r="BA51" s="441" t="str">
        <f t="shared" ref="BA51" si="161">IF(AP51&lt;&gt;" ",IF(OR($AX$49&lt;7,$AX$49=7),"Да","Нет")," ")</f>
        <v>Нет</v>
      </c>
      <c r="BB51" s="441" t="str">
        <f t="shared" ref="BB51" si="162">IF(AP51&lt;&gt;" ",IF(AW51&gt;0.2*0.5*(AR51+AR52),"Да","Нет")," ")</f>
        <v>Нет</v>
      </c>
      <c r="BC51" s="353">
        <f t="shared" ref="BC51:BC85" si="163">IF(AND(BE51&lt;&gt;0,BE51&lt;&gt;" "),AP51,0)</f>
        <v>0</v>
      </c>
      <c r="BD51" s="443">
        <f t="shared" ref="BD51" si="164">IF(AP51&lt;&gt;" ",IF(OR(AU51&lt;AR51,AU51=AR51),0.8*AW51*AP51/(5*$AX$49*10),0.8*AW51*AP51/($AX$49*10))," ")</f>
        <v>2.3422927996628696E-2</v>
      </c>
      <c r="BE51" s="353">
        <f t="shared" si="85"/>
        <v>0</v>
      </c>
      <c r="BF51" s="232"/>
      <c r="BH51" s="418"/>
      <c r="BI51" s="419"/>
      <c r="BJ51" s="202"/>
      <c r="BK51" s="419"/>
      <c r="BL51" s="213"/>
    </row>
    <row r="52" spans="33:64" ht="15.75" thickBot="1">
      <c r="AG52" s="370"/>
      <c r="AH52" s="370"/>
      <c r="AI52" s="364"/>
      <c r="AJ52" s="425"/>
      <c r="AK52" s="364"/>
      <c r="AL52" s="370"/>
      <c r="AM52" s="459"/>
      <c r="AN52" s="376"/>
      <c r="AO52" s="353"/>
      <c r="AP52" s="353"/>
      <c r="AQ52" s="183">
        <f>IF(AP51&lt;&gt;" ",MAX($AQ$9:AQ51)+AP51," ")</f>
        <v>4.0539999999999994</v>
      </c>
      <c r="AR52" s="22">
        <f>IF(AP51&lt;&gt;" ",MAX($AR$9:AR51)+$AJ$29*AP51," ")</f>
        <v>324.22852580000011</v>
      </c>
      <c r="AS52" s="86">
        <f t="shared" si="2"/>
        <v>1.5014814814814812</v>
      </c>
      <c r="AT52" s="264" cm="1">
        <f t="array" ref="AT52">IF(AS52&lt;&gt;" ",Interpol(31,8,Служебный!$H$54:$H$84,Служебный!$I$53:$P$53,Служебный!$I$54:$P$84,'Осадка поля'!$AS52,'Осадка поля'!$B$6)," ")</f>
        <v>0.48766851851851867</v>
      </c>
      <c r="AU52" s="22">
        <f t="shared" si="1"/>
        <v>54.086720018543936</v>
      </c>
      <c r="AV52" s="22">
        <f>IF(AP51&lt;&gt;" ",AR52*0.5," ")</f>
        <v>162.11426290000006</v>
      </c>
      <c r="AW52" s="353"/>
      <c r="AX52" s="353"/>
      <c r="AY52" s="444"/>
      <c r="AZ52" s="444"/>
      <c r="BA52" s="445"/>
      <c r="BB52" s="444"/>
      <c r="BC52" s="353"/>
      <c r="BD52" s="444"/>
      <c r="BE52" s="353"/>
      <c r="BF52" s="232"/>
      <c r="BH52" s="418"/>
      <c r="BI52" s="419"/>
      <c r="BJ52" s="202"/>
      <c r="BK52" s="419"/>
      <c r="BL52" s="213"/>
    </row>
    <row r="53" spans="33:64">
      <c r="AG53" s="370"/>
      <c r="AH53" s="370"/>
      <c r="AI53" s="364"/>
      <c r="AJ53" s="425"/>
      <c r="AK53" s="364"/>
      <c r="AL53" s="370"/>
      <c r="AM53" s="459"/>
      <c r="AN53" s="376"/>
      <c r="AO53" s="353">
        <f>IF(AO51=" "," ", IF(AO51&lt;SUM(AN$9:AN$68),AO51+1, " "))</f>
        <v>23</v>
      </c>
      <c r="AP53" s="353">
        <f>IF(AO53&lt;&gt;" ",AM$49/COUNT(AO$49:AO$68), " ")</f>
        <v>0.52699999999999958</v>
      </c>
      <c r="AQ53" s="183">
        <f>IF(AP53&lt;&gt;" ",SUM($AP$9:AP51)," ")</f>
        <v>4.0539999999999994</v>
      </c>
      <c r="AR53" s="22">
        <f>IF(AP53&lt;&gt;" ",MAX($AR$9:AR52)," ")</f>
        <v>324.22852580000011</v>
      </c>
      <c r="AS53" s="86">
        <f t="shared" si="2"/>
        <v>1.5014814814814812</v>
      </c>
      <c r="AT53" s="264" cm="1">
        <f t="array" ref="AT53">IF(AS53&lt;&gt;" ",Interpol(31,8,Служебный!$H$54:$H$84,Служебный!$I$53:$P$53,Служебный!$I$54:$P$84,'Осадка поля'!$AS53,'Осадка поля'!$B$6)," ")</f>
        <v>0.48766851851851867</v>
      </c>
      <c r="AU53" s="22">
        <f t="shared" si="1"/>
        <v>54.086720018543936</v>
      </c>
      <c r="AV53" s="22">
        <f>IF(AP53&lt;&gt;" ",AR53*0.5," ")</f>
        <v>162.11426290000006</v>
      </c>
      <c r="AW53" s="353">
        <f>IF(AO53&lt;&gt;" ",(AU53+AU54)/2," ")</f>
        <v>50.428013973035121</v>
      </c>
      <c r="AX53" s="353"/>
      <c r="AY53" s="445" t="str">
        <f t="shared" ref="AY53" si="165">IF(AP53&lt;&gt;" ",IF(AQ53&gt;$B$15,"Нет","Да")," ")</f>
        <v>Нет</v>
      </c>
      <c r="AZ53" s="441" t="str">
        <f t="shared" ref="AZ53" si="166">IF(AP53&lt;&gt;" ",IF(AW53&gt;0.5*(AV53+AV54),"Да","Нет")," ")</f>
        <v>Нет</v>
      </c>
      <c r="BA53" s="441" t="str">
        <f t="shared" ref="BA53" si="167">IF(AP53&lt;&gt;" ",IF(OR($AX$49&lt;7,$AX$49=7),"Да","Нет")," ")</f>
        <v>Нет</v>
      </c>
      <c r="BB53" s="441" t="str">
        <f t="shared" ref="BB53" si="168">IF(AP53&lt;&gt;" ",IF(AW53&gt;0.2*0.5*(AR53+AR54),"Да","Нет")," ")</f>
        <v>Нет</v>
      </c>
      <c r="BC53" s="353">
        <f t="shared" ref="BC53:BC87" si="169">IF(AND(BE53&lt;&gt;0,BE53&lt;&gt;" "),AP53,0)</f>
        <v>0</v>
      </c>
      <c r="BD53" s="443">
        <f t="shared" ref="BD53" si="170">IF(AP53&lt;&gt;" ",IF(OR(AU53&lt;AR53,AU53=AR53),0.8*AW53*AP53/(5*$AX$49*10),0.8*AW53*AP53/($AX$49*10))," ")</f>
        <v>2.0248048277172945E-2</v>
      </c>
      <c r="BE53" s="353">
        <f t="shared" si="92"/>
        <v>0</v>
      </c>
      <c r="BF53" s="232"/>
      <c r="BH53" s="418"/>
      <c r="BI53" s="419"/>
      <c r="BJ53" s="202"/>
      <c r="BK53" s="419"/>
      <c r="BL53" s="213"/>
    </row>
    <row r="54" spans="33:64" ht="15.75" thickBot="1">
      <c r="AG54" s="370"/>
      <c r="AH54" s="370"/>
      <c r="AI54" s="364"/>
      <c r="AJ54" s="425"/>
      <c r="AK54" s="364"/>
      <c r="AL54" s="370"/>
      <c r="AM54" s="459"/>
      <c r="AN54" s="376"/>
      <c r="AO54" s="353"/>
      <c r="AP54" s="353"/>
      <c r="AQ54" s="183">
        <f>IF(AP53&lt;&gt;" ",MAX($AQ$9:AQ53)+AP53," ")</f>
        <v>4.5809999999999986</v>
      </c>
      <c r="AR54" s="22">
        <f>IF(AP53&lt;&gt;" ",MAX($AR$9:AR53)+$AJ$29*AP53," ")</f>
        <v>334.30566170000009</v>
      </c>
      <c r="AS54" s="86">
        <f t="shared" si="2"/>
        <v>1.6966666666666661</v>
      </c>
      <c r="AT54" s="264" cm="1">
        <f t="array" ref="AT54">IF(AS54&lt;&gt;" ",Interpol(31,8,Служебный!$H$54:$H$84,Служебный!$I$53:$P$53,Служебный!$I$54:$P$84,'Осадка поля'!$AS54,'Осадка поля'!$B$6)," ")</f>
        <v>0.42169166666666685</v>
      </c>
      <c r="AU54" s="22">
        <f t="shared" si="1"/>
        <v>46.769307927526313</v>
      </c>
      <c r="AV54" s="22">
        <f>IF(AP53&lt;&gt;" ",AR54*0.5," ")</f>
        <v>167.15283085000004</v>
      </c>
      <c r="AW54" s="353"/>
      <c r="AX54" s="353"/>
      <c r="AY54" s="444"/>
      <c r="AZ54" s="444"/>
      <c r="BA54" s="445"/>
      <c r="BB54" s="444"/>
      <c r="BC54" s="353"/>
      <c r="BD54" s="444"/>
      <c r="BE54" s="353"/>
      <c r="BF54" s="232"/>
      <c r="BH54" s="418"/>
      <c r="BI54" s="419"/>
      <c r="BJ54" s="202"/>
      <c r="BK54" s="419"/>
      <c r="BL54" s="213"/>
    </row>
    <row r="55" spans="33:64">
      <c r="AG55" s="370"/>
      <c r="AH55" s="370"/>
      <c r="AI55" s="364"/>
      <c r="AJ55" s="425"/>
      <c r="AK55" s="364"/>
      <c r="AL55" s="370"/>
      <c r="AM55" s="459"/>
      <c r="AN55" s="376"/>
      <c r="AO55" s="353">
        <f>IF(AO53=" "," ", IF(AO53&lt;SUM(AN$9:AN$68),AO53+1, " "))</f>
        <v>24</v>
      </c>
      <c r="AP55" s="353">
        <f>IF(AO55&lt;&gt;" ",AM$49/COUNT(AO$49:AO$68), " ")</f>
        <v>0.52699999999999958</v>
      </c>
      <c r="AQ55" s="183">
        <f>IF(AP55&lt;&gt;" ",SUM($AP$9:AP53)," ")</f>
        <v>4.5809999999999986</v>
      </c>
      <c r="AR55" s="22">
        <f>IF(AP55&lt;&gt;" ",MAX($AR$9:AR54)," ")</f>
        <v>334.30566170000009</v>
      </c>
      <c r="AS55" s="86">
        <f t="shared" si="2"/>
        <v>1.6966666666666661</v>
      </c>
      <c r="AT55" s="264" cm="1">
        <f t="array" ref="AT55">IF(AS55&lt;&gt;" ",Interpol(31,8,Служебный!$H$54:$H$84,Служебный!$I$53:$P$53,Служебный!$I$54:$P$84,'Осадка поля'!$AS55,'Осадка поля'!$B$6)," ")</f>
        <v>0.42169166666666685</v>
      </c>
      <c r="AU55" s="22">
        <f t="shared" si="1"/>
        <v>46.769307927526313</v>
      </c>
      <c r="AV55" s="22">
        <f>IF(AP55&lt;&gt;" ",AR55*0.5," ")</f>
        <v>167.15283085000004</v>
      </c>
      <c r="AW55" s="353">
        <f>IF(AO55&lt;&gt;" ",(AU55+AU56)/2," ")</f>
        <v>43.711563155705456</v>
      </c>
      <c r="AX55" s="353"/>
      <c r="AY55" s="445" t="str">
        <f t="shared" ref="AY55" si="171">IF(AP55&lt;&gt;" ",IF(AQ55&gt;$B$15,"Нет","Да")," ")</f>
        <v>Нет</v>
      </c>
      <c r="AZ55" s="441" t="str">
        <f t="shared" ref="AZ55" si="172">IF(AP55&lt;&gt;" ",IF(AW55&gt;0.5*(AV55+AV56),"Да","Нет")," ")</f>
        <v>Нет</v>
      </c>
      <c r="BA55" s="441" t="str">
        <f t="shared" ref="BA55" si="173">IF(AP55&lt;&gt;" ",IF(OR($AX$49&lt;7,$AX$49=7),"Да","Нет")," ")</f>
        <v>Нет</v>
      </c>
      <c r="BB55" s="441" t="str">
        <f t="shared" ref="BB55" si="174">IF(AP55&lt;&gt;" ",IF(AW55&gt;0.2*0.5*(AR55+AR56),"Да","Нет")," ")</f>
        <v>Нет</v>
      </c>
      <c r="BC55" s="353">
        <f t="shared" ref="BC55:BC89" si="175">IF(AND(BE55&lt;&gt;0,BE55&lt;&gt;" "),AP55,0)</f>
        <v>0</v>
      </c>
      <c r="BD55" s="443">
        <f t="shared" ref="BD55" si="176">IF(AP55&lt;&gt;" ",IF(OR(AU55&lt;AR55,AU55=AR55),0.8*AW55*AP55/(5*$AX$49*10),0.8*AW55*AP55/($AX$49*10))," ")</f>
        <v>1.7551233358519436E-2</v>
      </c>
      <c r="BE55" s="353">
        <f t="shared" si="99"/>
        <v>0</v>
      </c>
      <c r="BF55" s="232"/>
      <c r="BH55" s="418"/>
      <c r="BI55" s="419"/>
      <c r="BJ55" s="202"/>
      <c r="BK55" s="419"/>
      <c r="BL55" s="213"/>
    </row>
    <row r="56" spans="33:64" ht="15.75" thickBot="1">
      <c r="AG56" s="370"/>
      <c r="AH56" s="370"/>
      <c r="AI56" s="364"/>
      <c r="AJ56" s="425"/>
      <c r="AK56" s="364"/>
      <c r="AL56" s="370"/>
      <c r="AM56" s="459"/>
      <c r="AN56" s="376"/>
      <c r="AO56" s="353"/>
      <c r="AP56" s="353"/>
      <c r="AQ56" s="183">
        <f>IF(AP55&lt;&gt;" ",MAX($AQ$9:AQ55)+AP55," ")</f>
        <v>5.1079999999999979</v>
      </c>
      <c r="AR56" s="22">
        <f>IF(AP55&lt;&gt;" ",MAX($AR$9:AR55)+$AJ$29*AP55," ")</f>
        <v>344.38279760000006</v>
      </c>
      <c r="AS56" s="86">
        <f t="shared" si="2"/>
        <v>1.891851851851851</v>
      </c>
      <c r="AT56" s="264" cm="1">
        <f t="array" ref="AT56">IF(AS56&lt;&gt;" ",Interpol(31,8,Служебный!$H$54:$H$84,Служебный!$I$53:$P$53,Служебный!$I$54:$P$84,'Осадка поля'!$AS56,'Осадка поля'!$B$6)," ")</f>
        <v>0.36655185185185213</v>
      </c>
      <c r="AU56" s="22">
        <f t="shared" si="1"/>
        <v>40.653818383884598</v>
      </c>
      <c r="AV56" s="22">
        <f>IF(AP55&lt;&gt;" ",AR56*0.5," ")</f>
        <v>172.19139880000003</v>
      </c>
      <c r="AW56" s="353"/>
      <c r="AX56" s="353"/>
      <c r="AY56" s="444"/>
      <c r="AZ56" s="444"/>
      <c r="BA56" s="445"/>
      <c r="BB56" s="444"/>
      <c r="BC56" s="353"/>
      <c r="BD56" s="444"/>
      <c r="BE56" s="353"/>
      <c r="BF56" s="232"/>
      <c r="BH56" s="418"/>
      <c r="BI56" s="419"/>
      <c r="BJ56" s="202"/>
      <c r="BK56" s="419"/>
      <c r="BL56" s="213"/>
    </row>
    <row r="57" spans="33:64">
      <c r="AG57" s="370"/>
      <c r="AH57" s="370"/>
      <c r="AI57" s="364"/>
      <c r="AJ57" s="425"/>
      <c r="AK57" s="364"/>
      <c r="AL57" s="370"/>
      <c r="AM57" s="459"/>
      <c r="AN57" s="376"/>
      <c r="AO57" s="353">
        <f>IF(AO55=" "," ", IF(AO55&lt;SUM(AN$9:AN$68),AO55+1, " "))</f>
        <v>25</v>
      </c>
      <c r="AP57" s="353">
        <f>IF(AO57&lt;&gt;" ",AM$49/COUNT(AO$49:AO$68), " ")</f>
        <v>0.52699999999999958</v>
      </c>
      <c r="AQ57" s="183">
        <f>IF(AP57&lt;&gt;" ",SUM($AP$9:AP55)," ")</f>
        <v>5.1079999999999979</v>
      </c>
      <c r="AR57" s="22">
        <f>IF(AP57&lt;&gt;" ",MAX($AR$9:AR56)," ")</f>
        <v>344.38279760000006</v>
      </c>
      <c r="AS57" s="86">
        <f t="shared" si="2"/>
        <v>1.891851851851851</v>
      </c>
      <c r="AT57" s="264" cm="1">
        <f t="array" ref="AT57">IF(AS57&lt;&gt;" ",Interpol(31,8,Служебный!$H$54:$H$84,Служебный!$I$53:$P$53,Служебный!$I$54:$P$84,'Осадка поля'!$AS57,'Осадка поля'!$B$6)," ")</f>
        <v>0.36655185185185213</v>
      </c>
      <c r="AU57" s="22">
        <f t="shared" si="1"/>
        <v>40.653818383884598</v>
      </c>
      <c r="AV57" s="22">
        <f>IF(AP57&lt;&gt;" ",AR57*0.5," ")</f>
        <v>172.19139880000003</v>
      </c>
      <c r="AW57" s="353">
        <f>IF(AO57&lt;&gt;" ",(AU57+AU58)/2," ")</f>
        <v>38.00633340160293</v>
      </c>
      <c r="AX57" s="353"/>
      <c r="AY57" s="445" t="str">
        <f t="shared" ref="AY57" si="177">IF(AP57&lt;&gt;" ",IF(AQ57&gt;$B$15,"Нет","Да")," ")</f>
        <v>Нет</v>
      </c>
      <c r="AZ57" s="441" t="str">
        <f t="shared" ref="AZ57" si="178">IF(AP57&lt;&gt;" ",IF(AW57&gt;0.5*(AV57+AV58),"Да","Нет")," ")</f>
        <v>Нет</v>
      </c>
      <c r="BA57" s="441" t="str">
        <f t="shared" ref="BA57" si="179">IF(AP57&lt;&gt;" ",IF(OR($AX$49&lt;7,$AX$49=7),"Да","Нет")," ")</f>
        <v>Нет</v>
      </c>
      <c r="BB57" s="441" t="str">
        <f t="shared" ref="BB57" si="180">IF(AP57&lt;&gt;" ",IF(AW57&gt;0.2*0.5*(AR57+AR58),"Да","Нет")," ")</f>
        <v>Нет</v>
      </c>
      <c r="BC57" s="353">
        <f t="shared" ref="BC57:BC91" si="181">IF(AND(BE57&lt;&gt;0,BE57&lt;&gt;" "),AP57,0)</f>
        <v>0</v>
      </c>
      <c r="BD57" s="443">
        <f t="shared" ref="BD57" si="182">IF(AP57&lt;&gt;" ",IF(OR(AU57&lt;AR57,AU57=AR57),0.8*AW57*AP57/(5*$AX$49*10),0.8*AW57*AP57/($AX$49*10))," ")</f>
        <v>1.5260447773443602E-2</v>
      </c>
      <c r="BE57" s="353">
        <f t="shared" si="106"/>
        <v>0</v>
      </c>
      <c r="BF57" s="232"/>
      <c r="BH57" s="418"/>
      <c r="BI57" s="419"/>
      <c r="BJ57" s="202"/>
      <c r="BK57" s="419"/>
      <c r="BL57" s="213"/>
    </row>
    <row r="58" spans="33:64" ht="15.75" thickBot="1">
      <c r="AG58" s="370"/>
      <c r="AH58" s="370"/>
      <c r="AI58" s="364"/>
      <c r="AJ58" s="425"/>
      <c r="AK58" s="364"/>
      <c r="AL58" s="370"/>
      <c r="AM58" s="459"/>
      <c r="AN58" s="376"/>
      <c r="AO58" s="353"/>
      <c r="AP58" s="353"/>
      <c r="AQ58" s="183">
        <f>IF(AP57&lt;&gt;" ",MAX($AQ$9:AQ57)+AP57," ")</f>
        <v>5.6349999999999971</v>
      </c>
      <c r="AR58" s="22">
        <f>IF(AP57&lt;&gt;" ",MAX($AR$9:AR57)+$AJ$29*AP57," ")</f>
        <v>354.45993350000003</v>
      </c>
      <c r="AS58" s="86">
        <f t="shared" si="2"/>
        <v>2.0870370370370357</v>
      </c>
      <c r="AT58" s="264" cm="1">
        <f t="array" ref="AT58">IF(AS58&lt;&gt;" ",Interpol(31,8,Служебный!$H$54:$H$84,Служебный!$I$53:$P$53,Служебный!$I$54:$P$84,'Осадка поля'!$AS58,'Осадка поля'!$B$6)," ")</f>
        <v>0.31881018518518545</v>
      </c>
      <c r="AU58" s="22">
        <f t="shared" si="1"/>
        <v>35.358848419321269</v>
      </c>
      <c r="AV58" s="22">
        <f>IF(AP57&lt;&gt;" ",AR58*0.5," ")</f>
        <v>177.22996675000002</v>
      </c>
      <c r="AW58" s="353"/>
      <c r="AX58" s="353"/>
      <c r="AY58" s="444"/>
      <c r="AZ58" s="444"/>
      <c r="BA58" s="445"/>
      <c r="BB58" s="444"/>
      <c r="BC58" s="353"/>
      <c r="BD58" s="444"/>
      <c r="BE58" s="353"/>
      <c r="BF58" s="232"/>
      <c r="BH58" s="418"/>
      <c r="BI58" s="419"/>
      <c r="BJ58" s="202"/>
      <c r="BK58" s="419"/>
      <c r="BL58" s="213"/>
    </row>
    <row r="59" spans="33:64">
      <c r="AG59" s="370"/>
      <c r="AH59" s="370"/>
      <c r="AI59" s="364"/>
      <c r="AJ59" s="425"/>
      <c r="AK59" s="364"/>
      <c r="AL59" s="370"/>
      <c r="AM59" s="459"/>
      <c r="AN59" s="376"/>
      <c r="AO59" s="353">
        <f>IF(AO57=" "," ", IF(AO57&lt;SUM(AN$9:AN$68),AO57+1, " "))</f>
        <v>26</v>
      </c>
      <c r="AP59" s="353">
        <f>IF(AO59&lt;&gt;" ",AM$49/COUNT(AO$49:AO$68), " ")</f>
        <v>0.52699999999999958</v>
      </c>
      <c r="AQ59" s="183">
        <f>IF(AP59&lt;&gt;" ",SUM($AP$9:AP57)," ")</f>
        <v>5.6349999999999971</v>
      </c>
      <c r="AR59" s="22">
        <f>IF(AP59&lt;&gt;" ",MAX($AR$9:AR58)," ")</f>
        <v>354.45993350000003</v>
      </c>
      <c r="AS59" s="86">
        <f t="shared" si="2"/>
        <v>2.0870370370370357</v>
      </c>
      <c r="AT59" s="264" cm="1">
        <f t="array" ref="AT59">IF(AS59&lt;&gt;" ",Interpol(31,8,Служебный!$H$54:$H$84,Служебный!$I$53:$P$53,Служебный!$I$54:$P$84,'Осадка поля'!$AS59,'Осадка поля'!$B$6)," ")</f>
        <v>0.31881018518518545</v>
      </c>
      <c r="AU59" s="22">
        <f t="shared" si="1"/>
        <v>35.358848419321269</v>
      </c>
      <c r="AV59" s="22">
        <f>IF(AP59&lt;&gt;" ",AR59*0.5," ")</f>
        <v>177.22996675000002</v>
      </c>
      <c r="AW59" s="353">
        <f>IF(AO59&lt;&gt;" ",(AU59+AU60)/2," ")</f>
        <v>33.221133047871291</v>
      </c>
      <c r="AX59" s="353"/>
      <c r="AY59" s="445" t="str">
        <f t="shared" ref="AY59" si="183">IF(AP59&lt;&gt;" ",IF(AQ59&gt;$B$15,"Нет","Да")," ")</f>
        <v>Нет</v>
      </c>
      <c r="AZ59" s="441" t="str">
        <f t="shared" ref="AZ59" si="184">IF(AP59&lt;&gt;" ",IF(AW59&gt;0.5*(AV59+AV60),"Да","Нет")," ")</f>
        <v>Нет</v>
      </c>
      <c r="BA59" s="441" t="str">
        <f t="shared" ref="BA59" si="185">IF(AP59&lt;&gt;" ",IF(OR($AX$49&lt;7,$AX$49=7),"Да","Нет")," ")</f>
        <v>Нет</v>
      </c>
      <c r="BB59" s="441" t="str">
        <f t="shared" ref="BB59" si="186">IF(AP59&lt;&gt;" ",IF(AW59&gt;0.2*0.5*(AR59+AR60),"Да","Нет")," ")</f>
        <v>Нет</v>
      </c>
      <c r="BC59" s="353">
        <f t="shared" ref="BC59:BC93" si="187">IF(AND(BE59&lt;&gt;0,BE59&lt;&gt;" "),AP59,0)</f>
        <v>0</v>
      </c>
      <c r="BD59" s="443">
        <f t="shared" ref="BD59" si="188">IF(AP59&lt;&gt;" ",IF(OR(AU59&lt;AR59,AU59=AR59),0.8*AW59*AP59/(5*$AX$49*10),0.8*AW59*AP59/($AX$49*10))," ")</f>
        <v>1.3339075898078596E-2</v>
      </c>
      <c r="BE59" s="353">
        <f t="shared" si="113"/>
        <v>0</v>
      </c>
      <c r="BF59" s="232"/>
      <c r="BH59" s="418"/>
      <c r="BI59" s="419"/>
      <c r="BJ59" s="202"/>
      <c r="BK59" s="419"/>
      <c r="BL59" s="213"/>
    </row>
    <row r="60" spans="33:64" ht="15.75" thickBot="1">
      <c r="AG60" s="370"/>
      <c r="AH60" s="370"/>
      <c r="AI60" s="364"/>
      <c r="AJ60" s="425"/>
      <c r="AK60" s="364"/>
      <c r="AL60" s="370"/>
      <c r="AM60" s="459"/>
      <c r="AN60" s="376"/>
      <c r="AO60" s="353"/>
      <c r="AP60" s="353"/>
      <c r="AQ60" s="183">
        <f>IF(AP59&lt;&gt;" ",MAX($AQ$9:AQ59)+AP59," ")</f>
        <v>6.1619999999999964</v>
      </c>
      <c r="AR60" s="22">
        <f>IF(AP59&lt;&gt;" ",MAX($AR$9:AR59)+$AJ$29*AP59," ")</f>
        <v>364.53706940000001</v>
      </c>
      <c r="AS60" s="86">
        <f t="shared" si="2"/>
        <v>2.2822222222222206</v>
      </c>
      <c r="AT60" s="264" cm="1">
        <f t="array" ref="AT60">IF(AS60&lt;&gt;" ",Interpol(31,8,Служебный!$H$54:$H$84,Служебный!$I$53:$P$53,Служебный!$I$54:$P$84,'Осадка поля'!$AS60,'Осадка поля'!$B$6)," ")</f>
        <v>0.28026111111111141</v>
      </c>
      <c r="AU60" s="22">
        <f t="shared" si="1"/>
        <v>31.083417676421309</v>
      </c>
      <c r="AV60" s="22">
        <f>IF(AP59&lt;&gt;" ",AR60*0.5," ")</f>
        <v>182.2685347</v>
      </c>
      <c r="AW60" s="353"/>
      <c r="AX60" s="353"/>
      <c r="AY60" s="444"/>
      <c r="AZ60" s="444"/>
      <c r="BA60" s="445"/>
      <c r="BB60" s="444"/>
      <c r="BC60" s="353"/>
      <c r="BD60" s="444"/>
      <c r="BE60" s="353"/>
      <c r="BF60" s="232"/>
      <c r="BH60" s="418"/>
      <c r="BI60" s="419"/>
      <c r="BJ60" s="202"/>
      <c r="BK60" s="419"/>
      <c r="BL60" s="213"/>
    </row>
    <row r="61" spans="33:64">
      <c r="AG61" s="370"/>
      <c r="AH61" s="370"/>
      <c r="AI61" s="364"/>
      <c r="AJ61" s="425"/>
      <c r="AK61" s="364"/>
      <c r="AL61" s="370"/>
      <c r="AM61" s="459"/>
      <c r="AN61" s="376"/>
      <c r="AO61" s="353">
        <f>IF(AO59=" "," ", IF(AO59&lt;SUM(AN$9:AN$68),AO59+1, " "))</f>
        <v>27</v>
      </c>
      <c r="AP61" s="353">
        <f>IF(AO61&lt;&gt;" ",AM$49/COUNT(AO$49:AO$68), " ")</f>
        <v>0.52699999999999958</v>
      </c>
      <c r="AQ61" s="183">
        <f>IF(AP61&lt;&gt;" ",SUM($AP$9:AP59)," ")</f>
        <v>6.1619999999999964</v>
      </c>
      <c r="AR61" s="22">
        <f>IF(AP61&lt;&gt;" ",MAX($AR$9:AR60)," ")</f>
        <v>364.53706940000001</v>
      </c>
      <c r="AS61" s="86">
        <f t="shared" si="2"/>
        <v>2.2822222222222206</v>
      </c>
      <c r="AT61" s="264" cm="1">
        <f t="array" ref="AT61">IF(AS61&lt;&gt;" ",Interpol(31,8,Служебный!$H$54:$H$84,Служебный!$I$53:$P$53,Служебный!$I$54:$P$84,'Осадка поля'!$AS61,'Осадка поля'!$B$6)," ")</f>
        <v>0.28026111111111141</v>
      </c>
      <c r="AU61" s="22">
        <f t="shared" si="1"/>
        <v>31.083417676421309</v>
      </c>
      <c r="AV61" s="22">
        <f>IF(AP61&lt;&gt;" ",AR61*0.5," ")</f>
        <v>182.2685347</v>
      </c>
      <c r="AW61" s="353">
        <f>IF(AO61&lt;&gt;" ",(AU61+AU62)/2," ")</f>
        <v>29.192525685236021</v>
      </c>
      <c r="AX61" s="353"/>
      <c r="AY61" s="445" t="str">
        <f t="shared" ref="AY61" si="189">IF(AP61&lt;&gt;" ",IF(AQ61&gt;$B$15,"Нет","Да")," ")</f>
        <v>Нет</v>
      </c>
      <c r="AZ61" s="441" t="str">
        <f t="shared" ref="AZ61" si="190">IF(AP61&lt;&gt;" ",IF(AW61&gt;0.5*(AV61+AV62),"Да","Нет")," ")</f>
        <v>Нет</v>
      </c>
      <c r="BA61" s="441" t="str">
        <f t="shared" ref="BA61" si="191">IF(AP61&lt;&gt;" ",IF(OR($AX$49&lt;7,$AX$49=7),"Да","Нет")," ")</f>
        <v>Нет</v>
      </c>
      <c r="BB61" s="441" t="str">
        <f t="shared" ref="BB61" si="192">IF(AP61&lt;&gt;" ",IF(AW61&gt;0.2*0.5*(AR61+AR62),"Да","Нет")," ")</f>
        <v>Нет</v>
      </c>
      <c r="BC61" s="353">
        <f t="shared" ref="BC61:BC95" si="193">IF(AND(BE61&lt;&gt;0,BE61&lt;&gt;" "),AP61,0)</f>
        <v>0</v>
      </c>
      <c r="BD61" s="443">
        <f t="shared" ref="BD61" si="194">IF(AP61&lt;&gt;" ",IF(OR(AU61&lt;AR61,AU61=AR61),0.8*AW61*AP61/(5*$AX$49*10),0.8*AW61*AP61/($AX$49*10))," ")</f>
        <v>1.1721494122757616E-2</v>
      </c>
      <c r="BE61" s="353">
        <f t="shared" si="120"/>
        <v>0</v>
      </c>
      <c r="BF61" s="232"/>
      <c r="BH61" s="418"/>
      <c r="BI61" s="419"/>
      <c r="BJ61" s="202"/>
      <c r="BK61" s="419"/>
      <c r="BL61" s="213"/>
    </row>
    <row r="62" spans="33:64" ht="15.75" thickBot="1">
      <c r="AG62" s="370"/>
      <c r="AH62" s="370"/>
      <c r="AI62" s="364"/>
      <c r="AJ62" s="425"/>
      <c r="AK62" s="364"/>
      <c r="AL62" s="370"/>
      <c r="AM62" s="459"/>
      <c r="AN62" s="376"/>
      <c r="AO62" s="353"/>
      <c r="AP62" s="353"/>
      <c r="AQ62" s="183">
        <f>IF(AP61&lt;&gt;" ",MAX($AQ$9:AQ61)+AP61," ")</f>
        <v>6.6889999999999956</v>
      </c>
      <c r="AR62" s="22">
        <f>IF(AP61&lt;&gt;" ",MAX($AR$9:AR61)+$AJ$29*AP61," ")</f>
        <v>374.61420529999998</v>
      </c>
      <c r="AS62" s="86">
        <f t="shared" si="2"/>
        <v>2.4774074074074055</v>
      </c>
      <c r="AT62" s="264" cm="1">
        <f t="array" ref="AT62">IF(AS62&lt;&gt;" ",Interpol(31,8,Служебный!$H$54:$H$84,Служебный!$I$53:$P$53,Служебный!$I$54:$P$84,'Осадка поля'!$AS62,'Осадка поля'!$B$6)," ")</f>
        <v>0.24616296296296322</v>
      </c>
      <c r="AU62" s="22">
        <f t="shared" si="1"/>
        <v>27.301633694050732</v>
      </c>
      <c r="AV62" s="22">
        <f>IF(AP61&lt;&gt;" ",AR62*0.5," ")</f>
        <v>187.30710264999999</v>
      </c>
      <c r="AW62" s="353"/>
      <c r="AX62" s="353"/>
      <c r="AY62" s="444"/>
      <c r="AZ62" s="444"/>
      <c r="BA62" s="445"/>
      <c r="BB62" s="444"/>
      <c r="BC62" s="353"/>
      <c r="BD62" s="444"/>
      <c r="BE62" s="353"/>
      <c r="BF62" s="232"/>
      <c r="BH62" s="418"/>
      <c r="BI62" s="419"/>
      <c r="BJ62" s="202"/>
      <c r="BK62" s="419"/>
      <c r="BL62" s="213"/>
    </row>
    <row r="63" spans="33:64">
      <c r="AG63" s="370"/>
      <c r="AH63" s="370"/>
      <c r="AI63" s="364"/>
      <c r="AJ63" s="425"/>
      <c r="AK63" s="364"/>
      <c r="AL63" s="370"/>
      <c r="AM63" s="459"/>
      <c r="AN63" s="376"/>
      <c r="AO63" s="353">
        <f>IF(AO61=" "," ", IF(AO61&lt;SUM(AN$9:AN$68),AO61+1, " "))</f>
        <v>28</v>
      </c>
      <c r="AP63" s="353">
        <f>IF(AO63&lt;&gt;" ",AM$49/COUNT(AO$49:AO$68), " ")</f>
        <v>0.52699999999999958</v>
      </c>
      <c r="AQ63" s="183">
        <f>IF(AP63&lt;&gt;" ",SUM($AP$9:AP61)," ")</f>
        <v>6.6889999999999956</v>
      </c>
      <c r="AR63" s="22">
        <f>IF(AP63&lt;&gt;" ",MAX($AR$9:AR62)," ")</f>
        <v>374.61420529999998</v>
      </c>
      <c r="AS63" s="86">
        <f t="shared" si="2"/>
        <v>2.4774074074074055</v>
      </c>
      <c r="AT63" s="264" cm="1">
        <f t="array" ref="AT63">IF(AS63&lt;&gt;" ",Interpol(31,8,Служебный!$H$54:$H$84,Служебный!$I$53:$P$53,Служебный!$I$54:$P$84,'Осадка поля'!$AS63,'Осадка поля'!$B$6)," ")</f>
        <v>0.24616296296296322</v>
      </c>
      <c r="AU63" s="22">
        <f t="shared" si="1"/>
        <v>27.301633694050732</v>
      </c>
      <c r="AV63" s="22">
        <f>IF(AP63&lt;&gt;" ",AR63*0.5," ")</f>
        <v>187.30710264999999</v>
      </c>
      <c r="AW63" s="353">
        <f>IF(AO63&lt;&gt;" ",(AU63+AU64)/2," ")</f>
        <v>25.786291152263402</v>
      </c>
      <c r="AX63" s="353"/>
      <c r="AY63" s="445" t="str">
        <f t="shared" ref="AY63" si="195">IF(AP63&lt;&gt;" ",IF(AQ63&gt;$B$15,"Нет","Да")," ")</f>
        <v>Нет</v>
      </c>
      <c r="AZ63" s="441" t="str">
        <f t="shared" ref="AZ63" si="196">IF(AP63&lt;&gt;" ",IF(AW63&gt;0.5*(AV63+AV64),"Да","Нет")," ")</f>
        <v>Нет</v>
      </c>
      <c r="BA63" s="441" t="str">
        <f t="shared" ref="BA63" si="197">IF(AP63&lt;&gt;" ",IF(OR($AX$49&lt;7,$AX$49=7),"Да","Нет")," ")</f>
        <v>Нет</v>
      </c>
      <c r="BB63" s="441" t="str">
        <f t="shared" ref="BB63" si="198">IF(AP63&lt;&gt;" ",IF(AW63&gt;0.2*0.5*(AR63+AR64),"Да","Нет")," ")</f>
        <v>Нет</v>
      </c>
      <c r="BC63" s="353">
        <f t="shared" ref="BC63:BC97" si="199">IF(AND(BE63&lt;&gt;0,BE63&lt;&gt;" "),AP63,0)</f>
        <v>0</v>
      </c>
      <c r="BD63" s="443">
        <f t="shared" ref="BD63" si="200">IF(AP63&lt;&gt;" ",IF(OR(AU63&lt;AR63,AU63=AR63),0.8*AW63*AP63/(5*$AX$49*10),0.8*AW63*AP63/($AX$49*10))," ")</f>
        <v>1.0353809856946897E-2</v>
      </c>
      <c r="BE63" s="353">
        <f t="shared" si="127"/>
        <v>0</v>
      </c>
      <c r="BF63" s="232"/>
      <c r="BH63" s="418"/>
      <c r="BI63" s="419"/>
      <c r="BJ63" s="202"/>
      <c r="BK63" s="419"/>
      <c r="BL63" s="213"/>
    </row>
    <row r="64" spans="33:64" ht="15.75" thickBot="1">
      <c r="AG64" s="370"/>
      <c r="AH64" s="370"/>
      <c r="AI64" s="364"/>
      <c r="AJ64" s="425"/>
      <c r="AK64" s="364"/>
      <c r="AL64" s="370"/>
      <c r="AM64" s="459"/>
      <c r="AN64" s="376"/>
      <c r="AO64" s="353"/>
      <c r="AP64" s="353"/>
      <c r="AQ64" s="183">
        <f>IF(AP63&lt;&gt;" ",MAX($AQ$9:AQ63)+AP63," ")</f>
        <v>7.2159999999999949</v>
      </c>
      <c r="AR64" s="22">
        <f>IF(AP63&lt;&gt;" ",MAX($AR$9:AR63)+$AJ$29*AP63," ")</f>
        <v>384.69134119999995</v>
      </c>
      <c r="AS64" s="86">
        <f t="shared" si="2"/>
        <v>2.6725925925925904</v>
      </c>
      <c r="AT64" s="264" cm="1">
        <f t="array" ref="AT64">IF(AS64&lt;&gt;" ",Interpol(31,8,Служебный!$H$54:$H$84,Служебный!$I$53:$P$53,Служебный!$I$54:$P$84,'Осадка поля'!$AS64,'Осадка поля'!$B$6)," ")</f>
        <v>0.21883703703703733</v>
      </c>
      <c r="AU64" s="22">
        <f t="shared" si="1"/>
        <v>24.270948610476076</v>
      </c>
      <c r="AV64" s="22">
        <f>IF(AP63&lt;&gt;" ",AR64*0.5," ")</f>
        <v>192.34567059999998</v>
      </c>
      <c r="AW64" s="353"/>
      <c r="AX64" s="353"/>
      <c r="AY64" s="444"/>
      <c r="AZ64" s="444"/>
      <c r="BA64" s="445"/>
      <c r="BB64" s="444"/>
      <c r="BC64" s="353"/>
      <c r="BD64" s="444"/>
      <c r="BE64" s="353"/>
      <c r="BF64" s="232"/>
      <c r="BH64" s="418"/>
      <c r="BI64" s="419"/>
      <c r="BJ64" s="202"/>
      <c r="BK64" s="419"/>
      <c r="BL64" s="213"/>
    </row>
    <row r="65" spans="33:64">
      <c r="AG65" s="370"/>
      <c r="AH65" s="370"/>
      <c r="AI65" s="364"/>
      <c r="AJ65" s="425"/>
      <c r="AK65" s="364"/>
      <c r="AL65" s="370"/>
      <c r="AM65" s="459"/>
      <c r="AN65" s="376"/>
      <c r="AO65" s="353">
        <f>IF(AO63=" "," ", IF(AO63&lt;SUM(AN$9:AN$68),AO63+1, " "))</f>
        <v>29</v>
      </c>
      <c r="AP65" s="353">
        <f>IF(AO65&lt;&gt;" ",AM$49/COUNT(AO$49:AO$68), " ")</f>
        <v>0.52699999999999958</v>
      </c>
      <c r="AQ65" s="183">
        <f>IF(AP65&lt;&gt;" ",SUM($AP$9:AP63)," ")</f>
        <v>7.2159999999999949</v>
      </c>
      <c r="AR65" s="22">
        <f>IF(AP65&lt;&gt;" ",MAX($AR$9:AR64)," ")</f>
        <v>384.69134119999995</v>
      </c>
      <c r="AS65" s="86">
        <f t="shared" si="2"/>
        <v>2.6725925925925904</v>
      </c>
      <c r="AT65" s="264" cm="1">
        <f t="array" ref="AT65">IF(AS65&lt;&gt;" ",Interpol(31,8,Служебный!$H$54:$H$84,Служебный!$I$53:$P$53,Служебный!$I$54:$P$84,'Осадка поля'!$AS65,'Осадка поля'!$B$6)," ")</f>
        <v>0.21883703703703733</v>
      </c>
      <c r="AU65" s="22">
        <f t="shared" si="1"/>
        <v>24.270948610476076</v>
      </c>
      <c r="AV65" s="22">
        <f>IF(AP65&lt;&gt;" ",AR65*0.5," ")</f>
        <v>192.34567059999998</v>
      </c>
      <c r="AW65" s="353">
        <f>IF(AO65&lt;&gt;" ",(AU65+AU66)/2," ")</f>
        <v>22.89655264219126</v>
      </c>
      <c r="AX65" s="353"/>
      <c r="AY65" s="445" t="str">
        <f t="shared" ref="AY65" si="201">IF(AP65&lt;&gt;" ",IF(AQ65&gt;$B$15,"Нет","Да")," ")</f>
        <v>Нет</v>
      </c>
      <c r="AZ65" s="441" t="str">
        <f t="shared" ref="AZ65" si="202">IF(AP65&lt;&gt;" ",IF(AW65&gt;0.5*(AV65+AV66),"Да","Нет")," ")</f>
        <v>Нет</v>
      </c>
      <c r="BA65" s="441" t="str">
        <f t="shared" ref="BA65" si="203">IF(AP65&lt;&gt;" ",IF(OR($AX$49&lt;7,$AX$49=7),"Да","Нет")," ")</f>
        <v>Нет</v>
      </c>
      <c r="BB65" s="441" t="str">
        <f t="shared" ref="BB65" si="204">IF(AP65&lt;&gt;" ",IF(AW65&gt;0.2*0.5*(AR65+AR66),"Да","Нет")," ")</f>
        <v>Нет</v>
      </c>
      <c r="BC65" s="353">
        <f t="shared" ref="BC65:BC99" si="205">IF(AND(BE65&lt;&gt;0,BE65&lt;&gt;" "),AP65,0)</f>
        <v>0</v>
      </c>
      <c r="BD65" s="443">
        <f t="shared" ref="BD65" si="206">IF(AP65&lt;&gt;" ",IF(OR(AU65&lt;AR65,AU65=AR65),0.8*AW65*AP65/(5*$AX$49*10),0.8*AW65*AP65/($AX$49*10))," ")</f>
        <v>9.1935110418550747E-3</v>
      </c>
      <c r="BE65" s="353">
        <f t="shared" si="145"/>
        <v>0</v>
      </c>
      <c r="BF65" s="232"/>
      <c r="BH65" s="418"/>
      <c r="BI65" s="419"/>
      <c r="BJ65" s="202"/>
      <c r="BK65" s="419"/>
      <c r="BL65" s="213"/>
    </row>
    <row r="66" spans="33:64" ht="15.75" thickBot="1">
      <c r="AG66" s="370"/>
      <c r="AH66" s="370"/>
      <c r="AI66" s="364"/>
      <c r="AJ66" s="425"/>
      <c r="AK66" s="364"/>
      <c r="AL66" s="370"/>
      <c r="AM66" s="459"/>
      <c r="AN66" s="376"/>
      <c r="AO66" s="353"/>
      <c r="AP66" s="353"/>
      <c r="AQ66" s="183">
        <f>IF(AP65&lt;&gt;" ",MAX($AQ$9:AQ65)+AP65," ")</f>
        <v>7.7429999999999941</v>
      </c>
      <c r="AR66" s="22">
        <f>IF(AP65&lt;&gt;" ",MAX($AR$9:AR65)+$AJ$29*AP65," ")</f>
        <v>394.76847709999993</v>
      </c>
      <c r="AS66" s="86">
        <f t="shared" si="2"/>
        <v>2.8677777777777753</v>
      </c>
      <c r="AT66" s="264" cm="1">
        <f t="array" ref="AT66">IF(AS66&lt;&gt;" ",Interpol(31,8,Служебный!$H$54:$H$84,Служебный!$I$53:$P$53,Служебный!$I$54:$P$84,'Осадка поля'!$AS66,'Осадка поля'!$B$6)," ")</f>
        <v>0.19405277777777802</v>
      </c>
      <c r="AU66" s="22">
        <f t="shared" si="1"/>
        <v>21.522156673906444</v>
      </c>
      <c r="AV66" s="22">
        <f>IF(AP65&lt;&gt;" ",AR66*0.5," ")</f>
        <v>197.38423854999996</v>
      </c>
      <c r="AW66" s="353"/>
      <c r="AX66" s="353"/>
      <c r="AY66" s="444"/>
      <c r="AZ66" s="444"/>
      <c r="BA66" s="445"/>
      <c r="BB66" s="444"/>
      <c r="BC66" s="353"/>
      <c r="BD66" s="444"/>
      <c r="BE66" s="353"/>
      <c r="BF66" s="232"/>
      <c r="BH66" s="418"/>
      <c r="BI66" s="419"/>
      <c r="BJ66" s="202"/>
      <c r="BK66" s="419"/>
      <c r="BL66" s="213"/>
    </row>
    <row r="67" spans="33:64">
      <c r="AG67" s="370"/>
      <c r="AH67" s="370"/>
      <c r="AI67" s="364"/>
      <c r="AJ67" s="425"/>
      <c r="AK67" s="364"/>
      <c r="AL67" s="370"/>
      <c r="AM67" s="459"/>
      <c r="AN67" s="376"/>
      <c r="AO67" s="353">
        <f>IF(AO65=" "," ", IF(AO65&lt;SUM(AN$9:AN$68),AO65+1, " "))</f>
        <v>30</v>
      </c>
      <c r="AP67" s="353">
        <f>IF(AO67&lt;&gt;" ",AM$49/COUNT(AO$49:AO$68), " ")</f>
        <v>0.52699999999999958</v>
      </c>
      <c r="AQ67" s="183">
        <f>IF(AP67&lt;&gt;" ",SUM($AP$9:AP65)," ")</f>
        <v>7.7429999999999941</v>
      </c>
      <c r="AR67" s="22">
        <f>IF(AP67&lt;&gt;" ",MAX($AR$9:AR66)," ")</f>
        <v>394.76847709999993</v>
      </c>
      <c r="AS67" s="86">
        <f t="shared" si="2"/>
        <v>2.8677777777777753</v>
      </c>
      <c r="AT67" s="264" cm="1">
        <f t="array" ref="AT67">IF(AS67&lt;&gt;" ",Interpol(31,8,Служебный!$H$54:$H$84,Служебный!$I$53:$P$53,Служебный!$I$54:$P$84,'Осадка поля'!$AS67,'Осадка поля'!$B$6)," ")</f>
        <v>0.19405277777777802</v>
      </c>
      <c r="AU67" s="22">
        <f t="shared" si="1"/>
        <v>21.522156673906444</v>
      </c>
      <c r="AV67" s="22">
        <f>IF(AP67&lt;&gt;" ",AR67*0.5," ")</f>
        <v>197.38423854999996</v>
      </c>
      <c r="AW67" s="353">
        <f>IF(AO67&lt;&gt;" ",(AU67+AU68)/2," ")</f>
        <v>20.412709455812148</v>
      </c>
      <c r="AX67" s="353"/>
      <c r="AY67" s="445" t="str">
        <f t="shared" ref="AY67" si="207">IF(AP67&lt;&gt;" ",IF(AQ67&gt;$B$15,"Нет","Да")," ")</f>
        <v>Нет</v>
      </c>
      <c r="AZ67" s="441" t="str">
        <f t="shared" ref="AZ67" si="208">IF(AP67&lt;&gt;" ",IF(AW67&gt;0.5*(AV67+AV68),"Да","Нет")," ")</f>
        <v>Нет</v>
      </c>
      <c r="BA67" s="441" t="str">
        <f t="shared" ref="BA67" si="209">IF(AP67&lt;&gt;" ",IF(OR($AX$49&lt;7,$AX$49=7),"Да","Нет")," ")</f>
        <v>Нет</v>
      </c>
      <c r="BB67" s="441" t="str">
        <f t="shared" ref="BB67" si="210">IF(AP67&lt;&gt;" ",IF(AW67&gt;0.2*0.5*(AR67+AR68),"Да","Нет")," ")</f>
        <v>Нет</v>
      </c>
      <c r="BC67" s="353">
        <f t="shared" ref="BC67:BC101" si="211">IF(AND(BE67&lt;&gt;0,BE67&lt;&gt;" "),AP67,0)</f>
        <v>0</v>
      </c>
      <c r="BD67" s="443">
        <f t="shared" ref="BD67" si="212">IF(AP67&lt;&gt;" ",IF(OR(AU67&lt;AR67,AU67=AR67),0.8*AW67*AP67/(5*$AX$49*10),0.8*AW67*AP67/($AX$49*10))," ")</f>
        <v>8.1961888634003773E-3</v>
      </c>
      <c r="BE67" s="353">
        <f t="shared" si="152"/>
        <v>0</v>
      </c>
      <c r="BF67" s="232"/>
      <c r="BH67" s="418"/>
      <c r="BI67" s="419"/>
      <c r="BJ67" s="202"/>
      <c r="BK67" s="419"/>
      <c r="BL67" s="213"/>
    </row>
    <row r="68" spans="33:64" ht="15.75" thickBot="1">
      <c r="AG68" s="370"/>
      <c r="AH68" s="370"/>
      <c r="AI68" s="364"/>
      <c r="AJ68" s="425"/>
      <c r="AK68" s="364"/>
      <c r="AL68" s="370"/>
      <c r="AM68" s="459"/>
      <c r="AN68" s="376"/>
      <c r="AO68" s="353"/>
      <c r="AP68" s="353"/>
      <c r="AQ68" s="183">
        <f>IF(AP67&lt;&gt;" ",MAX($AQ$9:AQ67)+AP67," ")</f>
        <v>8.2699999999999942</v>
      </c>
      <c r="AR68" s="22">
        <f>IF(AP67&lt;&gt;" ",MAX($AR$9:AR67)+$AJ$29*AP67," ")</f>
        <v>404.8456129999999</v>
      </c>
      <c r="AS68" s="86">
        <f t="shared" si="2"/>
        <v>3.0629629629629607</v>
      </c>
      <c r="AT68" s="264" cm="1">
        <f t="array" ref="AT68">IF(AS68&lt;&gt;" ",Interpol(31,8,Служебный!$H$54:$H$84,Служебный!$I$53:$P$53,Служебный!$I$54:$P$84,'Осадка поля'!$AS68,'Осадка поля'!$B$6)," ")</f>
        <v>0.17404629629629653</v>
      </c>
      <c r="AU68" s="22">
        <f t="shared" si="1"/>
        <v>19.303262237717853</v>
      </c>
      <c r="AV68" s="22">
        <f>IF(AP67&lt;&gt;" ",AR68*0.5," ")</f>
        <v>202.42280649999995</v>
      </c>
      <c r="AW68" s="353"/>
      <c r="AX68" s="353"/>
      <c r="AY68" s="444"/>
      <c r="AZ68" s="444"/>
      <c r="BA68" s="445"/>
      <c r="BB68" s="444"/>
      <c r="BC68" s="353"/>
      <c r="BD68" s="444"/>
      <c r="BE68" s="353"/>
      <c r="BF68" s="232"/>
      <c r="BH68" s="418"/>
      <c r="BI68" s="419"/>
      <c r="BJ68" s="202"/>
      <c r="BK68" s="419"/>
      <c r="BL68" s="213"/>
    </row>
    <row r="69" spans="33:64">
      <c r="AG69" s="370">
        <f t="shared" ref="AG69" si="213">AG49+1</f>
        <v>13</v>
      </c>
      <c r="AH69" s="390">
        <f>IF(AG69&gt;20,0,VLOOKUP(AG69,Скважина!$E$8:$K$27,2,FALSE))</f>
        <v>0</v>
      </c>
      <c r="AI69" s="388">
        <f>IF(OR(AH69=0,AG69&gt;20),0,VLOOKUP(AH69,Геология!$D$7:$BO$993,7,FALSE))</f>
        <v>0</v>
      </c>
      <c r="AJ69" s="425" t="e">
        <f>VLOOKUP(AH69,Геология!$D$7:$BO$993,23,FALSE)</f>
        <v>#N/A</v>
      </c>
      <c r="AK69" s="364">
        <f>IF(AM49&lt;&gt;0,AL49,AK49)</f>
        <v>111.73</v>
      </c>
      <c r="AL69" s="390">
        <f>VLOOKUP(AG69,Скважина!$E$8:$K$27,5,FALSE)</f>
        <v>-5.27</v>
      </c>
      <c r="AM69" s="459">
        <f>IF(IF(AH69&lt;&gt;0,AK69-AL69,0)&lt;0,0,IF(AH69&lt;&gt;0,AK69-AL69,0))</f>
        <v>0</v>
      </c>
      <c r="AN69" s="376"/>
      <c r="AO69" s="353" t="str">
        <f>IF(AN69&lt;&gt;0,MAX(AO$9:AO$68)+1," ")</f>
        <v xml:space="preserve"> </v>
      </c>
      <c r="AP69" s="353" t="str">
        <f>IF(AO69&lt;&gt;" ",AM$69/COUNT(AO$69:AO$88), " ")</f>
        <v xml:space="preserve"> </v>
      </c>
      <c r="AQ69" s="183" t="str">
        <f>IF(AP69&lt;&gt;" ",SUM($AP$9:AP67)," ")</f>
        <v xml:space="preserve"> </v>
      </c>
      <c r="AR69" s="22" t="str">
        <f>IF(AP69&lt;&gt;" ",MAX($AR$9:AR68)," ")</f>
        <v xml:space="preserve"> </v>
      </c>
      <c r="AS69" s="86" t="str">
        <f t="shared" si="2"/>
        <v xml:space="preserve"> </v>
      </c>
      <c r="AT69" s="264" t="str" cm="1">
        <f t="array" ref="AT69">IF(AS69&lt;&gt;" ",Interpol(31,8,Служебный!$H$54:$H$84,Служебный!$I$53:$P$53,Служебный!$I$54:$P$84,'Осадка поля'!$AS69,'Осадка поля'!$B$6)," ")</f>
        <v xml:space="preserve"> </v>
      </c>
      <c r="AU69" s="22" t="str">
        <f t="shared" si="1"/>
        <v xml:space="preserve"> </v>
      </c>
      <c r="AV69" s="22" t="str">
        <f>IF(AP69&lt;&gt;" ",AR69*0.5," ")</f>
        <v xml:space="preserve"> </v>
      </c>
      <c r="AW69" s="353" t="str">
        <f>IF(AO69&lt;&gt;" ",(AU69+AU70)/2," ")</f>
        <v xml:space="preserve"> </v>
      </c>
      <c r="AX69" s="444" t="str">
        <f>IF(AH69&lt;&gt;0,VLOOKUP(AH69,Геология!$D$7:$BO$993,21,FALSE)," ")</f>
        <v xml:space="preserve"> </v>
      </c>
      <c r="AY69" s="445" t="str">
        <f t="shared" ref="AY69" si="214">IF(AP69&lt;&gt;" ",IF(AQ69&gt;$B$15,"Нет","Да")," ")</f>
        <v xml:space="preserve"> </v>
      </c>
      <c r="AZ69" s="441" t="str">
        <f t="shared" ref="AZ69" si="215">IF(AP69&lt;&gt;" ",IF(AW69&gt;0.5*(AV69+AV70),"Да","Нет")," ")</f>
        <v xml:space="preserve"> </v>
      </c>
      <c r="BA69" s="441" t="str">
        <f>IF(AP69&lt;&gt;" ",IF(OR($AX$69&lt;7,$AX$69=7),"Да","Нет")," ")</f>
        <v xml:space="preserve"> </v>
      </c>
      <c r="BB69" s="441" t="str">
        <f t="shared" ref="BB69" si="216">IF(AP69&lt;&gt;" ",IF(AW69&gt;0.2*0.5*(AR69+AR70),"Да","Нет")," ")</f>
        <v xml:space="preserve"> </v>
      </c>
      <c r="BC69" s="353">
        <f t="shared" ref="BC69:BC103" si="217">IF(AND(BE69&lt;&gt;0,BE69&lt;&gt;" "),AP69,0)</f>
        <v>0</v>
      </c>
      <c r="BD69" s="443" t="str">
        <f>IF(AP69&lt;&gt;" ",IF(OR(AU69&lt;AR69,AU69=AR69),0.8*AW69*AP69/(5*$AX$69*10),0.8*AW69*AP69/($AX$69*10))," ")</f>
        <v xml:space="preserve"> </v>
      </c>
      <c r="BE69" s="353">
        <f t="shared" ref="BE69" si="218">IF(AP69&lt;&gt;" ",IF(AND(AY69="Нет",AZ69="Нет",BA69="Нет"),0,IF(AY69="Да",BD69,IF(AZ69="Да",BD69,IF(BA69="Да",BD69)))),0)</f>
        <v>0</v>
      </c>
      <c r="BF69" s="232"/>
      <c r="BH69" s="448" t="str">
        <f>IF(AH69&lt;&gt;0,VLOOKUP(AH69,Геология!$D$7:$BO$993,24,FALSE)," ")</f>
        <v xml:space="preserve"> </v>
      </c>
      <c r="BI69" s="449" t="str">
        <f>IF(BH69&lt;&gt;" ",BH69*AM69," ")</f>
        <v xml:space="preserve"> </v>
      </c>
      <c r="BJ69" s="202"/>
      <c r="BK69" s="456" t="str">
        <f>IF(AM69&lt;&gt;0,AX69*AM69," ")</f>
        <v xml:space="preserve"> </v>
      </c>
      <c r="BL69" s="213"/>
    </row>
    <row r="70" spans="33:64" ht="15.75" thickBot="1">
      <c r="AG70" s="370"/>
      <c r="AH70" s="370"/>
      <c r="AI70" s="364"/>
      <c r="AJ70" s="425"/>
      <c r="AK70" s="364"/>
      <c r="AL70" s="370"/>
      <c r="AM70" s="459"/>
      <c r="AN70" s="376"/>
      <c r="AO70" s="353"/>
      <c r="AP70" s="353"/>
      <c r="AQ70" s="183" t="str">
        <f>IF(AP69&lt;&gt;" ",MAX($AQ$9:AQ69)+AP69," ")</f>
        <v xml:space="preserve"> </v>
      </c>
      <c r="AR70" s="22" t="str">
        <f>IF(AP69&lt;&gt;" ",MAX($AR$9:AR69)+$AJ$29*AP69," ")</f>
        <v xml:space="preserve"> </v>
      </c>
      <c r="AS70" s="86" t="str">
        <f t="shared" si="2"/>
        <v xml:space="preserve"> </v>
      </c>
      <c r="AT70" s="264" t="str" cm="1">
        <f t="array" ref="AT70">IF(AS70&lt;&gt;" ",Interpol(31,8,Служебный!$H$54:$H$84,Служебный!$I$53:$P$53,Служебный!$I$54:$P$84,'Осадка поля'!$AS70,'Осадка поля'!$B$6)," ")</f>
        <v xml:space="preserve"> </v>
      </c>
      <c r="AU70" s="22" t="str">
        <f t="shared" si="1"/>
        <v xml:space="preserve"> </v>
      </c>
      <c r="AV70" s="22" t="str">
        <f>IF(AP69&lt;&gt;" ",AR70*0.5," ")</f>
        <v xml:space="preserve"> </v>
      </c>
      <c r="AW70" s="353"/>
      <c r="AX70" s="353"/>
      <c r="AY70" s="444"/>
      <c r="AZ70" s="444"/>
      <c r="BA70" s="445"/>
      <c r="BB70" s="444"/>
      <c r="BC70" s="353"/>
      <c r="BD70" s="444"/>
      <c r="BE70" s="353"/>
      <c r="BF70" s="232"/>
      <c r="BH70" s="418"/>
      <c r="BI70" s="419"/>
      <c r="BJ70" s="202"/>
      <c r="BK70" s="419"/>
      <c r="BL70" s="213"/>
    </row>
    <row r="71" spans="33:64">
      <c r="AG71" s="370"/>
      <c r="AH71" s="370"/>
      <c r="AI71" s="364"/>
      <c r="AJ71" s="425"/>
      <c r="AK71" s="364"/>
      <c r="AL71" s="370"/>
      <c r="AM71" s="459"/>
      <c r="AN71" s="376"/>
      <c r="AO71" s="353" t="str">
        <f>IF(AO69=" "," ", IF(AO69&lt;SUM(AN$9:AN$88),AO69+1, " "))</f>
        <v xml:space="preserve"> </v>
      </c>
      <c r="AP71" s="353" t="str">
        <f>IF(AO71&lt;&gt;" ",AM$69/COUNT(AO$69:AO$88), " ")</f>
        <v xml:space="preserve"> </v>
      </c>
      <c r="AQ71" s="183" t="str">
        <f>IF(AP71&lt;&gt;" ",SUM($AP$9:AP69)," ")</f>
        <v xml:space="preserve"> </v>
      </c>
      <c r="AR71" s="22" t="str">
        <f>IF(AP71&lt;&gt;" ",MAX($AR$9:AR70)," ")</f>
        <v xml:space="preserve"> </v>
      </c>
      <c r="AS71" s="86" t="str">
        <f t="shared" si="2"/>
        <v xml:space="preserve"> </v>
      </c>
      <c r="AT71" s="264" t="str" cm="1">
        <f t="array" ref="AT71">IF(AS71&lt;&gt;" ",Interpol(31,8,Служебный!$H$54:$H$84,Служебный!$I$53:$P$53,Служебный!$I$54:$P$84,'Осадка поля'!$AS71,'Осадка поля'!$B$6)," ")</f>
        <v xml:space="preserve"> </v>
      </c>
      <c r="AU71" s="22" t="str">
        <f t="shared" si="1"/>
        <v xml:space="preserve"> </v>
      </c>
      <c r="AV71" s="22" t="str">
        <f>IF(AP71&lt;&gt;" ",AR71*0.5," ")</f>
        <v xml:space="preserve"> </v>
      </c>
      <c r="AW71" s="353" t="str">
        <f>IF(AO71&lt;&gt;" ",(AU71+AU72)/2," ")</f>
        <v xml:space="preserve"> </v>
      </c>
      <c r="AX71" s="353"/>
      <c r="AY71" s="445" t="str">
        <f t="shared" ref="AY71" si="219">IF(AP71&lt;&gt;" ",IF(AQ71&gt;$B$15,"Нет","Да")," ")</f>
        <v xml:space="preserve"> </v>
      </c>
      <c r="AZ71" s="441" t="str">
        <f t="shared" ref="AZ71" si="220">IF(AP71&lt;&gt;" ",IF(AW71&gt;0.5*(AV71+AV72),"Да","Нет")," ")</f>
        <v xml:space="preserve"> </v>
      </c>
      <c r="BA71" s="441" t="str">
        <f t="shared" ref="BA71" si="221">IF(AP71&lt;&gt;" ",IF(OR($AX$69&lt;7,$AX$69=7),"Да","Нет")," ")</f>
        <v xml:space="preserve"> </v>
      </c>
      <c r="BB71" s="441" t="str">
        <f t="shared" ref="BB71" si="222">IF(AP71&lt;&gt;" ",IF(AW71&gt;0.2*0.5*(AR71+AR72),"Да","Нет")," ")</f>
        <v xml:space="preserve"> </v>
      </c>
      <c r="BC71" s="353">
        <f t="shared" ref="BC71:BC105" si="223">IF(AND(BE71&lt;&gt;0,BE71&lt;&gt;" "),AP71,0)</f>
        <v>0</v>
      </c>
      <c r="BD71" s="443" t="str">
        <f t="shared" ref="BD71" si="224">IF(AP71&lt;&gt;" ",IF(OR(AU71&lt;AR71,AU71=AR71),0.8*AW71*AP71/(5*$AX$69*10),0.8*AW71*AP71/($AX$69*10))," ")</f>
        <v xml:space="preserve"> </v>
      </c>
      <c r="BE71" s="353">
        <f t="shared" si="85"/>
        <v>0</v>
      </c>
      <c r="BF71" s="232"/>
      <c r="BH71" s="418"/>
      <c r="BI71" s="419"/>
      <c r="BJ71" s="202"/>
      <c r="BK71" s="419"/>
      <c r="BL71" s="213"/>
    </row>
    <row r="72" spans="33:64" ht="15.75" thickBot="1">
      <c r="AG72" s="370"/>
      <c r="AH72" s="370"/>
      <c r="AI72" s="364"/>
      <c r="AJ72" s="425"/>
      <c r="AK72" s="364"/>
      <c r="AL72" s="370"/>
      <c r="AM72" s="459"/>
      <c r="AN72" s="376"/>
      <c r="AO72" s="353"/>
      <c r="AP72" s="353"/>
      <c r="AQ72" s="183" t="str">
        <f>IF(AP71&lt;&gt;" ",MAX($AQ$9:AQ71)+AP71," ")</f>
        <v xml:space="preserve"> </v>
      </c>
      <c r="AR72" s="22" t="str">
        <f>IF(AP71&lt;&gt;" ",MAX($AR$9:AR71)+$AJ$29*AP71," ")</f>
        <v xml:space="preserve"> </v>
      </c>
      <c r="AS72" s="86" t="str">
        <f t="shared" si="2"/>
        <v xml:space="preserve"> </v>
      </c>
      <c r="AT72" s="264" t="str" cm="1">
        <f t="array" ref="AT72">IF(AS72&lt;&gt;" ",Interpol(31,8,Служебный!$H$54:$H$84,Служебный!$I$53:$P$53,Служебный!$I$54:$P$84,'Осадка поля'!$AS72,'Осадка поля'!$B$6)," ")</f>
        <v xml:space="preserve"> </v>
      </c>
      <c r="AU72" s="22" t="str">
        <f t="shared" si="1"/>
        <v xml:space="preserve"> </v>
      </c>
      <c r="AV72" s="22" t="str">
        <f>IF(AP71&lt;&gt;" ",AR72*0.5," ")</f>
        <v xml:space="preserve"> </v>
      </c>
      <c r="AW72" s="353"/>
      <c r="AX72" s="353"/>
      <c r="AY72" s="444"/>
      <c r="AZ72" s="444"/>
      <c r="BA72" s="445"/>
      <c r="BB72" s="444"/>
      <c r="BC72" s="353"/>
      <c r="BD72" s="444"/>
      <c r="BE72" s="353"/>
      <c r="BF72" s="232"/>
      <c r="BH72" s="418"/>
      <c r="BI72" s="419"/>
      <c r="BJ72" s="202"/>
      <c r="BK72" s="419"/>
      <c r="BL72" s="213"/>
    </row>
    <row r="73" spans="33:64">
      <c r="AG73" s="370"/>
      <c r="AH73" s="370"/>
      <c r="AI73" s="364"/>
      <c r="AJ73" s="425"/>
      <c r="AK73" s="364"/>
      <c r="AL73" s="370"/>
      <c r="AM73" s="459"/>
      <c r="AN73" s="376"/>
      <c r="AO73" s="353" t="str">
        <f>IF(AO71=" "," ", IF(AO71&lt;SUM(AN$9:AN$88),AO71+1, " "))</f>
        <v xml:space="preserve"> </v>
      </c>
      <c r="AP73" s="353" t="str">
        <f>IF(AO73&lt;&gt;" ",AM$69/COUNT(AO$69:AO$88), " ")</f>
        <v xml:space="preserve"> </v>
      </c>
      <c r="AQ73" s="183" t="str">
        <f>IF(AP73&lt;&gt;" ",SUM($AP$9:AP71)," ")</f>
        <v xml:space="preserve"> </v>
      </c>
      <c r="AR73" s="22" t="str">
        <f>IF(AP73&lt;&gt;" ",MAX($AR$9:AR72)," ")</f>
        <v xml:space="preserve"> </v>
      </c>
      <c r="AS73" s="86" t="str">
        <f t="shared" si="2"/>
        <v xml:space="preserve"> </v>
      </c>
      <c r="AT73" s="264" t="str" cm="1">
        <f t="array" ref="AT73">IF(AS73&lt;&gt;" ",Interpol(31,8,Служебный!$H$54:$H$84,Служебный!$I$53:$P$53,Служебный!$I$54:$P$84,'Осадка поля'!$AS73,'Осадка поля'!$B$6)," ")</f>
        <v xml:space="preserve"> </v>
      </c>
      <c r="AU73" s="22" t="str">
        <f t="shared" ref="AU73:AU136" si="225">IF(AS73&lt;&gt;" ",$B$11*AT73," ")</f>
        <v xml:space="preserve"> </v>
      </c>
      <c r="AV73" s="22" t="str">
        <f>IF(AP73&lt;&gt;" ",AR73*0.5," ")</f>
        <v xml:space="preserve"> </v>
      </c>
      <c r="AW73" s="353" t="str">
        <f>IF(AO73&lt;&gt;" ",(AU73+AU74)/2," ")</f>
        <v xml:space="preserve"> </v>
      </c>
      <c r="AX73" s="353"/>
      <c r="AY73" s="445" t="str">
        <f t="shared" ref="AY73" si="226">IF(AP73&lt;&gt;" ",IF(AQ73&gt;$B$15,"Нет","Да")," ")</f>
        <v xml:space="preserve"> </v>
      </c>
      <c r="AZ73" s="441" t="str">
        <f t="shared" ref="AZ73" si="227">IF(AP73&lt;&gt;" ",IF(AW73&gt;0.5*(AV73+AV74),"Да","Нет")," ")</f>
        <v xml:space="preserve"> </v>
      </c>
      <c r="BA73" s="441" t="str">
        <f t="shared" ref="BA73" si="228">IF(AP73&lt;&gt;" ",IF(OR($AX$69&lt;7,$AX$69=7),"Да","Нет")," ")</f>
        <v xml:space="preserve"> </v>
      </c>
      <c r="BB73" s="441" t="str">
        <f t="shared" ref="BB73" si="229">IF(AP73&lt;&gt;" ",IF(AW73&gt;0.2*0.5*(AR73+AR74),"Да","Нет")," ")</f>
        <v xml:space="preserve"> </v>
      </c>
      <c r="BC73" s="353">
        <f t="shared" ref="BC73:BC107" si="230">IF(AND(BE73&lt;&gt;0,BE73&lt;&gt;" "),AP73,0)</f>
        <v>0</v>
      </c>
      <c r="BD73" s="443" t="str">
        <f t="shared" ref="BD73" si="231">IF(AP73&lt;&gt;" ",IF(OR(AU73&lt;AR73,AU73=AR73),0.8*AW73*AP73/(5*$AX$69*10),0.8*AW73*AP73/($AX$69*10))," ")</f>
        <v xml:space="preserve"> </v>
      </c>
      <c r="BE73" s="353">
        <f t="shared" si="92"/>
        <v>0</v>
      </c>
      <c r="BF73" s="232"/>
      <c r="BH73" s="418"/>
      <c r="BI73" s="419"/>
      <c r="BJ73" s="202"/>
      <c r="BK73" s="419"/>
      <c r="BL73" s="213"/>
    </row>
    <row r="74" spans="33:64" ht="15.75" thickBot="1">
      <c r="AG74" s="370"/>
      <c r="AH74" s="370"/>
      <c r="AI74" s="364"/>
      <c r="AJ74" s="425"/>
      <c r="AK74" s="364"/>
      <c r="AL74" s="370"/>
      <c r="AM74" s="459"/>
      <c r="AN74" s="376"/>
      <c r="AO74" s="353"/>
      <c r="AP74" s="353"/>
      <c r="AQ74" s="183" t="str">
        <f>IF(AP73&lt;&gt;" ",MAX($AQ$9:AQ73)+AP73," ")</f>
        <v xml:space="preserve"> </v>
      </c>
      <c r="AR74" s="22" t="str">
        <f>IF(AP73&lt;&gt;" ",MAX($AR$9:AR73)+$AJ$29*AP73," ")</f>
        <v xml:space="preserve"> </v>
      </c>
      <c r="AS74" s="86" t="str">
        <f t="shared" ref="AS74:AS128" si="232">IF(AQ74&lt;&gt;" ",2*AQ74/$B$10," ")</f>
        <v xml:space="preserve"> </v>
      </c>
      <c r="AT74" s="264" t="str" cm="1">
        <f t="array" ref="AT74">IF(AS74&lt;&gt;" ",Interpol(31,8,Служебный!$H$54:$H$84,Служебный!$I$53:$P$53,Служебный!$I$54:$P$84,'Осадка поля'!$AS74,'Осадка поля'!$B$6)," ")</f>
        <v xml:space="preserve"> </v>
      </c>
      <c r="AU74" s="22" t="str">
        <f t="shared" si="225"/>
        <v xml:space="preserve"> </v>
      </c>
      <c r="AV74" s="22" t="str">
        <f>IF(AP73&lt;&gt;" ",AR74*0.5," ")</f>
        <v xml:space="preserve"> </v>
      </c>
      <c r="AW74" s="353"/>
      <c r="AX74" s="353"/>
      <c r="AY74" s="444"/>
      <c r="AZ74" s="444"/>
      <c r="BA74" s="445"/>
      <c r="BB74" s="444"/>
      <c r="BC74" s="353"/>
      <c r="BD74" s="444"/>
      <c r="BE74" s="353"/>
      <c r="BF74" s="232"/>
      <c r="BH74" s="418"/>
      <c r="BI74" s="419"/>
      <c r="BJ74" s="202"/>
      <c r="BK74" s="419"/>
      <c r="BL74" s="213"/>
    </row>
    <row r="75" spans="33:64">
      <c r="AG75" s="370"/>
      <c r="AH75" s="370"/>
      <c r="AI75" s="364"/>
      <c r="AJ75" s="425"/>
      <c r="AK75" s="364"/>
      <c r="AL75" s="370"/>
      <c r="AM75" s="459"/>
      <c r="AN75" s="376"/>
      <c r="AO75" s="353" t="str">
        <f>IF(AO73=" "," ", IF(AO73&lt;SUM(AN$9:AN$88),AO73+1, " "))</f>
        <v xml:space="preserve"> </v>
      </c>
      <c r="AP75" s="353" t="str">
        <f>IF(AO75&lt;&gt;" ",AM$69/COUNT(AO$69:AO$88), " ")</f>
        <v xml:space="preserve"> </v>
      </c>
      <c r="AQ75" s="183" t="str">
        <f>IF(AP75&lt;&gt;" ",SUM($AP$9:AP73)," ")</f>
        <v xml:space="preserve"> </v>
      </c>
      <c r="AR75" s="22" t="str">
        <f>IF(AP75&lt;&gt;" ",MAX($AR$9:AR74)," ")</f>
        <v xml:space="preserve"> </v>
      </c>
      <c r="AS75" s="86" t="str">
        <f t="shared" si="232"/>
        <v xml:space="preserve"> </v>
      </c>
      <c r="AT75" s="264" t="str" cm="1">
        <f t="array" ref="AT75">IF(AS75&lt;&gt;" ",Interpol(31,8,Служебный!$H$54:$H$84,Служебный!$I$53:$P$53,Служебный!$I$54:$P$84,'Осадка поля'!$AS75,'Осадка поля'!$B$6)," ")</f>
        <v xml:space="preserve"> </v>
      </c>
      <c r="AU75" s="22" t="str">
        <f t="shared" si="225"/>
        <v xml:space="preserve"> </v>
      </c>
      <c r="AV75" s="22" t="str">
        <f>IF(AP75&lt;&gt;" ",AR75*0.5," ")</f>
        <v xml:space="preserve"> </v>
      </c>
      <c r="AW75" s="353" t="str">
        <f>IF(AO75&lt;&gt;" ",(AU75+AU76)/2," ")</f>
        <v xml:space="preserve"> </v>
      </c>
      <c r="AX75" s="353"/>
      <c r="AY75" s="445" t="str">
        <f t="shared" ref="AY75" si="233">IF(AP75&lt;&gt;" ",IF(AQ75&gt;$B$15,"Нет","Да")," ")</f>
        <v xml:space="preserve"> </v>
      </c>
      <c r="AZ75" s="441" t="str">
        <f t="shared" ref="AZ75" si="234">IF(AP75&lt;&gt;" ",IF(AW75&gt;0.5*(AV75+AV76),"Да","Нет")," ")</f>
        <v xml:space="preserve"> </v>
      </c>
      <c r="BA75" s="441" t="str">
        <f t="shared" ref="BA75" si="235">IF(AP75&lt;&gt;" ",IF(OR($AX$69&lt;7,$AX$69=7),"Да","Нет")," ")</f>
        <v xml:space="preserve"> </v>
      </c>
      <c r="BB75" s="441" t="str">
        <f t="shared" ref="BB75" si="236">IF(AP75&lt;&gt;" ",IF(AW75&gt;0.2*0.5*(AR75+AR76),"Да","Нет")," ")</f>
        <v xml:space="preserve"> </v>
      </c>
      <c r="BC75" s="353">
        <f t="shared" ref="BC75:BC109" si="237">IF(AND(BE75&lt;&gt;0,BE75&lt;&gt;" "),AP75,0)</f>
        <v>0</v>
      </c>
      <c r="BD75" s="443" t="str">
        <f t="shared" ref="BD75" si="238">IF(AP75&lt;&gt;" ",IF(OR(AU75&lt;AR75,AU75=AR75),0.8*AW75*AP75/(5*$AX$69*10),0.8*AW75*AP75/($AX$69*10))," ")</f>
        <v xml:space="preserve"> </v>
      </c>
      <c r="BE75" s="353">
        <f t="shared" si="99"/>
        <v>0</v>
      </c>
      <c r="BF75" s="232"/>
      <c r="BH75" s="418"/>
      <c r="BI75" s="419"/>
      <c r="BJ75" s="202"/>
      <c r="BK75" s="419"/>
      <c r="BL75" s="213"/>
    </row>
    <row r="76" spans="33:64" ht="15.75" thickBot="1">
      <c r="AG76" s="370"/>
      <c r="AH76" s="370"/>
      <c r="AI76" s="364"/>
      <c r="AJ76" s="425"/>
      <c r="AK76" s="364"/>
      <c r="AL76" s="370"/>
      <c r="AM76" s="459"/>
      <c r="AN76" s="376"/>
      <c r="AO76" s="353"/>
      <c r="AP76" s="353"/>
      <c r="AQ76" s="183" t="str">
        <f>IF(AP75&lt;&gt;" ",MAX($AQ$9:AQ75)+AP75," ")</f>
        <v xml:space="preserve"> </v>
      </c>
      <c r="AR76" s="22" t="str">
        <f>IF(AP75&lt;&gt;" ",MAX($AR$9:AR75)+$AJ$29*AP75," ")</f>
        <v xml:space="preserve"> </v>
      </c>
      <c r="AS76" s="86" t="str">
        <f t="shared" si="232"/>
        <v xml:space="preserve"> </v>
      </c>
      <c r="AT76" s="264" t="str" cm="1">
        <f t="array" ref="AT76">IF(AS76&lt;&gt;" ",Interpol(31,8,Служебный!$H$54:$H$84,Служебный!$I$53:$P$53,Служебный!$I$54:$P$84,'Осадка поля'!$AS76,'Осадка поля'!$B$6)," ")</f>
        <v xml:space="preserve"> </v>
      </c>
      <c r="AU76" s="22" t="str">
        <f t="shared" si="225"/>
        <v xml:space="preserve"> </v>
      </c>
      <c r="AV76" s="22" t="str">
        <f>IF(AP75&lt;&gt;" ",AR76*0.5," ")</f>
        <v xml:space="preserve"> </v>
      </c>
      <c r="AW76" s="353"/>
      <c r="AX76" s="353"/>
      <c r="AY76" s="444"/>
      <c r="AZ76" s="444"/>
      <c r="BA76" s="445"/>
      <c r="BB76" s="444"/>
      <c r="BC76" s="353"/>
      <c r="BD76" s="444"/>
      <c r="BE76" s="353"/>
      <c r="BF76" s="232"/>
      <c r="BH76" s="418"/>
      <c r="BI76" s="419"/>
      <c r="BJ76" s="202"/>
      <c r="BK76" s="419"/>
      <c r="BL76" s="213"/>
    </row>
    <row r="77" spans="33:64">
      <c r="AG77" s="370"/>
      <c r="AH77" s="370"/>
      <c r="AI77" s="364"/>
      <c r="AJ77" s="425"/>
      <c r="AK77" s="364"/>
      <c r="AL77" s="370"/>
      <c r="AM77" s="459"/>
      <c r="AN77" s="376"/>
      <c r="AO77" s="353" t="str">
        <f>IF(AO75=" "," ", IF(AO75&lt;SUM(AN$9:AN$88),AO75+1, " "))</f>
        <v xml:space="preserve"> </v>
      </c>
      <c r="AP77" s="353" t="str">
        <f>IF(AO77&lt;&gt;" ",AM$69/COUNT(AO$69:AO$88), " ")</f>
        <v xml:space="preserve"> </v>
      </c>
      <c r="AQ77" s="183" t="str">
        <f>IF(AP77&lt;&gt;" ",SUM($AP$9:AP75)," ")</f>
        <v xml:space="preserve"> </v>
      </c>
      <c r="AR77" s="22" t="str">
        <f>IF(AP77&lt;&gt;" ",MAX($AR$9:AR76)," ")</f>
        <v xml:space="preserve"> </v>
      </c>
      <c r="AS77" s="86" t="str">
        <f t="shared" si="232"/>
        <v xml:space="preserve"> </v>
      </c>
      <c r="AT77" s="264" t="str" cm="1">
        <f t="array" ref="AT77">IF(AS77&lt;&gt;" ",Interpol(31,8,Служебный!$H$54:$H$84,Служебный!$I$53:$P$53,Служебный!$I$54:$P$84,'Осадка поля'!$AS77,'Осадка поля'!$B$6)," ")</f>
        <v xml:space="preserve"> </v>
      </c>
      <c r="AU77" s="22" t="str">
        <f t="shared" si="225"/>
        <v xml:space="preserve"> </v>
      </c>
      <c r="AV77" s="22" t="str">
        <f>IF(AP77&lt;&gt;" ",AR77*0.5," ")</f>
        <v xml:space="preserve"> </v>
      </c>
      <c r="AW77" s="353" t="str">
        <f>IF(AO77&lt;&gt;" ",(AU77+AU78)/2," ")</f>
        <v xml:space="preserve"> </v>
      </c>
      <c r="AX77" s="353"/>
      <c r="AY77" s="445" t="str">
        <f t="shared" ref="AY77" si="239">IF(AP77&lt;&gt;" ",IF(AQ77&gt;$B$15,"Нет","Да")," ")</f>
        <v xml:space="preserve"> </v>
      </c>
      <c r="AZ77" s="441" t="str">
        <f t="shared" ref="AZ77" si="240">IF(AP77&lt;&gt;" ",IF(AW77&gt;0.5*(AV77+AV78),"Да","Нет")," ")</f>
        <v xml:space="preserve"> </v>
      </c>
      <c r="BA77" s="441" t="str">
        <f t="shared" ref="BA77" si="241">IF(AP77&lt;&gt;" ",IF(OR($AX$69&lt;7,$AX$69=7),"Да","Нет")," ")</f>
        <v xml:space="preserve"> </v>
      </c>
      <c r="BB77" s="441" t="str">
        <f t="shared" ref="BB77" si="242">IF(AP77&lt;&gt;" ",IF(AW77&gt;0.2*0.5*(AR77+AR78),"Да","Нет")," ")</f>
        <v xml:space="preserve"> </v>
      </c>
      <c r="BC77" s="353">
        <f t="shared" ref="BC77" si="243">IF(AND(BE77&lt;&gt;0,BE77&lt;&gt;" "),AP77,0)</f>
        <v>0</v>
      </c>
      <c r="BD77" s="443" t="str">
        <f t="shared" ref="BD77" si="244">IF(AP77&lt;&gt;" ",IF(OR(AU77&lt;AR77,AU77=AR77),0.8*AW77*AP77/(5*$AX$69*10),0.8*AW77*AP77/($AX$69*10))," ")</f>
        <v xml:space="preserve"> </v>
      </c>
      <c r="BE77" s="353">
        <f t="shared" si="106"/>
        <v>0</v>
      </c>
      <c r="BF77" s="232"/>
      <c r="BH77" s="418"/>
      <c r="BI77" s="419"/>
      <c r="BJ77" s="202"/>
      <c r="BK77" s="419"/>
      <c r="BL77" s="213"/>
    </row>
    <row r="78" spans="33:64" ht="15.75" thickBot="1">
      <c r="AG78" s="370"/>
      <c r="AH78" s="370"/>
      <c r="AI78" s="364"/>
      <c r="AJ78" s="425"/>
      <c r="AK78" s="364"/>
      <c r="AL78" s="370"/>
      <c r="AM78" s="459"/>
      <c r="AN78" s="376"/>
      <c r="AO78" s="353"/>
      <c r="AP78" s="353"/>
      <c r="AQ78" s="183" t="str">
        <f>IF(AP77&lt;&gt;" ",MAX($AQ$9:AQ77)+AP77," ")</f>
        <v xml:space="preserve"> </v>
      </c>
      <c r="AR78" s="22" t="str">
        <f>IF(AP77&lt;&gt;" ",MAX($AR$9:AR77)+$AJ$29*AP77," ")</f>
        <v xml:space="preserve"> </v>
      </c>
      <c r="AS78" s="86" t="str">
        <f t="shared" si="232"/>
        <v xml:space="preserve"> </v>
      </c>
      <c r="AT78" s="264" t="str" cm="1">
        <f t="array" ref="AT78">IF(AS78&lt;&gt;" ",Interpol(31,8,Служебный!$H$54:$H$84,Служебный!$I$53:$P$53,Служебный!$I$54:$P$84,'Осадка поля'!$AS78,'Осадка поля'!$B$6)," ")</f>
        <v xml:space="preserve"> </v>
      </c>
      <c r="AU78" s="22" t="str">
        <f t="shared" si="225"/>
        <v xml:space="preserve"> </v>
      </c>
      <c r="AV78" s="22" t="str">
        <f>IF(AP77&lt;&gt;" ",AR78*0.5," ")</f>
        <v xml:space="preserve"> </v>
      </c>
      <c r="AW78" s="353"/>
      <c r="AX78" s="353"/>
      <c r="AY78" s="444"/>
      <c r="AZ78" s="444"/>
      <c r="BA78" s="445"/>
      <c r="BB78" s="444"/>
      <c r="BC78" s="353"/>
      <c r="BD78" s="444"/>
      <c r="BE78" s="353"/>
      <c r="BF78" s="232"/>
      <c r="BH78" s="418"/>
      <c r="BI78" s="419"/>
      <c r="BJ78" s="202"/>
      <c r="BK78" s="419"/>
      <c r="BL78" s="213"/>
    </row>
    <row r="79" spans="33:64">
      <c r="AG79" s="370"/>
      <c r="AH79" s="370"/>
      <c r="AI79" s="364"/>
      <c r="AJ79" s="425"/>
      <c r="AK79" s="364"/>
      <c r="AL79" s="370"/>
      <c r="AM79" s="459"/>
      <c r="AN79" s="376"/>
      <c r="AO79" s="353" t="str">
        <f>IF(AO77=" "," ", IF(AO77&lt;SUM(AN$9:AN$88),AO77+1, " "))</f>
        <v xml:space="preserve"> </v>
      </c>
      <c r="AP79" s="353" t="str">
        <f>IF(AO79&lt;&gt;" ",AM$69/COUNT(AO$69:AO$88), " ")</f>
        <v xml:space="preserve"> </v>
      </c>
      <c r="AQ79" s="183" t="str">
        <f>IF(AP79&lt;&gt;" ",SUM($AP$9:AP77)," ")</f>
        <v xml:space="preserve"> </v>
      </c>
      <c r="AR79" s="22" t="str">
        <f>IF(AP79&lt;&gt;" ",MAX($AR$9:AR78)," ")</f>
        <v xml:space="preserve"> </v>
      </c>
      <c r="AS79" s="86" t="str">
        <f t="shared" si="232"/>
        <v xml:space="preserve"> </v>
      </c>
      <c r="AT79" s="264" t="str" cm="1">
        <f t="array" ref="AT79">IF(AS79&lt;&gt;" ",Interpol(31,8,Служебный!$H$54:$H$84,Служебный!$I$53:$P$53,Служебный!$I$54:$P$84,'Осадка поля'!$AS79,'Осадка поля'!$B$6)," ")</f>
        <v xml:space="preserve"> </v>
      </c>
      <c r="AU79" s="22" t="str">
        <f t="shared" si="225"/>
        <v xml:space="preserve"> </v>
      </c>
      <c r="AV79" s="22" t="str">
        <f>IF(AP79&lt;&gt;" ",AR79*0.5," ")</f>
        <v xml:space="preserve"> </v>
      </c>
      <c r="AW79" s="353" t="str">
        <f>IF(AO79&lt;&gt;" ",(AU79+AU80)/2," ")</f>
        <v xml:space="preserve"> </v>
      </c>
      <c r="AX79" s="353"/>
      <c r="AY79" s="445" t="str">
        <f t="shared" ref="AY79" si="245">IF(AP79&lt;&gt;" ",IF(AQ79&gt;$B$15,"Нет","Да")," ")</f>
        <v xml:space="preserve"> </v>
      </c>
      <c r="AZ79" s="441" t="str">
        <f t="shared" ref="AZ79" si="246">IF(AP79&lt;&gt;" ",IF(AW79&gt;0.5*(AV79+AV80),"Да","Нет")," ")</f>
        <v xml:space="preserve"> </v>
      </c>
      <c r="BA79" s="441" t="str">
        <f t="shared" ref="BA79" si="247">IF(AP79&lt;&gt;" ",IF(OR($AX$69&lt;7,$AX$69=7),"Да","Нет")," ")</f>
        <v xml:space="preserve"> </v>
      </c>
      <c r="BB79" s="441" t="str">
        <f t="shared" ref="BB79" si="248">IF(AP79&lt;&gt;" ",IF(AW79&gt;0.2*0.5*(AR79+AR80),"Да","Нет")," ")</f>
        <v xml:space="preserve"> </v>
      </c>
      <c r="BC79" s="353">
        <f t="shared" si="143"/>
        <v>0</v>
      </c>
      <c r="BD79" s="443" t="str">
        <f t="shared" ref="BD79" si="249">IF(AP79&lt;&gt;" ",IF(OR(AU79&lt;AR79,AU79=AR79),0.8*AW79*AP79/(5*$AX$69*10),0.8*AW79*AP79/($AX$69*10))," ")</f>
        <v xml:space="preserve"> </v>
      </c>
      <c r="BE79" s="353">
        <f t="shared" si="113"/>
        <v>0</v>
      </c>
      <c r="BF79" s="232"/>
      <c r="BH79" s="418"/>
      <c r="BI79" s="419"/>
      <c r="BJ79" s="202"/>
      <c r="BK79" s="419"/>
      <c r="BL79" s="213"/>
    </row>
    <row r="80" spans="33:64" ht="15.75" thickBot="1">
      <c r="AG80" s="370"/>
      <c r="AH80" s="370"/>
      <c r="AI80" s="364"/>
      <c r="AJ80" s="425"/>
      <c r="AK80" s="364"/>
      <c r="AL80" s="370"/>
      <c r="AM80" s="459"/>
      <c r="AN80" s="376"/>
      <c r="AO80" s="353"/>
      <c r="AP80" s="353"/>
      <c r="AQ80" s="183" t="str">
        <f>IF(AP79&lt;&gt;" ",MAX($AQ$9:AQ79)+AP79," ")</f>
        <v xml:space="preserve"> </v>
      </c>
      <c r="AR80" s="22" t="str">
        <f>IF(AP79&lt;&gt;" ",MAX($AR$9:AR79)+$AJ$29*AP79," ")</f>
        <v xml:space="preserve"> </v>
      </c>
      <c r="AS80" s="86" t="str">
        <f t="shared" si="232"/>
        <v xml:space="preserve"> </v>
      </c>
      <c r="AT80" s="264" t="str" cm="1">
        <f t="array" ref="AT80">IF(AS80&lt;&gt;" ",Interpol(31,8,Служебный!$H$54:$H$84,Служебный!$I$53:$P$53,Служебный!$I$54:$P$84,'Осадка поля'!$AS80,'Осадка поля'!$B$6)," ")</f>
        <v xml:space="preserve"> </v>
      </c>
      <c r="AU80" s="22" t="str">
        <f t="shared" si="225"/>
        <v xml:space="preserve"> </v>
      </c>
      <c r="AV80" s="22" t="str">
        <f>IF(AP79&lt;&gt;" ",AR80*0.5," ")</f>
        <v xml:space="preserve"> </v>
      </c>
      <c r="AW80" s="353"/>
      <c r="AX80" s="353"/>
      <c r="AY80" s="444"/>
      <c r="AZ80" s="444"/>
      <c r="BA80" s="445"/>
      <c r="BB80" s="444"/>
      <c r="BC80" s="353"/>
      <c r="BD80" s="444"/>
      <c r="BE80" s="353"/>
      <c r="BF80" s="232"/>
      <c r="BH80" s="418"/>
      <c r="BI80" s="419"/>
      <c r="BJ80" s="202"/>
      <c r="BK80" s="419"/>
      <c r="BL80" s="213"/>
    </row>
    <row r="81" spans="33:64">
      <c r="AG81" s="370"/>
      <c r="AH81" s="370"/>
      <c r="AI81" s="364"/>
      <c r="AJ81" s="425"/>
      <c r="AK81" s="364"/>
      <c r="AL81" s="370"/>
      <c r="AM81" s="459"/>
      <c r="AN81" s="376"/>
      <c r="AO81" s="353" t="str">
        <f>IF(AO79=" "," ", IF(AO79&lt;SUM(AN$9:AN$88),AO79+1, " "))</f>
        <v xml:space="preserve"> </v>
      </c>
      <c r="AP81" s="353" t="str">
        <f>IF(AO81&lt;&gt;" ",AM$69/COUNT(AO$69:AO$88), " ")</f>
        <v xml:space="preserve"> </v>
      </c>
      <c r="AQ81" s="183" t="str">
        <f>IF(AP81&lt;&gt;" ",SUM($AP$9:AP79)," ")</f>
        <v xml:space="preserve"> </v>
      </c>
      <c r="AR81" s="22" t="str">
        <f>IF(AP81&lt;&gt;" ",MAX($AR$9:AR80)," ")</f>
        <v xml:space="preserve"> </v>
      </c>
      <c r="AS81" s="86" t="str">
        <f t="shared" si="232"/>
        <v xml:space="preserve"> </v>
      </c>
      <c r="AT81" s="264" t="str" cm="1">
        <f t="array" ref="AT81">IF(AS81&lt;&gt;" ",Interpol(31,8,Служебный!$H$54:$H$84,Служебный!$I$53:$P$53,Служебный!$I$54:$P$84,'Осадка поля'!$AS81,'Осадка поля'!$B$6)," ")</f>
        <v xml:space="preserve"> </v>
      </c>
      <c r="AU81" s="22" t="str">
        <f t="shared" si="225"/>
        <v xml:space="preserve"> </v>
      </c>
      <c r="AV81" s="22" t="str">
        <f>IF(AP81&lt;&gt;" ",AR81*0.5," ")</f>
        <v xml:space="preserve"> </v>
      </c>
      <c r="AW81" s="353" t="str">
        <f>IF(AO81&lt;&gt;" ",(AU81+AU82)/2," ")</f>
        <v xml:space="preserve"> </v>
      </c>
      <c r="AX81" s="353"/>
      <c r="AY81" s="445" t="str">
        <f t="shared" ref="AY81" si="250">IF(AP81&lt;&gt;" ",IF(AQ81&gt;$B$15,"Нет","Да")," ")</f>
        <v xml:space="preserve"> </v>
      </c>
      <c r="AZ81" s="441" t="str">
        <f t="shared" ref="AZ81" si="251">IF(AP81&lt;&gt;" ",IF(AW81&gt;0.5*(AV81+AV82),"Да","Нет")," ")</f>
        <v xml:space="preserve"> </v>
      </c>
      <c r="BA81" s="441" t="str">
        <f t="shared" ref="BA81" si="252">IF(AP81&lt;&gt;" ",IF(OR($AX$69&lt;7,$AX$69=7),"Да","Нет")," ")</f>
        <v xml:space="preserve"> </v>
      </c>
      <c r="BB81" s="441" t="str">
        <f t="shared" ref="BB81" si="253">IF(AP81&lt;&gt;" ",IF(AW81&gt;0.2*0.5*(AR81+AR82),"Да","Нет")," ")</f>
        <v xml:space="preserve"> </v>
      </c>
      <c r="BC81" s="353">
        <f t="shared" si="150"/>
        <v>0</v>
      </c>
      <c r="BD81" s="443" t="str">
        <f t="shared" ref="BD81" si="254">IF(AP81&lt;&gt;" ",IF(OR(AU81&lt;AR81,AU81=AR81),0.8*AW81*AP81/(5*$AX$69*10),0.8*AW81*AP81/($AX$69*10))," ")</f>
        <v xml:space="preserve"> </v>
      </c>
      <c r="BE81" s="353">
        <f t="shared" si="120"/>
        <v>0</v>
      </c>
      <c r="BF81" s="232"/>
      <c r="BH81" s="418"/>
      <c r="BI81" s="419"/>
      <c r="BJ81" s="202"/>
      <c r="BK81" s="419"/>
      <c r="BL81" s="213"/>
    </row>
    <row r="82" spans="33:64" ht="15.75" thickBot="1">
      <c r="AG82" s="370"/>
      <c r="AH82" s="370"/>
      <c r="AI82" s="364"/>
      <c r="AJ82" s="425"/>
      <c r="AK82" s="364"/>
      <c r="AL82" s="370"/>
      <c r="AM82" s="459"/>
      <c r="AN82" s="376"/>
      <c r="AO82" s="353"/>
      <c r="AP82" s="353"/>
      <c r="AQ82" s="183" t="str">
        <f>IF(AP81&lt;&gt;" ",MAX($AQ$9:AQ81)+AP81," ")</f>
        <v xml:space="preserve"> </v>
      </c>
      <c r="AR82" s="22" t="str">
        <f>IF(AP81&lt;&gt;" ",MAX($AR$9:AR81)+$AJ$29*AP81," ")</f>
        <v xml:space="preserve"> </v>
      </c>
      <c r="AS82" s="86" t="str">
        <f t="shared" si="232"/>
        <v xml:space="preserve"> </v>
      </c>
      <c r="AT82" s="264" t="str" cm="1">
        <f t="array" ref="AT82">IF(AS82&lt;&gt;" ",Interpol(31,8,Служебный!$H$54:$H$84,Служебный!$I$53:$P$53,Служебный!$I$54:$P$84,'Осадка поля'!$AS82,'Осадка поля'!$B$6)," ")</f>
        <v xml:space="preserve"> </v>
      </c>
      <c r="AU82" s="22" t="str">
        <f t="shared" si="225"/>
        <v xml:space="preserve"> </v>
      </c>
      <c r="AV82" s="22" t="str">
        <f>IF(AP81&lt;&gt;" ",AR82*0.5," ")</f>
        <v xml:space="preserve"> </v>
      </c>
      <c r="AW82" s="353"/>
      <c r="AX82" s="353"/>
      <c r="AY82" s="444"/>
      <c r="AZ82" s="444"/>
      <c r="BA82" s="445"/>
      <c r="BB82" s="444"/>
      <c r="BC82" s="353"/>
      <c r="BD82" s="444"/>
      <c r="BE82" s="353"/>
      <c r="BF82" s="232"/>
      <c r="BH82" s="418"/>
      <c r="BI82" s="419"/>
      <c r="BJ82" s="202"/>
      <c r="BK82" s="419"/>
      <c r="BL82" s="213"/>
    </row>
    <row r="83" spans="33:64">
      <c r="AG83" s="370"/>
      <c r="AH83" s="370"/>
      <c r="AI83" s="364"/>
      <c r="AJ83" s="425"/>
      <c r="AK83" s="364"/>
      <c r="AL83" s="370"/>
      <c r="AM83" s="459"/>
      <c r="AN83" s="376"/>
      <c r="AO83" s="353" t="str">
        <f>IF(AO81=" "," ", IF(AO81&lt;SUM(AN$9:AN$88),AO81+1, " "))</f>
        <v xml:space="preserve"> </v>
      </c>
      <c r="AP83" s="353" t="str">
        <f>IF(AO83&lt;&gt;" ",AM$69/COUNT(AO$69:AO$88), " ")</f>
        <v xml:space="preserve"> </v>
      </c>
      <c r="AQ83" s="183" t="str">
        <f>IF(AP83&lt;&gt;" ",SUM($AP$9:AP81)," ")</f>
        <v xml:space="preserve"> </v>
      </c>
      <c r="AR83" s="22" t="str">
        <f>IF(AP83&lt;&gt;" ",MAX($AR$9:AR82)," ")</f>
        <v xml:space="preserve"> </v>
      </c>
      <c r="AS83" s="86" t="str">
        <f t="shared" si="232"/>
        <v xml:space="preserve"> </v>
      </c>
      <c r="AT83" s="264" t="str" cm="1">
        <f t="array" ref="AT83">IF(AS83&lt;&gt;" ",Interpol(31,8,Служебный!$H$54:$H$84,Служебный!$I$53:$P$53,Служебный!$I$54:$P$84,'Осадка поля'!$AS83,'Осадка поля'!$B$6)," ")</f>
        <v xml:space="preserve"> </v>
      </c>
      <c r="AU83" s="22" t="str">
        <f t="shared" si="225"/>
        <v xml:space="preserve"> </v>
      </c>
      <c r="AV83" s="22" t="str">
        <f>IF(AP83&lt;&gt;" ",AR83*0.5," ")</f>
        <v xml:space="preserve"> </v>
      </c>
      <c r="AW83" s="353" t="str">
        <f>IF(AO83&lt;&gt;" ",(AU83+AU84)/2," ")</f>
        <v xml:space="preserve"> </v>
      </c>
      <c r="AX83" s="353"/>
      <c r="AY83" s="445" t="str">
        <f t="shared" ref="AY83" si="255">IF(AP83&lt;&gt;" ",IF(AQ83&gt;$B$15,"Нет","Да")," ")</f>
        <v xml:space="preserve"> </v>
      </c>
      <c r="AZ83" s="441" t="str">
        <f t="shared" ref="AZ83" si="256">IF(AP83&lt;&gt;" ",IF(AW83&gt;0.5*(AV83+AV84),"Да","Нет")," ")</f>
        <v xml:space="preserve"> </v>
      </c>
      <c r="BA83" s="441" t="str">
        <f t="shared" ref="BA83" si="257">IF(AP83&lt;&gt;" ",IF(OR($AX$69&lt;7,$AX$69=7),"Да","Нет")," ")</f>
        <v xml:space="preserve"> </v>
      </c>
      <c r="BB83" s="441" t="str">
        <f t="shared" ref="BB83" si="258">IF(AP83&lt;&gt;" ",IF(AW83&gt;0.2*0.5*(AR83+AR84),"Да","Нет")," ")</f>
        <v xml:space="preserve"> </v>
      </c>
      <c r="BC83" s="353">
        <f t="shared" si="157"/>
        <v>0</v>
      </c>
      <c r="BD83" s="443" t="str">
        <f t="shared" ref="BD83" si="259">IF(AP83&lt;&gt;" ",IF(OR(AU83&lt;AR83,AU83=AR83),0.8*AW83*AP83/(5*$AX$69*10),0.8*AW83*AP83/($AX$69*10))," ")</f>
        <v xml:space="preserve"> </v>
      </c>
      <c r="BE83" s="353">
        <f t="shared" si="127"/>
        <v>0</v>
      </c>
      <c r="BF83" s="232"/>
      <c r="BH83" s="418"/>
      <c r="BI83" s="419"/>
      <c r="BJ83" s="202"/>
      <c r="BK83" s="419"/>
      <c r="BL83" s="213"/>
    </row>
    <row r="84" spans="33:64" ht="15.75" thickBot="1">
      <c r="AG84" s="370"/>
      <c r="AH84" s="370"/>
      <c r="AI84" s="364"/>
      <c r="AJ84" s="425"/>
      <c r="AK84" s="364"/>
      <c r="AL84" s="370"/>
      <c r="AM84" s="459"/>
      <c r="AN84" s="376"/>
      <c r="AO84" s="353"/>
      <c r="AP84" s="353"/>
      <c r="AQ84" s="183" t="str">
        <f>IF(AP83&lt;&gt;" ",MAX($AQ$9:AQ83)+AP83," ")</f>
        <v xml:space="preserve"> </v>
      </c>
      <c r="AR84" s="22" t="str">
        <f>IF(AP83&lt;&gt;" ",MAX($AR$9:AR83)+$AJ$29*AP83," ")</f>
        <v xml:space="preserve"> </v>
      </c>
      <c r="AS84" s="86" t="str">
        <f t="shared" si="232"/>
        <v xml:space="preserve"> </v>
      </c>
      <c r="AT84" s="264" t="str" cm="1">
        <f t="array" ref="AT84">IF(AS84&lt;&gt;" ",Interpol(31,8,Служебный!$H$54:$H$84,Служебный!$I$53:$P$53,Служебный!$I$54:$P$84,'Осадка поля'!$AS84,'Осадка поля'!$B$6)," ")</f>
        <v xml:space="preserve"> </v>
      </c>
      <c r="AU84" s="22" t="str">
        <f t="shared" si="225"/>
        <v xml:space="preserve"> </v>
      </c>
      <c r="AV84" s="22" t="str">
        <f>IF(AP83&lt;&gt;" ",AR84*0.5," ")</f>
        <v xml:space="preserve"> </v>
      </c>
      <c r="AW84" s="353"/>
      <c r="AX84" s="353"/>
      <c r="AY84" s="444"/>
      <c r="AZ84" s="444"/>
      <c r="BA84" s="445"/>
      <c r="BB84" s="444"/>
      <c r="BC84" s="353"/>
      <c r="BD84" s="444"/>
      <c r="BE84" s="353"/>
      <c r="BF84" s="232"/>
      <c r="BH84" s="418"/>
      <c r="BI84" s="419"/>
      <c r="BJ84" s="202"/>
      <c r="BK84" s="419"/>
      <c r="BL84" s="213"/>
    </row>
    <row r="85" spans="33:64">
      <c r="AG85" s="370"/>
      <c r="AH85" s="370"/>
      <c r="AI85" s="364"/>
      <c r="AJ85" s="425"/>
      <c r="AK85" s="364"/>
      <c r="AL85" s="370"/>
      <c r="AM85" s="459"/>
      <c r="AN85" s="376"/>
      <c r="AO85" s="353" t="str">
        <f>IF(AO83=" "," ", IF(AO83&lt;SUM(AN$9:AN$88),AO83+1, " "))</f>
        <v xml:space="preserve"> </v>
      </c>
      <c r="AP85" s="353" t="str">
        <f>IF(AO85&lt;&gt;" ",AM$69/COUNT(AO$69:AO$88), " ")</f>
        <v xml:space="preserve"> </v>
      </c>
      <c r="AQ85" s="183" t="str">
        <f>IF(AP85&lt;&gt;" ",SUM($AP$9:AP83)," ")</f>
        <v xml:space="preserve"> </v>
      </c>
      <c r="AR85" s="22" t="str">
        <f>IF(AP85&lt;&gt;" ",MAX($AR$9:AR84)," ")</f>
        <v xml:space="preserve"> </v>
      </c>
      <c r="AS85" s="86" t="str">
        <f t="shared" si="232"/>
        <v xml:space="preserve"> </v>
      </c>
      <c r="AT85" s="264" t="str" cm="1">
        <f t="array" ref="AT85">IF(AS85&lt;&gt;" ",Interpol(31,8,Служебный!$H$54:$H$84,Служебный!$I$53:$P$53,Служебный!$I$54:$P$84,'Осадка поля'!$AS85,'Осадка поля'!$B$6)," ")</f>
        <v xml:space="preserve"> </v>
      </c>
      <c r="AU85" s="22" t="str">
        <f t="shared" si="225"/>
        <v xml:space="preserve"> </v>
      </c>
      <c r="AV85" s="22" t="str">
        <f>IF(AP85&lt;&gt;" ",AR85*0.5," ")</f>
        <v xml:space="preserve"> </v>
      </c>
      <c r="AW85" s="353" t="str">
        <f>IF(AO85&lt;&gt;" ",(AU85+AU86)/2," ")</f>
        <v xml:space="preserve"> </v>
      </c>
      <c r="AX85" s="353"/>
      <c r="AY85" s="445" t="str">
        <f t="shared" ref="AY85" si="260">IF(AP85&lt;&gt;" ",IF(AQ85&gt;$B$15,"Нет","Да")," ")</f>
        <v xml:space="preserve"> </v>
      </c>
      <c r="AZ85" s="441" t="str">
        <f t="shared" ref="AZ85" si="261">IF(AP85&lt;&gt;" ",IF(AW85&gt;0.5*(AV85+AV86),"Да","Нет")," ")</f>
        <v xml:space="preserve"> </v>
      </c>
      <c r="BA85" s="441" t="str">
        <f t="shared" ref="BA85" si="262">IF(AP85&lt;&gt;" ",IF(OR($AX$69&lt;7,$AX$69=7),"Да","Нет")," ")</f>
        <v xml:space="preserve"> </v>
      </c>
      <c r="BB85" s="441" t="str">
        <f t="shared" ref="BB85" si="263">IF(AP85&lt;&gt;" ",IF(AW85&gt;0.2*0.5*(AR85+AR86),"Да","Нет")," ")</f>
        <v xml:space="preserve"> </v>
      </c>
      <c r="BC85" s="353">
        <f t="shared" si="163"/>
        <v>0</v>
      </c>
      <c r="BD85" s="443" t="str">
        <f t="shared" ref="BD85" si="264">IF(AP85&lt;&gt;" ",IF(OR(AU85&lt;AR85,AU85=AR85),0.8*AW85*AP85/(5*$AX$69*10),0.8*AW85*AP85/($AX$69*10))," ")</f>
        <v xml:space="preserve"> </v>
      </c>
      <c r="BE85" s="353">
        <f t="shared" si="145"/>
        <v>0</v>
      </c>
      <c r="BF85" s="232"/>
      <c r="BH85" s="418"/>
      <c r="BI85" s="419"/>
      <c r="BJ85" s="202"/>
      <c r="BK85" s="419"/>
      <c r="BL85" s="213"/>
    </row>
    <row r="86" spans="33:64" ht="15.75" thickBot="1">
      <c r="AG86" s="370"/>
      <c r="AH86" s="370"/>
      <c r="AI86" s="364"/>
      <c r="AJ86" s="425"/>
      <c r="AK86" s="364"/>
      <c r="AL86" s="370"/>
      <c r="AM86" s="459"/>
      <c r="AN86" s="376"/>
      <c r="AO86" s="353"/>
      <c r="AP86" s="353"/>
      <c r="AQ86" s="183" t="str">
        <f>IF(AP85&lt;&gt;" ",MAX($AQ$9:AQ85)+AP85," ")</f>
        <v xml:space="preserve"> </v>
      </c>
      <c r="AR86" s="22" t="str">
        <f>IF(AP85&lt;&gt;" ",MAX($AR$9:AR85)+$AJ$29*AP85," ")</f>
        <v xml:space="preserve"> </v>
      </c>
      <c r="AS86" s="86" t="str">
        <f t="shared" si="232"/>
        <v xml:space="preserve"> </v>
      </c>
      <c r="AT86" s="264" t="str" cm="1">
        <f t="array" ref="AT86">IF(AS86&lt;&gt;" ",Interpol(31,8,Служебный!$H$54:$H$84,Служебный!$I$53:$P$53,Служебный!$I$54:$P$84,'Осадка поля'!$AS86,'Осадка поля'!$B$6)," ")</f>
        <v xml:space="preserve"> </v>
      </c>
      <c r="AU86" s="22" t="str">
        <f t="shared" si="225"/>
        <v xml:space="preserve"> </v>
      </c>
      <c r="AV86" s="22" t="str">
        <f>IF(AP85&lt;&gt;" ",AR86*0.5," ")</f>
        <v xml:space="preserve"> </v>
      </c>
      <c r="AW86" s="353"/>
      <c r="AX86" s="353"/>
      <c r="AY86" s="444"/>
      <c r="AZ86" s="444"/>
      <c r="BA86" s="445"/>
      <c r="BB86" s="444"/>
      <c r="BC86" s="353"/>
      <c r="BD86" s="444"/>
      <c r="BE86" s="353"/>
      <c r="BF86" s="232"/>
      <c r="BH86" s="418"/>
      <c r="BI86" s="419"/>
      <c r="BJ86" s="202"/>
      <c r="BK86" s="419"/>
      <c r="BL86" s="213"/>
    </row>
    <row r="87" spans="33:64">
      <c r="AG87" s="370"/>
      <c r="AH87" s="370"/>
      <c r="AI87" s="364"/>
      <c r="AJ87" s="425"/>
      <c r="AK87" s="364"/>
      <c r="AL87" s="370"/>
      <c r="AM87" s="459"/>
      <c r="AN87" s="376"/>
      <c r="AO87" s="353" t="str">
        <f>IF(AO85=" "," ", IF(AO85&lt;SUM(AN$9:AN$88),AO85+1, " "))</f>
        <v xml:space="preserve"> </v>
      </c>
      <c r="AP87" s="353" t="str">
        <f>IF(AO87&lt;&gt;" ",AM$69/COUNT(AO$69:AO$88), " ")</f>
        <v xml:space="preserve"> </v>
      </c>
      <c r="AQ87" s="183" t="str">
        <f>IF(AP87&lt;&gt;" ",SUM($AP$9:AP85)," ")</f>
        <v xml:space="preserve"> </v>
      </c>
      <c r="AR87" s="22" t="str">
        <f>IF(AP87&lt;&gt;" ",MAX($AR$9:AR86)," ")</f>
        <v xml:space="preserve"> </v>
      </c>
      <c r="AS87" s="86" t="str">
        <f t="shared" si="232"/>
        <v xml:space="preserve"> </v>
      </c>
      <c r="AT87" s="264" t="str" cm="1">
        <f t="array" ref="AT87">IF(AS87&lt;&gt;" ",Interpol(31,8,Служебный!$H$54:$H$84,Служебный!$I$53:$P$53,Служебный!$I$54:$P$84,'Осадка поля'!$AS87,'Осадка поля'!$B$6)," ")</f>
        <v xml:space="preserve"> </v>
      </c>
      <c r="AU87" s="22" t="str">
        <f t="shared" si="225"/>
        <v xml:space="preserve"> </v>
      </c>
      <c r="AV87" s="22" t="str">
        <f>IF(AP87&lt;&gt;" ",AR87*0.5," ")</f>
        <v xml:space="preserve"> </v>
      </c>
      <c r="AW87" s="353" t="str">
        <f>IF(AO87&lt;&gt;" ",(AU87+AU88)/2," ")</f>
        <v xml:space="preserve"> </v>
      </c>
      <c r="AX87" s="353"/>
      <c r="AY87" s="445" t="str">
        <f t="shared" ref="AY87" si="265">IF(AP87&lt;&gt;" ",IF(AQ87&gt;$B$15,"Нет","Да")," ")</f>
        <v xml:space="preserve"> </v>
      </c>
      <c r="AZ87" s="441" t="str">
        <f t="shared" ref="AZ87" si="266">IF(AP87&lt;&gt;" ",IF(AW87&gt;0.5*(AV87+AV88),"Да","Нет")," ")</f>
        <v xml:space="preserve"> </v>
      </c>
      <c r="BA87" s="441" t="str">
        <f t="shared" ref="BA87" si="267">IF(AP87&lt;&gt;" ",IF(OR($AX$69&lt;7,$AX$69=7),"Да","Нет")," ")</f>
        <v xml:space="preserve"> </v>
      </c>
      <c r="BB87" s="441" t="str">
        <f t="shared" ref="BB87" si="268">IF(AP87&lt;&gt;" ",IF(AW87&gt;0.2*0.5*(AR87+AR88),"Да","Нет")," ")</f>
        <v xml:space="preserve"> </v>
      </c>
      <c r="BC87" s="353">
        <f t="shared" si="169"/>
        <v>0</v>
      </c>
      <c r="BD87" s="443" t="str">
        <f t="shared" ref="BD87" si="269">IF(AP87&lt;&gt;" ",IF(OR(AU87&lt;AR87,AU87=AR87),0.8*AW87*AP87/(5*$AX$69*10),0.8*AW87*AP87/($AX$69*10))," ")</f>
        <v xml:space="preserve"> </v>
      </c>
      <c r="BE87" s="353">
        <f t="shared" si="152"/>
        <v>0</v>
      </c>
      <c r="BF87" s="232"/>
      <c r="BH87" s="418"/>
      <c r="BI87" s="419"/>
      <c r="BJ87" s="202"/>
      <c r="BK87" s="419"/>
      <c r="BL87" s="213"/>
    </row>
    <row r="88" spans="33:64" ht="15.75" thickBot="1">
      <c r="AG88" s="370"/>
      <c r="AH88" s="370"/>
      <c r="AI88" s="364"/>
      <c r="AJ88" s="425"/>
      <c r="AK88" s="364"/>
      <c r="AL88" s="370"/>
      <c r="AM88" s="459"/>
      <c r="AN88" s="376"/>
      <c r="AO88" s="353"/>
      <c r="AP88" s="353"/>
      <c r="AQ88" s="183" t="str">
        <f>IF(AP87&lt;&gt;" ",MAX($AQ$9:AQ87)+AP87," ")</f>
        <v xml:space="preserve"> </v>
      </c>
      <c r="AR88" s="22" t="str">
        <f>IF(AP87&lt;&gt;" ",MAX($AR$9:AR87)+$AJ$29*AP87," ")</f>
        <v xml:space="preserve"> </v>
      </c>
      <c r="AS88" s="86" t="str">
        <f t="shared" si="232"/>
        <v xml:space="preserve"> </v>
      </c>
      <c r="AT88" s="264" t="str" cm="1">
        <f t="array" ref="AT88">IF(AS88&lt;&gt;" ",Interpol(31,8,Служебный!$H$54:$H$84,Служебный!$I$53:$P$53,Служебный!$I$54:$P$84,'Осадка поля'!$AS88,'Осадка поля'!$B$6)," ")</f>
        <v xml:space="preserve"> </v>
      </c>
      <c r="AU88" s="22" t="str">
        <f t="shared" si="225"/>
        <v xml:space="preserve"> </v>
      </c>
      <c r="AV88" s="22" t="str">
        <f>IF(AP87&lt;&gt;" ",AR88*0.5," ")</f>
        <v xml:space="preserve"> </v>
      </c>
      <c r="AW88" s="353"/>
      <c r="AX88" s="353"/>
      <c r="AY88" s="444"/>
      <c r="AZ88" s="444"/>
      <c r="BA88" s="445"/>
      <c r="BB88" s="444"/>
      <c r="BC88" s="353"/>
      <c r="BD88" s="444"/>
      <c r="BE88" s="353"/>
      <c r="BF88" s="232"/>
      <c r="BH88" s="418"/>
      <c r="BI88" s="419"/>
      <c r="BJ88" s="202"/>
      <c r="BK88" s="419"/>
      <c r="BL88" s="213"/>
    </row>
    <row r="89" spans="33:64" ht="15" customHeight="1">
      <c r="AG89" s="370">
        <f t="shared" ref="AG89" si="270">AG69+1</f>
        <v>14</v>
      </c>
      <c r="AH89" s="390">
        <f>IF(AG89&gt;20,0,VLOOKUP(AG89,Скважина!$E$8:$K$27,2,FALSE))</f>
        <v>0</v>
      </c>
      <c r="AI89" s="388">
        <f>IF(OR(AH89=0,AG89&gt;20),0,VLOOKUP(AH89,Геология!$D$7:$BO$993,7,FALSE))</f>
        <v>0</v>
      </c>
      <c r="AJ89" s="425" t="e">
        <f>VLOOKUP(AH89,Геология!$D$7:$BO$993,23,FALSE)</f>
        <v>#N/A</v>
      </c>
      <c r="AK89" s="364">
        <f>IF(AM69&lt;&gt;0,AL69,AK69)</f>
        <v>111.73</v>
      </c>
      <c r="AL89" s="390">
        <f>VLOOKUP(AG89,Скважина!$E$8:$K$27,5,FALSE)</f>
        <v>-5.27</v>
      </c>
      <c r="AM89" s="459">
        <f>IF(IF(AH89&lt;&gt;0,AK89-AL89,0)&lt;0,0,IF(AH89&lt;&gt;0,AK89-AL89,0))</f>
        <v>0</v>
      </c>
      <c r="AN89" s="376"/>
      <c r="AO89" s="353" t="str">
        <f>IF(AN89&lt;&gt;0,MAX(AO$9:AO$88)+1," ")</f>
        <v xml:space="preserve"> </v>
      </c>
      <c r="AP89" s="353" t="str">
        <f>IF(AO89&lt;&gt;" ",AM$89/COUNT(AO$89:AO$108), " ")</f>
        <v xml:space="preserve"> </v>
      </c>
      <c r="AQ89" s="183" t="str">
        <f>IF(AP89&lt;&gt;" ",SUM($AP$9:AP87)," ")</f>
        <v xml:space="preserve"> </v>
      </c>
      <c r="AR89" s="22" t="str">
        <f>IF(AP89&lt;&gt;" ",MAX($AR$9:AR88)," ")</f>
        <v xml:space="preserve"> </v>
      </c>
      <c r="AS89" s="86" t="str">
        <f t="shared" si="232"/>
        <v xml:space="preserve"> </v>
      </c>
      <c r="AT89" s="264" t="str" cm="1">
        <f t="array" ref="AT89">IF(AS89&lt;&gt;" ",Interpol(31,8,Служебный!$H$54:$H$84,Служебный!$I$53:$P$53,Служебный!$I$54:$P$84,'Осадка поля'!$AS89,'Осадка поля'!$B$6)," ")</f>
        <v xml:space="preserve"> </v>
      </c>
      <c r="AU89" s="22" t="str">
        <f t="shared" si="225"/>
        <v xml:space="preserve"> </v>
      </c>
      <c r="AV89" s="22" t="str">
        <f>IF(AP89&lt;&gt;" ",AR89*0.5," ")</f>
        <v xml:space="preserve"> </v>
      </c>
      <c r="AW89" s="353" t="str">
        <f>IF(AO89&lt;&gt;" ",(AU89+AU90)/2," ")</f>
        <v xml:space="preserve"> </v>
      </c>
      <c r="AX89" s="444" t="str">
        <f>IF(AH89&lt;&gt;0,VLOOKUP(AH89,Геология!$D$7:$BO$993,21,FALSE)," ")</f>
        <v xml:space="preserve"> </v>
      </c>
      <c r="AY89" s="445" t="str">
        <f t="shared" ref="AY89" si="271">IF(AP89&lt;&gt;" ",IF(AQ89&gt;$B$15,"Нет","Да")," ")</f>
        <v xml:space="preserve"> </v>
      </c>
      <c r="AZ89" s="441" t="str">
        <f t="shared" ref="AZ89" si="272">IF(AP89&lt;&gt;" ",IF(AW89&gt;0.5*(AV89+AV90),"Да","Нет")," ")</f>
        <v xml:space="preserve"> </v>
      </c>
      <c r="BA89" s="441" t="str">
        <f>IF(AP89&lt;&gt;" ",IF(OR($AX$89&lt;7,$AX$89=7),"Да","Нет")," ")</f>
        <v xml:space="preserve"> </v>
      </c>
      <c r="BB89" s="441" t="str">
        <f t="shared" ref="BB89" si="273">IF(AP89&lt;&gt;" ",IF(AW89&gt;0.2*0.5*(AR89+AR90),"Да","Нет")," ")</f>
        <v xml:space="preserve"> </v>
      </c>
      <c r="BC89" s="353">
        <f t="shared" si="175"/>
        <v>0</v>
      </c>
      <c r="BD89" s="443" t="str">
        <f>IF(AP89&lt;&gt;" ",IF(OR(AU89&lt;AR89,AU89=AR89),0.8*AW89*AP89/(5*$AX$89*10),0.8*AW89*AP89/($AX$89*10))," ")</f>
        <v xml:space="preserve"> </v>
      </c>
      <c r="BE89" s="353">
        <f t="shared" ref="BE89" si="274">IF(AP89&lt;&gt;" ",IF(AND(AY89="Нет",AZ89="Нет",BA89="Нет"),0,IF(AY89="Да",BD89,IF(AZ89="Да",BD89,IF(BA89="Да",BD89)))),0)</f>
        <v>0</v>
      </c>
      <c r="BF89" s="232"/>
      <c r="BH89" s="448" t="str">
        <f>IF(AH89&lt;&gt;0,VLOOKUP(AH89,Геология!$D$7:$BO$993,24,FALSE)," ")</f>
        <v xml:space="preserve"> </v>
      </c>
      <c r="BI89" s="449" t="str">
        <f>IF(BH89&lt;&gt;" ",BH89*AM89," ")</f>
        <v xml:space="preserve"> </v>
      </c>
      <c r="BJ89" s="202"/>
      <c r="BK89" s="456" t="str">
        <f>IF(AM89&lt;&gt;0,AX89*AM89," ")</f>
        <v xml:space="preserve"> </v>
      </c>
      <c r="BL89" s="213"/>
    </row>
    <row r="90" spans="33:64" ht="15.75" thickBot="1">
      <c r="AG90" s="370"/>
      <c r="AH90" s="370"/>
      <c r="AI90" s="364"/>
      <c r="AJ90" s="425"/>
      <c r="AK90" s="364"/>
      <c r="AL90" s="370"/>
      <c r="AM90" s="459"/>
      <c r="AN90" s="376"/>
      <c r="AO90" s="353"/>
      <c r="AP90" s="353"/>
      <c r="AQ90" s="183" t="str">
        <f>IF(AP89&lt;&gt;" ",MAX($AQ$9:AQ89)+AP89," ")</f>
        <v xml:space="preserve"> </v>
      </c>
      <c r="AR90" s="22" t="str">
        <f>IF(AP89&lt;&gt;" ",MAX($AR$9:AR89)+$AJ$29*AP89," ")</f>
        <v xml:space="preserve"> </v>
      </c>
      <c r="AS90" s="86" t="str">
        <f t="shared" si="232"/>
        <v xml:space="preserve"> </v>
      </c>
      <c r="AT90" s="264" t="str" cm="1">
        <f t="array" ref="AT90">IF(AS90&lt;&gt;" ",Interpol(31,8,Служебный!$H$54:$H$84,Служебный!$I$53:$P$53,Служебный!$I$54:$P$84,'Осадка поля'!$AS90,'Осадка поля'!$B$6)," ")</f>
        <v xml:space="preserve"> </v>
      </c>
      <c r="AU90" s="22" t="str">
        <f t="shared" si="225"/>
        <v xml:space="preserve"> </v>
      </c>
      <c r="AV90" s="22" t="str">
        <f>IF(AP89&lt;&gt;" ",AR90*0.5," ")</f>
        <v xml:space="preserve"> </v>
      </c>
      <c r="AW90" s="353"/>
      <c r="AX90" s="353"/>
      <c r="AY90" s="444"/>
      <c r="AZ90" s="444"/>
      <c r="BA90" s="445"/>
      <c r="BB90" s="444"/>
      <c r="BC90" s="353"/>
      <c r="BD90" s="444"/>
      <c r="BE90" s="353"/>
      <c r="BF90" s="232"/>
      <c r="BH90" s="418"/>
      <c r="BI90" s="419"/>
      <c r="BJ90" s="202"/>
      <c r="BK90" s="419"/>
      <c r="BL90" s="213"/>
    </row>
    <row r="91" spans="33:64">
      <c r="AG91" s="370"/>
      <c r="AH91" s="370"/>
      <c r="AI91" s="364"/>
      <c r="AJ91" s="425"/>
      <c r="AK91" s="364"/>
      <c r="AL91" s="370"/>
      <c r="AM91" s="459"/>
      <c r="AN91" s="376"/>
      <c r="AO91" s="353" t="str">
        <f>IF(AO89=" "," ", IF(AO89&lt;SUM(AN$9:AN$108),AO89+1, " "))</f>
        <v xml:space="preserve"> </v>
      </c>
      <c r="AP91" s="353" t="str">
        <f>IF(AO91&lt;&gt;" ",AM$89/COUNT(AO$89:AO$108), " ")</f>
        <v xml:space="preserve"> </v>
      </c>
      <c r="AQ91" s="183" t="str">
        <f>IF(AP91&lt;&gt;" ",SUM($AP$9:AP89)," ")</f>
        <v xml:space="preserve"> </v>
      </c>
      <c r="AR91" s="22" t="str">
        <f>IF(AP91&lt;&gt;" ",MAX($AR$9:AR90)," ")</f>
        <v xml:space="preserve"> </v>
      </c>
      <c r="AS91" s="86" t="str">
        <f t="shared" si="232"/>
        <v xml:space="preserve"> </v>
      </c>
      <c r="AT91" s="264" t="str" cm="1">
        <f t="array" ref="AT91">IF(AS91&lt;&gt;" ",Interpol(31,8,Служебный!$H$54:$H$84,Служебный!$I$53:$P$53,Служебный!$I$54:$P$84,'Осадка поля'!$AS91,'Осадка поля'!$B$6)," ")</f>
        <v xml:space="preserve"> </v>
      </c>
      <c r="AU91" s="22" t="str">
        <f t="shared" si="225"/>
        <v xml:space="preserve"> </v>
      </c>
      <c r="AV91" s="22" t="str">
        <f>IF(AP91&lt;&gt;" ",AR91*0.5," ")</f>
        <v xml:space="preserve"> </v>
      </c>
      <c r="AW91" s="353" t="str">
        <f>IF(AO91&lt;&gt;" ",(AU91+AU92)/2," ")</f>
        <v xml:space="preserve"> </v>
      </c>
      <c r="AX91" s="353"/>
      <c r="AY91" s="445" t="str">
        <f t="shared" ref="AY91" si="275">IF(AP91&lt;&gt;" ",IF(AQ91&gt;$B$15,"Нет","Да")," ")</f>
        <v xml:space="preserve"> </v>
      </c>
      <c r="AZ91" s="441" t="str">
        <f t="shared" ref="AZ91" si="276">IF(AP91&lt;&gt;" ",IF(AW91&gt;0.5*(AV91+AV92),"Да","Нет")," ")</f>
        <v xml:space="preserve"> </v>
      </c>
      <c r="BA91" s="441" t="str">
        <f t="shared" ref="BA91" si="277">IF(AP91&lt;&gt;" ",IF(OR($AX$89&lt;7,$AX$89=7),"Да","Нет")," ")</f>
        <v xml:space="preserve"> </v>
      </c>
      <c r="BB91" s="441" t="str">
        <f t="shared" ref="BB91" si="278">IF(AP91&lt;&gt;" ",IF(AW91&gt;0.2*0.5*(AR91+AR92),"Да","Нет")," ")</f>
        <v xml:space="preserve"> </v>
      </c>
      <c r="BC91" s="353">
        <f t="shared" si="181"/>
        <v>0</v>
      </c>
      <c r="BD91" s="443" t="str">
        <f t="shared" ref="BD91" si="279">IF(AP91&lt;&gt;" ",IF(OR(AU91&lt;AR91,AU91=AR91),0.8*AW91*AP91/(5*$AX$89*10),0.8*AW91*AP91/($AX$89*10))," ")</f>
        <v xml:space="preserve"> </v>
      </c>
      <c r="BE91" s="353">
        <f t="shared" si="85"/>
        <v>0</v>
      </c>
      <c r="BF91" s="232"/>
      <c r="BH91" s="418"/>
      <c r="BI91" s="419"/>
      <c r="BJ91" s="202"/>
      <c r="BK91" s="419"/>
      <c r="BL91" s="213"/>
    </row>
    <row r="92" spans="33:64" ht="15.75" thickBot="1">
      <c r="AG92" s="370"/>
      <c r="AH92" s="370"/>
      <c r="AI92" s="364"/>
      <c r="AJ92" s="425"/>
      <c r="AK92" s="364"/>
      <c r="AL92" s="370"/>
      <c r="AM92" s="459"/>
      <c r="AN92" s="376"/>
      <c r="AO92" s="353"/>
      <c r="AP92" s="353"/>
      <c r="AQ92" s="183" t="str">
        <f>IF(AP91&lt;&gt;" ",MAX($AQ$9:AQ91)+AP91," ")</f>
        <v xml:space="preserve"> </v>
      </c>
      <c r="AR92" s="22" t="str">
        <f>IF(AP91&lt;&gt;" ",MAX($AR$9:AR91)+$AJ$29*AP91," ")</f>
        <v xml:space="preserve"> </v>
      </c>
      <c r="AS92" s="86" t="str">
        <f t="shared" si="232"/>
        <v xml:space="preserve"> </v>
      </c>
      <c r="AT92" s="264" t="str" cm="1">
        <f t="array" ref="AT92">IF(AS92&lt;&gt;" ",Interpol(31,8,Служебный!$H$54:$H$84,Служебный!$I$53:$P$53,Служебный!$I$54:$P$84,'Осадка поля'!$AS92,'Осадка поля'!$B$6)," ")</f>
        <v xml:space="preserve"> </v>
      </c>
      <c r="AU92" s="22" t="str">
        <f t="shared" si="225"/>
        <v xml:space="preserve"> </v>
      </c>
      <c r="AV92" s="22" t="str">
        <f>IF(AP91&lt;&gt;" ",AR92*0.5," ")</f>
        <v xml:space="preserve"> </v>
      </c>
      <c r="AW92" s="353"/>
      <c r="AX92" s="353"/>
      <c r="AY92" s="444"/>
      <c r="AZ92" s="444"/>
      <c r="BA92" s="445"/>
      <c r="BB92" s="444"/>
      <c r="BC92" s="353"/>
      <c r="BD92" s="444"/>
      <c r="BE92" s="353"/>
      <c r="BF92" s="232"/>
      <c r="BH92" s="418"/>
      <c r="BI92" s="419"/>
      <c r="BJ92" s="202"/>
      <c r="BK92" s="419"/>
      <c r="BL92" s="213"/>
    </row>
    <row r="93" spans="33:64">
      <c r="AG93" s="370"/>
      <c r="AH93" s="370"/>
      <c r="AI93" s="364"/>
      <c r="AJ93" s="425"/>
      <c r="AK93" s="364"/>
      <c r="AL93" s="370"/>
      <c r="AM93" s="459"/>
      <c r="AN93" s="376"/>
      <c r="AO93" s="353" t="str">
        <f>IF(AO91=" "," ", IF(AO91&lt;SUM(AN$9:AN$108),AO91+1, " "))</f>
        <v xml:space="preserve"> </v>
      </c>
      <c r="AP93" s="353" t="str">
        <f>IF(AO93&lt;&gt;" ",AM$89/COUNT(AO$89:AO$108), " ")</f>
        <v xml:space="preserve"> </v>
      </c>
      <c r="AQ93" s="183" t="str">
        <f>IF(AP93&lt;&gt;" ",SUM($AP$9:AP91)," ")</f>
        <v xml:space="preserve"> </v>
      </c>
      <c r="AR93" s="22" t="str">
        <f>IF(AP93&lt;&gt;" ",MAX($AR$9:AR92)," ")</f>
        <v xml:space="preserve"> </v>
      </c>
      <c r="AS93" s="86" t="str">
        <f t="shared" si="232"/>
        <v xml:space="preserve"> </v>
      </c>
      <c r="AT93" s="264" t="str" cm="1">
        <f t="array" ref="AT93">IF(AS93&lt;&gt;" ",Interpol(31,8,Служебный!$H$54:$H$84,Служебный!$I$53:$P$53,Служебный!$I$54:$P$84,'Осадка поля'!$AS93,'Осадка поля'!$B$6)," ")</f>
        <v xml:space="preserve"> </v>
      </c>
      <c r="AU93" s="22" t="str">
        <f t="shared" si="225"/>
        <v xml:space="preserve"> </v>
      </c>
      <c r="AV93" s="22" t="str">
        <f>IF(AP93&lt;&gt;" ",AR93*0.5," ")</f>
        <v xml:space="preserve"> </v>
      </c>
      <c r="AW93" s="353" t="str">
        <f>IF(AO93&lt;&gt;" ",(AU93+AU94)/2," ")</f>
        <v xml:space="preserve"> </v>
      </c>
      <c r="AX93" s="353"/>
      <c r="AY93" s="445" t="str">
        <f t="shared" ref="AY93" si="280">IF(AP93&lt;&gt;" ",IF(AQ93&gt;$B$15,"Нет","Да")," ")</f>
        <v xml:space="preserve"> </v>
      </c>
      <c r="AZ93" s="441" t="str">
        <f t="shared" ref="AZ93" si="281">IF(AP93&lt;&gt;" ",IF(AW93&gt;0.5*(AV93+AV94),"Да","Нет")," ")</f>
        <v xml:space="preserve"> </v>
      </c>
      <c r="BA93" s="441" t="str">
        <f t="shared" ref="BA93" si="282">IF(AP93&lt;&gt;" ",IF(OR($AX$89&lt;7,$AX$89=7),"Да","Нет")," ")</f>
        <v xml:space="preserve"> </v>
      </c>
      <c r="BB93" s="441" t="str">
        <f t="shared" ref="BB93" si="283">IF(AP93&lt;&gt;" ",IF(AW93&gt;0.2*0.5*(AR93+AR94),"Да","Нет")," ")</f>
        <v xml:space="preserve"> </v>
      </c>
      <c r="BC93" s="353">
        <f t="shared" si="187"/>
        <v>0</v>
      </c>
      <c r="BD93" s="443" t="str">
        <f t="shared" ref="BD93" si="284">IF(AP93&lt;&gt;" ",IF(OR(AU93&lt;AR93,AU93=AR93),0.8*AW93*AP93/(5*$AX$89*10),0.8*AW93*AP93/($AX$89*10))," ")</f>
        <v xml:space="preserve"> </v>
      </c>
      <c r="BE93" s="353">
        <f t="shared" si="92"/>
        <v>0</v>
      </c>
      <c r="BF93" s="232"/>
      <c r="BH93" s="418"/>
      <c r="BI93" s="419"/>
      <c r="BJ93" s="202"/>
      <c r="BK93" s="419"/>
      <c r="BL93" s="213"/>
    </row>
    <row r="94" spans="33:64" ht="15.75" thickBot="1">
      <c r="AG94" s="370"/>
      <c r="AH94" s="370"/>
      <c r="AI94" s="364"/>
      <c r="AJ94" s="425"/>
      <c r="AK94" s="364"/>
      <c r="AL94" s="370"/>
      <c r="AM94" s="459"/>
      <c r="AN94" s="376"/>
      <c r="AO94" s="353"/>
      <c r="AP94" s="353"/>
      <c r="AQ94" s="183" t="str">
        <f>IF(AP93&lt;&gt;" ",MAX($AQ$9:AQ93)+AP93," ")</f>
        <v xml:space="preserve"> </v>
      </c>
      <c r="AR94" s="22" t="str">
        <f>IF(AP93&lt;&gt;" ",MAX($AR$9:AR93)+$AJ$29*AP93," ")</f>
        <v xml:space="preserve"> </v>
      </c>
      <c r="AS94" s="86" t="str">
        <f t="shared" si="232"/>
        <v xml:space="preserve"> </v>
      </c>
      <c r="AT94" s="264" t="str" cm="1">
        <f t="array" ref="AT94">IF(AS94&lt;&gt;" ",Interpol(31,8,Служебный!$H$54:$H$84,Служебный!$I$53:$P$53,Служебный!$I$54:$P$84,'Осадка поля'!$AS94,'Осадка поля'!$B$6)," ")</f>
        <v xml:space="preserve"> </v>
      </c>
      <c r="AU94" s="22" t="str">
        <f t="shared" si="225"/>
        <v xml:space="preserve"> </v>
      </c>
      <c r="AV94" s="22" t="str">
        <f>IF(AP93&lt;&gt;" ",AR94*0.5," ")</f>
        <v xml:space="preserve"> </v>
      </c>
      <c r="AW94" s="353"/>
      <c r="AX94" s="353"/>
      <c r="AY94" s="444"/>
      <c r="AZ94" s="444"/>
      <c r="BA94" s="445"/>
      <c r="BB94" s="444"/>
      <c r="BC94" s="353"/>
      <c r="BD94" s="444"/>
      <c r="BE94" s="353"/>
      <c r="BF94" s="232"/>
      <c r="BH94" s="418"/>
      <c r="BI94" s="419"/>
      <c r="BJ94" s="202"/>
      <c r="BK94" s="419"/>
      <c r="BL94" s="213"/>
    </row>
    <row r="95" spans="33:64">
      <c r="AG95" s="370"/>
      <c r="AH95" s="370"/>
      <c r="AI95" s="364"/>
      <c r="AJ95" s="425"/>
      <c r="AK95" s="364"/>
      <c r="AL95" s="370"/>
      <c r="AM95" s="459"/>
      <c r="AN95" s="376"/>
      <c r="AO95" s="353" t="str">
        <f>IF(AO93=" "," ", IF(AO93&lt;SUM(AN$9:AN$108),AO93+1, " "))</f>
        <v xml:space="preserve"> </v>
      </c>
      <c r="AP95" s="353" t="str">
        <f>IF(AO95&lt;&gt;" ",AM$89/COUNT(AO$89:AO$108), " ")</f>
        <v xml:space="preserve"> </v>
      </c>
      <c r="AQ95" s="183" t="str">
        <f>IF(AP95&lt;&gt;" ",SUM($AP$9:AP93)," ")</f>
        <v xml:space="preserve"> </v>
      </c>
      <c r="AR95" s="22" t="str">
        <f>IF(AP95&lt;&gt;" ",MAX($AR$9:AR94)," ")</f>
        <v xml:space="preserve"> </v>
      </c>
      <c r="AS95" s="86" t="str">
        <f t="shared" si="232"/>
        <v xml:space="preserve"> </v>
      </c>
      <c r="AT95" s="264" t="str" cm="1">
        <f t="array" ref="AT95">IF(AS95&lt;&gt;" ",Interpol(31,8,Служебный!$H$54:$H$84,Служебный!$I$53:$P$53,Служебный!$I$54:$P$84,'Осадка поля'!$AS95,'Осадка поля'!$B$6)," ")</f>
        <v xml:space="preserve"> </v>
      </c>
      <c r="AU95" s="22" t="str">
        <f t="shared" si="225"/>
        <v xml:space="preserve"> </v>
      </c>
      <c r="AV95" s="22" t="str">
        <f>IF(AP95&lt;&gt;" ",AR95*0.5," ")</f>
        <v xml:space="preserve"> </v>
      </c>
      <c r="AW95" s="353" t="str">
        <f>IF(AO95&lt;&gt;" ",(AU95+AU96)/2," ")</f>
        <v xml:space="preserve"> </v>
      </c>
      <c r="AX95" s="353"/>
      <c r="AY95" s="445" t="str">
        <f t="shared" ref="AY95" si="285">IF(AP95&lt;&gt;" ",IF(AQ95&gt;$B$15,"Нет","Да")," ")</f>
        <v xml:space="preserve"> </v>
      </c>
      <c r="AZ95" s="441" t="str">
        <f t="shared" ref="AZ95" si="286">IF(AP95&lt;&gt;" ",IF(AW95&gt;0.5*(AV95+AV96),"Да","Нет")," ")</f>
        <v xml:space="preserve"> </v>
      </c>
      <c r="BA95" s="441" t="str">
        <f t="shared" ref="BA95" si="287">IF(AP95&lt;&gt;" ",IF(OR($AX$89&lt;7,$AX$89=7),"Да","Нет")," ")</f>
        <v xml:space="preserve"> </v>
      </c>
      <c r="BB95" s="441" t="str">
        <f t="shared" ref="BB95" si="288">IF(AP95&lt;&gt;" ",IF(AW95&gt;0.2*0.5*(AR95+AR96),"Да","Нет")," ")</f>
        <v xml:space="preserve"> </v>
      </c>
      <c r="BC95" s="353">
        <f t="shared" si="193"/>
        <v>0</v>
      </c>
      <c r="BD95" s="443" t="str">
        <f t="shared" ref="BD95" si="289">IF(AP95&lt;&gt;" ",IF(OR(AU95&lt;AR95,AU95=AR95),0.8*AW95*AP95/(5*$AX$89*10),0.8*AW95*AP95/($AX$89*10))," ")</f>
        <v xml:space="preserve"> </v>
      </c>
      <c r="BE95" s="353">
        <f t="shared" si="99"/>
        <v>0</v>
      </c>
      <c r="BF95" s="232"/>
      <c r="BH95" s="418"/>
      <c r="BI95" s="419"/>
      <c r="BJ95" s="202"/>
      <c r="BK95" s="419"/>
      <c r="BL95" s="213"/>
    </row>
    <row r="96" spans="33:64" ht="15.75" thickBot="1">
      <c r="AG96" s="370"/>
      <c r="AH96" s="370"/>
      <c r="AI96" s="364"/>
      <c r="AJ96" s="425"/>
      <c r="AK96" s="364"/>
      <c r="AL96" s="370"/>
      <c r="AM96" s="459"/>
      <c r="AN96" s="376"/>
      <c r="AO96" s="353"/>
      <c r="AP96" s="353"/>
      <c r="AQ96" s="183" t="str">
        <f>IF(AP95&lt;&gt;" ",MAX($AQ$9:AQ95)+AP95," ")</f>
        <v xml:space="preserve"> </v>
      </c>
      <c r="AR96" s="22" t="str">
        <f>IF(AP95&lt;&gt;" ",MAX($AR$9:AR95)+$AJ$29*AP95," ")</f>
        <v xml:space="preserve"> </v>
      </c>
      <c r="AS96" s="86" t="str">
        <f t="shared" si="232"/>
        <v xml:space="preserve"> </v>
      </c>
      <c r="AT96" s="264" t="str" cm="1">
        <f t="array" ref="AT96">IF(AS96&lt;&gt;" ",Interpol(31,8,Служебный!$H$54:$H$84,Служебный!$I$53:$P$53,Служебный!$I$54:$P$84,'Осадка поля'!$AS96,'Осадка поля'!$B$6)," ")</f>
        <v xml:space="preserve"> </v>
      </c>
      <c r="AU96" s="22" t="str">
        <f t="shared" si="225"/>
        <v xml:space="preserve"> </v>
      </c>
      <c r="AV96" s="22" t="str">
        <f>IF(AP95&lt;&gt;" ",AR96*0.5," ")</f>
        <v xml:space="preserve"> </v>
      </c>
      <c r="AW96" s="353"/>
      <c r="AX96" s="353"/>
      <c r="AY96" s="444"/>
      <c r="AZ96" s="444"/>
      <c r="BA96" s="445"/>
      <c r="BB96" s="444"/>
      <c r="BC96" s="353"/>
      <c r="BD96" s="444"/>
      <c r="BE96" s="353"/>
      <c r="BF96" s="232"/>
      <c r="BH96" s="418"/>
      <c r="BI96" s="419"/>
      <c r="BJ96" s="202"/>
      <c r="BK96" s="419"/>
      <c r="BL96" s="213"/>
    </row>
    <row r="97" spans="33:64">
      <c r="AG97" s="370"/>
      <c r="AH97" s="370"/>
      <c r="AI97" s="364"/>
      <c r="AJ97" s="425"/>
      <c r="AK97" s="364"/>
      <c r="AL97" s="370"/>
      <c r="AM97" s="459"/>
      <c r="AN97" s="376"/>
      <c r="AO97" s="353" t="str">
        <f>IF(AO95=" "," ", IF(AO95&lt;SUM(AN$9:AN$108),AO95+1, " "))</f>
        <v xml:space="preserve"> </v>
      </c>
      <c r="AP97" s="353" t="str">
        <f>IF(AO97&lt;&gt;" ",AM$89/COUNT(AO$89:AO$108), " ")</f>
        <v xml:space="preserve"> </v>
      </c>
      <c r="AQ97" s="183" t="str">
        <f>IF(AP97&lt;&gt;" ",SUM($AP$9:AP95)," ")</f>
        <v xml:space="preserve"> </v>
      </c>
      <c r="AR97" s="22" t="str">
        <f>IF(AP97&lt;&gt;" ",MAX($AR$9:AR96)," ")</f>
        <v xml:space="preserve"> </v>
      </c>
      <c r="AS97" s="86" t="str">
        <f t="shared" si="232"/>
        <v xml:space="preserve"> </v>
      </c>
      <c r="AT97" s="264" t="str" cm="1">
        <f t="array" ref="AT97">IF(AS97&lt;&gt;" ",Interpol(31,8,Служебный!$H$54:$H$84,Служебный!$I$53:$P$53,Служебный!$I$54:$P$84,'Осадка поля'!$AS97,'Осадка поля'!$B$6)," ")</f>
        <v xml:space="preserve"> </v>
      </c>
      <c r="AU97" s="22" t="str">
        <f t="shared" si="225"/>
        <v xml:space="preserve"> </v>
      </c>
      <c r="AV97" s="22" t="str">
        <f>IF(AP97&lt;&gt;" ",AR97*0.5," ")</f>
        <v xml:space="preserve"> </v>
      </c>
      <c r="AW97" s="353" t="str">
        <f>IF(AO97&lt;&gt;" ",(AU97+AU98)/2," ")</f>
        <v xml:space="preserve"> </v>
      </c>
      <c r="AX97" s="353"/>
      <c r="AY97" s="445" t="str">
        <f t="shared" ref="AY97" si="290">IF(AP97&lt;&gt;" ",IF(AQ97&gt;$B$15,"Нет","Да")," ")</f>
        <v xml:space="preserve"> </v>
      </c>
      <c r="AZ97" s="441" t="str">
        <f t="shared" ref="AZ97" si="291">IF(AP97&lt;&gt;" ",IF(AW97&gt;0.5*(AV97+AV98),"Да","Нет")," ")</f>
        <v xml:space="preserve"> </v>
      </c>
      <c r="BA97" s="441" t="str">
        <f t="shared" ref="BA97" si="292">IF(AP97&lt;&gt;" ",IF(OR($AX$89&lt;7,$AX$89=7),"Да","Нет")," ")</f>
        <v xml:space="preserve"> </v>
      </c>
      <c r="BB97" s="441" t="str">
        <f t="shared" ref="BB97" si="293">IF(AP97&lt;&gt;" ",IF(AW97&gt;0.2*0.5*(AR97+AR98),"Да","Нет")," ")</f>
        <v xml:space="preserve"> </v>
      </c>
      <c r="BC97" s="353">
        <f t="shared" si="199"/>
        <v>0</v>
      </c>
      <c r="BD97" s="443" t="str">
        <f t="shared" ref="BD97" si="294">IF(AP97&lt;&gt;" ",IF(OR(AU97&lt;AR97,AU97=AR97),0.8*AW97*AP97/(5*$AX$89*10),0.8*AW97*AP97/($AX$89*10))," ")</f>
        <v xml:space="preserve"> </v>
      </c>
      <c r="BE97" s="353">
        <f t="shared" si="106"/>
        <v>0</v>
      </c>
      <c r="BF97" s="232"/>
      <c r="BH97" s="418"/>
      <c r="BI97" s="419"/>
      <c r="BJ97" s="202"/>
      <c r="BK97" s="419"/>
      <c r="BL97" s="213"/>
    </row>
    <row r="98" spans="33:64" ht="15.75" thickBot="1">
      <c r="AG98" s="370"/>
      <c r="AH98" s="370"/>
      <c r="AI98" s="364"/>
      <c r="AJ98" s="425"/>
      <c r="AK98" s="364"/>
      <c r="AL98" s="370"/>
      <c r="AM98" s="459"/>
      <c r="AN98" s="376"/>
      <c r="AO98" s="353"/>
      <c r="AP98" s="353"/>
      <c r="AQ98" s="183" t="str">
        <f>IF(AP97&lt;&gt;" ",MAX($AQ$9:AQ97)+AP97," ")</f>
        <v xml:space="preserve"> </v>
      </c>
      <c r="AR98" s="22" t="str">
        <f>IF(AP97&lt;&gt;" ",MAX($AR$9:AR97)+$AJ$29*AP97," ")</f>
        <v xml:space="preserve"> </v>
      </c>
      <c r="AS98" s="86" t="str">
        <f t="shared" si="232"/>
        <v xml:space="preserve"> </v>
      </c>
      <c r="AT98" s="264" t="str" cm="1">
        <f t="array" ref="AT98">IF(AS98&lt;&gt;" ",Interpol(31,8,Служебный!$H$54:$H$84,Служебный!$I$53:$P$53,Служебный!$I$54:$P$84,'Осадка поля'!$AS98,'Осадка поля'!$B$6)," ")</f>
        <v xml:space="preserve"> </v>
      </c>
      <c r="AU98" s="22" t="str">
        <f t="shared" si="225"/>
        <v xml:space="preserve"> </v>
      </c>
      <c r="AV98" s="22" t="str">
        <f>IF(AP97&lt;&gt;" ",AR98*0.5," ")</f>
        <v xml:space="preserve"> </v>
      </c>
      <c r="AW98" s="353"/>
      <c r="AX98" s="353"/>
      <c r="AY98" s="444"/>
      <c r="AZ98" s="444"/>
      <c r="BA98" s="445"/>
      <c r="BB98" s="444"/>
      <c r="BC98" s="353"/>
      <c r="BD98" s="444"/>
      <c r="BE98" s="353"/>
      <c r="BF98" s="232"/>
      <c r="BH98" s="418"/>
      <c r="BI98" s="419"/>
      <c r="BJ98" s="202"/>
      <c r="BK98" s="419"/>
      <c r="BL98" s="213"/>
    </row>
    <row r="99" spans="33:64">
      <c r="AG99" s="370"/>
      <c r="AH99" s="370"/>
      <c r="AI99" s="364"/>
      <c r="AJ99" s="425"/>
      <c r="AK99" s="364"/>
      <c r="AL99" s="370"/>
      <c r="AM99" s="459"/>
      <c r="AN99" s="376"/>
      <c r="AO99" s="353" t="str">
        <f>IF(AO97=" "," ", IF(AO97&lt;SUM(AN$9:AN$108),AO97+1, " "))</f>
        <v xml:space="preserve"> </v>
      </c>
      <c r="AP99" s="353" t="str">
        <f>IF(AO99&lt;&gt;" ",AM$89/COUNT(AO$89:AO$108), " ")</f>
        <v xml:space="preserve"> </v>
      </c>
      <c r="AQ99" s="183" t="str">
        <f>IF(AP99&lt;&gt;" ",SUM($AP$9:AP97)," ")</f>
        <v xml:space="preserve"> </v>
      </c>
      <c r="AR99" s="22" t="str">
        <f>IF(AP99&lt;&gt;" ",MAX($AR$9:AR98)," ")</f>
        <v xml:space="preserve"> </v>
      </c>
      <c r="AS99" s="86" t="str">
        <f t="shared" si="232"/>
        <v xml:space="preserve"> </v>
      </c>
      <c r="AT99" s="264" t="str" cm="1">
        <f t="array" ref="AT99">IF(AS99&lt;&gt;" ",Interpol(31,8,Служебный!$H$54:$H$84,Служебный!$I$53:$P$53,Служебный!$I$54:$P$84,'Осадка поля'!$AS99,'Осадка поля'!$B$6)," ")</f>
        <v xml:space="preserve"> </v>
      </c>
      <c r="AU99" s="22" t="str">
        <f t="shared" si="225"/>
        <v xml:space="preserve"> </v>
      </c>
      <c r="AV99" s="22" t="str">
        <f>IF(AP99&lt;&gt;" ",AR99*0.5," ")</f>
        <v xml:space="preserve"> </v>
      </c>
      <c r="AW99" s="353" t="str">
        <f>IF(AO99&lt;&gt;" ",(AU99+AU100)/2," ")</f>
        <v xml:space="preserve"> </v>
      </c>
      <c r="AX99" s="353"/>
      <c r="AY99" s="445" t="str">
        <f t="shared" ref="AY99" si="295">IF(AP99&lt;&gt;" ",IF(AQ99&gt;$B$15,"Нет","Да")," ")</f>
        <v xml:space="preserve"> </v>
      </c>
      <c r="AZ99" s="441" t="str">
        <f t="shared" ref="AZ99" si="296">IF(AP99&lt;&gt;" ",IF(AW99&gt;0.5*(AV99+AV100),"Да","Нет")," ")</f>
        <v xml:space="preserve"> </v>
      </c>
      <c r="BA99" s="441" t="str">
        <f t="shared" ref="BA99" si="297">IF(AP99&lt;&gt;" ",IF(OR($AX$89&lt;7,$AX$89=7),"Да","Нет")," ")</f>
        <v xml:space="preserve"> </v>
      </c>
      <c r="BB99" s="441" t="str">
        <f t="shared" ref="BB99" si="298">IF(AP99&lt;&gt;" ",IF(AW99&gt;0.2*0.5*(AR99+AR100),"Да","Нет")," ")</f>
        <v xml:space="preserve"> </v>
      </c>
      <c r="BC99" s="353">
        <f t="shared" si="205"/>
        <v>0</v>
      </c>
      <c r="BD99" s="443" t="str">
        <f t="shared" ref="BD99" si="299">IF(AP99&lt;&gt;" ",IF(OR(AU99&lt;AR99,AU99=AR99),0.8*AW99*AP99/(5*$AX$89*10),0.8*AW99*AP99/($AX$89*10))," ")</f>
        <v xml:space="preserve"> </v>
      </c>
      <c r="BE99" s="353">
        <f t="shared" si="113"/>
        <v>0</v>
      </c>
      <c r="BF99" s="232"/>
      <c r="BH99" s="418"/>
      <c r="BI99" s="419"/>
      <c r="BJ99" s="202"/>
      <c r="BK99" s="419"/>
      <c r="BL99" s="213"/>
    </row>
    <row r="100" spans="33:64" ht="15.75" thickBot="1">
      <c r="AG100" s="370"/>
      <c r="AH100" s="370"/>
      <c r="AI100" s="364"/>
      <c r="AJ100" s="425"/>
      <c r="AK100" s="364"/>
      <c r="AL100" s="370"/>
      <c r="AM100" s="459"/>
      <c r="AN100" s="376"/>
      <c r="AO100" s="353"/>
      <c r="AP100" s="353"/>
      <c r="AQ100" s="183" t="str">
        <f>IF(AP99&lt;&gt;" ",MAX($AQ$9:AQ99)+AP99," ")</f>
        <v xml:space="preserve"> </v>
      </c>
      <c r="AR100" s="22" t="str">
        <f>IF(AP99&lt;&gt;" ",MAX($AR$9:AR99)+$AJ$29*AP99," ")</f>
        <v xml:space="preserve"> </v>
      </c>
      <c r="AS100" s="86" t="str">
        <f t="shared" si="232"/>
        <v xml:space="preserve"> </v>
      </c>
      <c r="AT100" s="264" t="str" cm="1">
        <f t="array" ref="AT100">IF(AS100&lt;&gt;" ",Interpol(31,8,Служебный!$H$54:$H$84,Служебный!$I$53:$P$53,Служебный!$I$54:$P$84,'Осадка поля'!$AS100,'Осадка поля'!$B$6)," ")</f>
        <v xml:space="preserve"> </v>
      </c>
      <c r="AU100" s="22" t="str">
        <f t="shared" si="225"/>
        <v xml:space="preserve"> </v>
      </c>
      <c r="AV100" s="22" t="str">
        <f>IF(AP99&lt;&gt;" ",AR100*0.5," ")</f>
        <v xml:space="preserve"> </v>
      </c>
      <c r="AW100" s="353"/>
      <c r="AX100" s="353"/>
      <c r="AY100" s="444"/>
      <c r="AZ100" s="444"/>
      <c r="BA100" s="445"/>
      <c r="BB100" s="444"/>
      <c r="BC100" s="353"/>
      <c r="BD100" s="444"/>
      <c r="BE100" s="353"/>
      <c r="BF100" s="232"/>
      <c r="BH100" s="418"/>
      <c r="BI100" s="419"/>
      <c r="BJ100" s="202"/>
      <c r="BK100" s="419"/>
      <c r="BL100" s="213"/>
    </row>
    <row r="101" spans="33:64">
      <c r="AG101" s="370"/>
      <c r="AH101" s="370"/>
      <c r="AI101" s="364"/>
      <c r="AJ101" s="425"/>
      <c r="AK101" s="364"/>
      <c r="AL101" s="370"/>
      <c r="AM101" s="459"/>
      <c r="AN101" s="376"/>
      <c r="AO101" s="353" t="str">
        <f>IF(AO99=" "," ", IF(AO99&lt;SUM(AN$9:AN$108),AO99+1, " "))</f>
        <v xml:space="preserve"> </v>
      </c>
      <c r="AP101" s="353" t="str">
        <f>IF(AO101&lt;&gt;" ",AM$89/COUNT(AO$89:AO$108), " ")</f>
        <v xml:space="preserve"> </v>
      </c>
      <c r="AQ101" s="183" t="str">
        <f>IF(AP101&lt;&gt;" ",SUM($AP$9:AP99)," ")</f>
        <v xml:space="preserve"> </v>
      </c>
      <c r="AR101" s="22" t="str">
        <f>IF(AP101&lt;&gt;" ",MAX($AR$9:AR100)," ")</f>
        <v xml:space="preserve"> </v>
      </c>
      <c r="AS101" s="86" t="str">
        <f t="shared" si="232"/>
        <v xml:space="preserve"> </v>
      </c>
      <c r="AT101" s="264" t="str" cm="1">
        <f t="array" ref="AT101">IF(AS101&lt;&gt;" ",Interpol(31,8,Служебный!$H$54:$H$84,Служебный!$I$53:$P$53,Служебный!$I$54:$P$84,'Осадка поля'!$AS101,'Осадка поля'!$B$6)," ")</f>
        <v xml:space="preserve"> </v>
      </c>
      <c r="AU101" s="22" t="str">
        <f t="shared" si="225"/>
        <v xml:space="preserve"> </v>
      </c>
      <c r="AV101" s="22" t="str">
        <f>IF(AP101&lt;&gt;" ",AR101*0.5," ")</f>
        <v xml:space="preserve"> </v>
      </c>
      <c r="AW101" s="353" t="str">
        <f>IF(AO101&lt;&gt;" ",(AU101+AU102)/2," ")</f>
        <v xml:space="preserve"> </v>
      </c>
      <c r="AX101" s="353"/>
      <c r="AY101" s="445" t="str">
        <f t="shared" ref="AY101" si="300">IF(AP101&lt;&gt;" ",IF(AQ101&gt;$B$15,"Нет","Да")," ")</f>
        <v xml:space="preserve"> </v>
      </c>
      <c r="AZ101" s="441" t="str">
        <f t="shared" ref="AZ101" si="301">IF(AP101&lt;&gt;" ",IF(AW101&gt;0.5*(AV101+AV102),"Да","Нет")," ")</f>
        <v xml:space="preserve"> </v>
      </c>
      <c r="BA101" s="441" t="str">
        <f t="shared" ref="BA101" si="302">IF(AP101&lt;&gt;" ",IF(OR($AX$89&lt;7,$AX$89=7),"Да","Нет")," ")</f>
        <v xml:space="preserve"> </v>
      </c>
      <c r="BB101" s="441" t="str">
        <f t="shared" ref="BB101" si="303">IF(AP101&lt;&gt;" ",IF(AW101&gt;0.2*0.5*(AR101+AR102),"Да","Нет")," ")</f>
        <v xml:space="preserve"> </v>
      </c>
      <c r="BC101" s="353">
        <f t="shared" si="211"/>
        <v>0</v>
      </c>
      <c r="BD101" s="443" t="str">
        <f t="shared" ref="BD101" si="304">IF(AP101&lt;&gt;" ",IF(OR(AU101&lt;AR101,AU101=AR101),0.8*AW101*AP101/(5*$AX$89*10),0.8*AW101*AP101/($AX$89*10))," ")</f>
        <v xml:space="preserve"> </v>
      </c>
      <c r="BE101" s="353">
        <f t="shared" si="120"/>
        <v>0</v>
      </c>
      <c r="BF101" s="232"/>
      <c r="BH101" s="418"/>
      <c r="BI101" s="419"/>
      <c r="BJ101" s="202"/>
      <c r="BK101" s="419"/>
      <c r="BL101" s="213"/>
    </row>
    <row r="102" spans="33:64" ht="15.75" thickBot="1">
      <c r="AG102" s="370"/>
      <c r="AH102" s="370"/>
      <c r="AI102" s="364"/>
      <c r="AJ102" s="425"/>
      <c r="AK102" s="364"/>
      <c r="AL102" s="370"/>
      <c r="AM102" s="459"/>
      <c r="AN102" s="376"/>
      <c r="AO102" s="353"/>
      <c r="AP102" s="353"/>
      <c r="AQ102" s="183" t="str">
        <f>IF(AP101&lt;&gt;" ",MAX($AQ$9:AQ101)+AP101," ")</f>
        <v xml:space="preserve"> </v>
      </c>
      <c r="AR102" s="22" t="str">
        <f>IF(AP101&lt;&gt;" ",MAX($AR$9:AR101)+$AJ$29*AP101," ")</f>
        <v xml:space="preserve"> </v>
      </c>
      <c r="AS102" s="86" t="str">
        <f t="shared" si="232"/>
        <v xml:space="preserve"> </v>
      </c>
      <c r="AT102" s="264" t="str" cm="1">
        <f t="array" ref="AT102">IF(AS102&lt;&gt;" ",Interpol(31,8,Служебный!$H$54:$H$84,Служебный!$I$53:$P$53,Служебный!$I$54:$P$84,'Осадка поля'!$AS102,'Осадка поля'!$B$6)," ")</f>
        <v xml:space="preserve"> </v>
      </c>
      <c r="AU102" s="22" t="str">
        <f t="shared" si="225"/>
        <v xml:space="preserve"> </v>
      </c>
      <c r="AV102" s="22" t="str">
        <f>IF(AP101&lt;&gt;" ",AR102*0.5," ")</f>
        <v xml:space="preserve"> </v>
      </c>
      <c r="AW102" s="353"/>
      <c r="AX102" s="353"/>
      <c r="AY102" s="444"/>
      <c r="AZ102" s="444"/>
      <c r="BA102" s="445"/>
      <c r="BB102" s="444"/>
      <c r="BC102" s="353"/>
      <c r="BD102" s="444"/>
      <c r="BE102" s="353"/>
      <c r="BF102" s="232"/>
      <c r="BH102" s="418"/>
      <c r="BI102" s="419"/>
      <c r="BJ102" s="202"/>
      <c r="BK102" s="419"/>
      <c r="BL102" s="213"/>
    </row>
    <row r="103" spans="33:64">
      <c r="AG103" s="370"/>
      <c r="AH103" s="370"/>
      <c r="AI103" s="364"/>
      <c r="AJ103" s="425"/>
      <c r="AK103" s="364"/>
      <c r="AL103" s="370"/>
      <c r="AM103" s="459"/>
      <c r="AN103" s="376"/>
      <c r="AO103" s="353" t="str">
        <f>IF(AO101=" "," ", IF(AO101&lt;SUM(AN$9:AN$108),AO101+1, " "))</f>
        <v xml:space="preserve"> </v>
      </c>
      <c r="AP103" s="353" t="str">
        <f>IF(AO103&lt;&gt;" ",AM$89/COUNT(AO$89:AO$108), " ")</f>
        <v xml:space="preserve"> </v>
      </c>
      <c r="AQ103" s="183" t="str">
        <f>IF(AP103&lt;&gt;" ",SUM($AP$9:AP101)," ")</f>
        <v xml:space="preserve"> </v>
      </c>
      <c r="AR103" s="22" t="str">
        <f>IF(AP103&lt;&gt;" ",MAX($AR$9:AR102)," ")</f>
        <v xml:space="preserve"> </v>
      </c>
      <c r="AS103" s="86" t="str">
        <f t="shared" si="232"/>
        <v xml:space="preserve"> </v>
      </c>
      <c r="AT103" s="264" t="str" cm="1">
        <f t="array" ref="AT103">IF(AS103&lt;&gt;" ",Interpol(31,8,Служебный!$H$54:$H$84,Служебный!$I$53:$P$53,Служебный!$I$54:$P$84,'Осадка поля'!$AS103,'Осадка поля'!$B$6)," ")</f>
        <v xml:space="preserve"> </v>
      </c>
      <c r="AU103" s="22" t="str">
        <f t="shared" si="225"/>
        <v xml:space="preserve"> </v>
      </c>
      <c r="AV103" s="22" t="str">
        <f>IF(AP103&lt;&gt;" ",AR103*0.5," ")</f>
        <v xml:space="preserve"> </v>
      </c>
      <c r="AW103" s="353" t="str">
        <f>IF(AO103&lt;&gt;" ",(AU103+AU104)/2," ")</f>
        <v xml:space="preserve"> </v>
      </c>
      <c r="AX103" s="353"/>
      <c r="AY103" s="445" t="str">
        <f t="shared" ref="AY103" si="305">IF(AP103&lt;&gt;" ",IF(AQ103&gt;$B$15,"Нет","Да")," ")</f>
        <v xml:space="preserve"> </v>
      </c>
      <c r="AZ103" s="441" t="str">
        <f t="shared" ref="AZ103" si="306">IF(AP103&lt;&gt;" ",IF(AW103&gt;0.5*(AV103+AV104),"Да","Нет")," ")</f>
        <v xml:space="preserve"> </v>
      </c>
      <c r="BA103" s="441" t="str">
        <f t="shared" ref="BA103" si="307">IF(AP103&lt;&gt;" ",IF(OR($AX$89&lt;7,$AX$89=7),"Да","Нет")," ")</f>
        <v xml:space="preserve"> </v>
      </c>
      <c r="BB103" s="441" t="str">
        <f t="shared" ref="BB103" si="308">IF(AP103&lt;&gt;" ",IF(AW103&gt;0.2*0.5*(AR103+AR104),"Да","Нет")," ")</f>
        <v xml:space="preserve"> </v>
      </c>
      <c r="BC103" s="353">
        <f t="shared" si="217"/>
        <v>0</v>
      </c>
      <c r="BD103" s="443" t="str">
        <f t="shared" ref="BD103" si="309">IF(AP103&lt;&gt;" ",IF(OR(AU103&lt;AR103,AU103=AR103),0.8*AW103*AP103/(5*$AX$89*10),0.8*AW103*AP103/($AX$89*10))," ")</f>
        <v xml:space="preserve"> </v>
      </c>
      <c r="BE103" s="353">
        <f t="shared" si="127"/>
        <v>0</v>
      </c>
      <c r="BF103" s="232"/>
      <c r="BH103" s="418"/>
      <c r="BI103" s="419"/>
      <c r="BJ103" s="202"/>
      <c r="BK103" s="419"/>
      <c r="BL103" s="213"/>
    </row>
    <row r="104" spans="33:64" ht="15.75" thickBot="1">
      <c r="AG104" s="370"/>
      <c r="AH104" s="370"/>
      <c r="AI104" s="364"/>
      <c r="AJ104" s="425"/>
      <c r="AK104" s="364"/>
      <c r="AL104" s="370"/>
      <c r="AM104" s="459"/>
      <c r="AN104" s="376"/>
      <c r="AO104" s="353"/>
      <c r="AP104" s="353"/>
      <c r="AQ104" s="183" t="str">
        <f>IF(AP103&lt;&gt;" ",MAX($AQ$9:AQ103)+AP103," ")</f>
        <v xml:space="preserve"> </v>
      </c>
      <c r="AR104" s="22" t="str">
        <f>IF(AP103&lt;&gt;" ",MAX($AR$9:AR103)+$AJ$29*AP103," ")</f>
        <v xml:space="preserve"> </v>
      </c>
      <c r="AS104" s="86" t="str">
        <f t="shared" si="232"/>
        <v xml:space="preserve"> </v>
      </c>
      <c r="AT104" s="264" t="str" cm="1">
        <f t="array" ref="AT104">IF(AS104&lt;&gt;" ",Interpol(31,8,Служебный!$H$54:$H$84,Служебный!$I$53:$P$53,Служебный!$I$54:$P$84,'Осадка поля'!$AS104,'Осадка поля'!$B$6)," ")</f>
        <v xml:space="preserve"> </v>
      </c>
      <c r="AU104" s="22" t="str">
        <f t="shared" si="225"/>
        <v xml:space="preserve"> </v>
      </c>
      <c r="AV104" s="22" t="str">
        <f>IF(AP103&lt;&gt;" ",AR104*0.5," ")</f>
        <v xml:space="preserve"> </v>
      </c>
      <c r="AW104" s="353"/>
      <c r="AX104" s="353"/>
      <c r="AY104" s="444"/>
      <c r="AZ104" s="444"/>
      <c r="BA104" s="445"/>
      <c r="BB104" s="444"/>
      <c r="BC104" s="353"/>
      <c r="BD104" s="444"/>
      <c r="BE104" s="353"/>
      <c r="BF104" s="232"/>
      <c r="BH104" s="418"/>
      <c r="BI104" s="419"/>
      <c r="BJ104" s="202"/>
      <c r="BK104" s="419"/>
      <c r="BL104" s="213"/>
    </row>
    <row r="105" spans="33:64">
      <c r="AG105" s="370"/>
      <c r="AH105" s="370"/>
      <c r="AI105" s="364"/>
      <c r="AJ105" s="425"/>
      <c r="AK105" s="364"/>
      <c r="AL105" s="370"/>
      <c r="AM105" s="459"/>
      <c r="AN105" s="376"/>
      <c r="AO105" s="353" t="str">
        <f>IF(AO103=" "," ", IF(AO103&lt;SUM(AN$9:AN$108),AO103+1, " "))</f>
        <v xml:space="preserve"> </v>
      </c>
      <c r="AP105" s="353" t="str">
        <f>IF(AO105&lt;&gt;" ",AM$89/COUNT(AO$89:AO$108), " ")</f>
        <v xml:space="preserve"> </v>
      </c>
      <c r="AQ105" s="183" t="str">
        <f>IF(AP105&lt;&gt;" ",SUM($AP$9:AP103)," ")</f>
        <v xml:space="preserve"> </v>
      </c>
      <c r="AR105" s="22" t="str">
        <f>IF(AP105&lt;&gt;" ",MAX($AR$9:AR104)," ")</f>
        <v xml:space="preserve"> </v>
      </c>
      <c r="AS105" s="86" t="str">
        <f t="shared" si="232"/>
        <v xml:space="preserve"> </v>
      </c>
      <c r="AT105" s="264" t="str" cm="1">
        <f t="array" ref="AT105">IF(AS105&lt;&gt;" ",Interpol(31,8,Служебный!$H$54:$H$84,Служебный!$I$53:$P$53,Служебный!$I$54:$P$84,'Осадка поля'!$AS105,'Осадка поля'!$B$6)," ")</f>
        <v xml:space="preserve"> </v>
      </c>
      <c r="AU105" s="22" t="str">
        <f t="shared" si="225"/>
        <v xml:space="preserve"> </v>
      </c>
      <c r="AV105" s="22" t="str">
        <f>IF(AP105&lt;&gt;" ",AR105*0.5," ")</f>
        <v xml:space="preserve"> </v>
      </c>
      <c r="AW105" s="353" t="str">
        <f>IF(AO105&lt;&gt;" ",(AU105+AU106)/2," ")</f>
        <v xml:space="preserve"> </v>
      </c>
      <c r="AX105" s="353"/>
      <c r="AY105" s="445" t="str">
        <f t="shared" ref="AY105" si="310">IF(AP105&lt;&gt;" ",IF(AQ105&gt;$B$15,"Нет","Да")," ")</f>
        <v xml:space="preserve"> </v>
      </c>
      <c r="AZ105" s="441" t="str">
        <f t="shared" ref="AZ105" si="311">IF(AP105&lt;&gt;" ",IF(AW105&gt;0.5*(AV105+AV106),"Да","Нет")," ")</f>
        <v xml:space="preserve"> </v>
      </c>
      <c r="BA105" s="441" t="str">
        <f t="shared" ref="BA105" si="312">IF(AP105&lt;&gt;" ",IF(OR($AX$89&lt;7,$AX$89=7),"Да","Нет")," ")</f>
        <v xml:space="preserve"> </v>
      </c>
      <c r="BB105" s="441" t="str">
        <f t="shared" ref="BB105" si="313">IF(AP105&lt;&gt;" ",IF(AW105&gt;0.2*0.5*(AR105+AR106),"Да","Нет")," ")</f>
        <v xml:space="preserve"> </v>
      </c>
      <c r="BC105" s="353">
        <f t="shared" si="223"/>
        <v>0</v>
      </c>
      <c r="BD105" s="443" t="str">
        <f t="shared" ref="BD105" si="314">IF(AP105&lt;&gt;" ",IF(OR(AU105&lt;AR105,AU105=AR105),0.8*AW105*AP105/(5*$AX$89*10),0.8*AW105*AP105/($AX$89*10))," ")</f>
        <v xml:space="preserve"> </v>
      </c>
      <c r="BE105" s="353">
        <f t="shared" si="145"/>
        <v>0</v>
      </c>
      <c r="BF105" s="232"/>
      <c r="BH105" s="418"/>
      <c r="BI105" s="419"/>
      <c r="BJ105" s="202"/>
      <c r="BK105" s="419"/>
      <c r="BL105" s="213"/>
    </row>
    <row r="106" spans="33:64" ht="15.75" thickBot="1">
      <c r="AG106" s="370"/>
      <c r="AH106" s="370"/>
      <c r="AI106" s="364"/>
      <c r="AJ106" s="425"/>
      <c r="AK106" s="364"/>
      <c r="AL106" s="370"/>
      <c r="AM106" s="459"/>
      <c r="AN106" s="376"/>
      <c r="AO106" s="353"/>
      <c r="AP106" s="353"/>
      <c r="AQ106" s="183" t="str">
        <f>IF(AP105&lt;&gt;" ",MAX($AQ$9:AQ105)+AP105," ")</f>
        <v xml:space="preserve"> </v>
      </c>
      <c r="AR106" s="22" t="str">
        <f>IF(AP105&lt;&gt;" ",MAX($AR$9:AR105)+$AJ$29*AP105," ")</f>
        <v xml:space="preserve"> </v>
      </c>
      <c r="AS106" s="86" t="str">
        <f t="shared" si="232"/>
        <v xml:space="preserve"> </v>
      </c>
      <c r="AT106" s="264" t="str" cm="1">
        <f t="array" ref="AT106">IF(AS106&lt;&gt;" ",Interpol(31,8,Служебный!$H$54:$H$84,Служебный!$I$53:$P$53,Служебный!$I$54:$P$84,'Осадка поля'!$AS106,'Осадка поля'!$B$6)," ")</f>
        <v xml:space="preserve"> </v>
      </c>
      <c r="AU106" s="22" t="str">
        <f t="shared" si="225"/>
        <v xml:space="preserve"> </v>
      </c>
      <c r="AV106" s="22" t="str">
        <f>IF(AP105&lt;&gt;" ",AR106*0.5," ")</f>
        <v xml:space="preserve"> </v>
      </c>
      <c r="AW106" s="353"/>
      <c r="AX106" s="353"/>
      <c r="AY106" s="444"/>
      <c r="AZ106" s="444"/>
      <c r="BA106" s="445"/>
      <c r="BB106" s="444"/>
      <c r="BC106" s="353"/>
      <c r="BD106" s="444"/>
      <c r="BE106" s="353"/>
      <c r="BF106" s="232"/>
      <c r="BH106" s="418"/>
      <c r="BI106" s="419"/>
      <c r="BJ106" s="202"/>
      <c r="BK106" s="419"/>
      <c r="BL106" s="213"/>
    </row>
    <row r="107" spans="33:64">
      <c r="AG107" s="370"/>
      <c r="AH107" s="370"/>
      <c r="AI107" s="364"/>
      <c r="AJ107" s="425"/>
      <c r="AK107" s="364"/>
      <c r="AL107" s="370"/>
      <c r="AM107" s="459"/>
      <c r="AN107" s="376"/>
      <c r="AO107" s="353" t="str">
        <f>IF(AO105=" "," ", IF(AO105&lt;SUM(AN$9:AN$108),AO105+1, " "))</f>
        <v xml:space="preserve"> </v>
      </c>
      <c r="AP107" s="353" t="str">
        <f>IF(AO107&lt;&gt;" ",AM$89/COUNT(AO$89:AO$108), " ")</f>
        <v xml:space="preserve"> </v>
      </c>
      <c r="AQ107" s="183" t="str">
        <f>IF(AP107&lt;&gt;" ",SUM($AP$9:AP105)," ")</f>
        <v xml:space="preserve"> </v>
      </c>
      <c r="AR107" s="22" t="str">
        <f>IF(AP107&lt;&gt;" ",MAX($AR$9:AR106)," ")</f>
        <v xml:space="preserve"> </v>
      </c>
      <c r="AS107" s="86" t="str">
        <f t="shared" si="232"/>
        <v xml:space="preserve"> </v>
      </c>
      <c r="AT107" s="264" t="str" cm="1">
        <f t="array" ref="AT107">IF(AS107&lt;&gt;" ",Interpol(31,8,Служебный!$H$54:$H$84,Служебный!$I$53:$P$53,Служебный!$I$54:$P$84,'Осадка поля'!$AS107,'Осадка поля'!$B$6)," ")</f>
        <v xml:space="preserve"> </v>
      </c>
      <c r="AU107" s="22" t="str">
        <f t="shared" si="225"/>
        <v xml:space="preserve"> </v>
      </c>
      <c r="AV107" s="22" t="str">
        <f>IF(AP107&lt;&gt;" ",AR107*0.5," ")</f>
        <v xml:space="preserve"> </v>
      </c>
      <c r="AW107" s="353" t="str">
        <f>IF(AO107&lt;&gt;" ",(AU107+AU108)/2," ")</f>
        <v xml:space="preserve"> </v>
      </c>
      <c r="AX107" s="353"/>
      <c r="AY107" s="445" t="str">
        <f t="shared" ref="AY107" si="315">IF(AP107&lt;&gt;" ",IF(AQ107&gt;$B$15,"Нет","Да")," ")</f>
        <v xml:space="preserve"> </v>
      </c>
      <c r="AZ107" s="441" t="str">
        <f t="shared" ref="AZ107" si="316">IF(AP107&lt;&gt;" ",IF(AW107&gt;0.5*(AV107+AV108),"Да","Нет")," ")</f>
        <v xml:space="preserve"> </v>
      </c>
      <c r="BA107" s="441" t="str">
        <f t="shared" ref="BA107" si="317">IF(AP107&lt;&gt;" ",IF(OR($AX$89&lt;7,$AX$89=7),"Да","Нет")," ")</f>
        <v xml:space="preserve"> </v>
      </c>
      <c r="BB107" s="441" t="str">
        <f t="shared" ref="BB107" si="318">IF(AP107&lt;&gt;" ",IF(AW107&gt;0.2*0.5*(AR107+AR108),"Да","Нет")," ")</f>
        <v xml:space="preserve"> </v>
      </c>
      <c r="BC107" s="353">
        <f t="shared" si="230"/>
        <v>0</v>
      </c>
      <c r="BD107" s="443" t="str">
        <f t="shared" ref="BD107" si="319">IF(AP107&lt;&gt;" ",IF(OR(AU107&lt;AR107,AU107=AR107),0.8*AW107*AP107/(5*$AX$89*10),0.8*AW107*AP107/($AX$89*10))," ")</f>
        <v xml:space="preserve"> </v>
      </c>
      <c r="BE107" s="353">
        <f t="shared" si="152"/>
        <v>0</v>
      </c>
      <c r="BF107" s="232"/>
      <c r="BH107" s="418"/>
      <c r="BI107" s="419"/>
      <c r="BJ107" s="202"/>
      <c r="BK107" s="419"/>
      <c r="BL107" s="213"/>
    </row>
    <row r="108" spans="33:64" ht="15.75" thickBot="1">
      <c r="AG108" s="370"/>
      <c r="AH108" s="370"/>
      <c r="AI108" s="364"/>
      <c r="AJ108" s="425"/>
      <c r="AK108" s="364"/>
      <c r="AL108" s="370"/>
      <c r="AM108" s="459"/>
      <c r="AN108" s="376"/>
      <c r="AO108" s="353"/>
      <c r="AP108" s="353"/>
      <c r="AQ108" s="183" t="str">
        <f>IF(AP107&lt;&gt;" ",MAX($AQ$9:AQ107)+AP107," ")</f>
        <v xml:space="preserve"> </v>
      </c>
      <c r="AR108" s="22" t="str">
        <f>IF(AP107&lt;&gt;" ",MAX($AR$9:AR107)+$AJ$29*AP107," ")</f>
        <v xml:space="preserve"> </v>
      </c>
      <c r="AS108" s="86" t="str">
        <f t="shared" si="232"/>
        <v xml:space="preserve"> </v>
      </c>
      <c r="AT108" s="264" t="str" cm="1">
        <f t="array" ref="AT108">IF(AS108&lt;&gt;" ",Interpol(31,8,Служебный!$H$54:$H$84,Служебный!$I$53:$P$53,Служебный!$I$54:$P$84,'Осадка поля'!$AS108,'Осадка поля'!$B$6)," ")</f>
        <v xml:space="preserve"> </v>
      </c>
      <c r="AU108" s="22" t="str">
        <f t="shared" si="225"/>
        <v xml:space="preserve"> </v>
      </c>
      <c r="AV108" s="22" t="str">
        <f>IF(AP107&lt;&gt;" ",AR108*0.5," ")</f>
        <v xml:space="preserve"> </v>
      </c>
      <c r="AW108" s="353"/>
      <c r="AX108" s="353"/>
      <c r="AY108" s="444"/>
      <c r="AZ108" s="444"/>
      <c r="BA108" s="445"/>
      <c r="BB108" s="444"/>
      <c r="BC108" s="353"/>
      <c r="BD108" s="444"/>
      <c r="BE108" s="353"/>
      <c r="BF108" s="232"/>
      <c r="BH108" s="418"/>
      <c r="BI108" s="419"/>
      <c r="BJ108" s="202"/>
      <c r="BK108" s="419"/>
      <c r="BL108" s="213"/>
    </row>
    <row r="109" spans="33:64">
      <c r="AG109" s="370">
        <f t="shared" ref="AG109" si="320">AG89+1</f>
        <v>15</v>
      </c>
      <c r="AH109" s="390">
        <f>IF(AG109&gt;20,0,VLOOKUP(AG109,Скважина!$E$8:$K$27,2,FALSE))</f>
        <v>0</v>
      </c>
      <c r="AI109" s="388">
        <f>IF(OR(AH109=0,AG109&gt;20),0,VLOOKUP(AH109,Геология!$D$7:$BO$993,7,FALSE))</f>
        <v>0</v>
      </c>
      <c r="AJ109" s="425" t="e">
        <f>VLOOKUP(AH109,Геология!$D$7:$BO$993,23,FALSE)</f>
        <v>#N/A</v>
      </c>
      <c r="AK109" s="364">
        <f>IF(AM89&lt;&gt;0,AL89,AK89)</f>
        <v>111.73</v>
      </c>
      <c r="AL109" s="390">
        <f>VLOOKUP(AG109,Скважина!$E$8:$K$27,5,FALSE)</f>
        <v>-5.27</v>
      </c>
      <c r="AM109" s="459">
        <f>IF(IF(AH109&lt;&gt;0,AK109-AL109,0)&lt;0,0,IF(AH109&lt;&gt;0,AK109-AL109,0))</f>
        <v>0</v>
      </c>
      <c r="AN109" s="376"/>
      <c r="AO109" s="353" t="str">
        <f>IF(AN109&lt;&gt;0,MAX(AO$9:AO$108)+1," ")</f>
        <v xml:space="preserve"> </v>
      </c>
      <c r="AP109" s="353" t="str">
        <f>IF(AO109&lt;&gt;" ",AM$109/COUNT(AO$109:AO$128), " ")</f>
        <v xml:space="preserve"> </v>
      </c>
      <c r="AQ109" s="183" t="str">
        <f>IF(AP109&lt;&gt;" ",SUM($AP$9:AP107)," ")</f>
        <v xml:space="preserve"> </v>
      </c>
      <c r="AR109" s="22" t="str">
        <f>IF(AP109&lt;&gt;" ",MAX($AR$9:AR108)," ")</f>
        <v xml:space="preserve"> </v>
      </c>
      <c r="AS109" s="86" t="str">
        <f t="shared" si="232"/>
        <v xml:space="preserve"> </v>
      </c>
      <c r="AT109" s="264" t="str" cm="1">
        <f t="array" ref="AT109">IF(AS109&lt;&gt;" ",Interpol(31,8,Служебный!$H$54:$H$84,Служебный!$I$53:$P$53,Служебный!$I$54:$P$84,'Осадка поля'!$AS109,'Осадка поля'!$B$6)," ")</f>
        <v xml:space="preserve"> </v>
      </c>
      <c r="AU109" s="22" t="str">
        <f t="shared" si="225"/>
        <v xml:space="preserve"> </v>
      </c>
      <c r="AV109" s="22" t="str">
        <f>IF(AP109&lt;&gt;" ",AR109*0.5," ")</f>
        <v xml:space="preserve"> </v>
      </c>
      <c r="AW109" s="353" t="str">
        <f>IF(AO109&lt;&gt;" ",(AU109+AU110)/2," ")</f>
        <v xml:space="preserve"> </v>
      </c>
      <c r="AX109" s="444" t="str">
        <f>IF(AH109&lt;&gt;0,VLOOKUP(AH109,Геология!$D$7:$BO$993,21,FALSE)," ")</f>
        <v xml:space="preserve"> </v>
      </c>
      <c r="AY109" s="445" t="str">
        <f t="shared" ref="AY109" si="321">IF(AP109&lt;&gt;" ",IF(AQ109&gt;$B$15,"Нет","Да")," ")</f>
        <v xml:space="preserve"> </v>
      </c>
      <c r="AZ109" s="441" t="str">
        <f t="shared" ref="AZ109" si="322">IF(AP109&lt;&gt;" ",IF(AW109&gt;0.5*(AV109+AV110),"Да","Нет")," ")</f>
        <v xml:space="preserve"> </v>
      </c>
      <c r="BA109" s="441" t="str">
        <f>IF(AP109&lt;&gt;" ",IF(OR($AX$109&lt;7,$AX$109=7),"Да","Нет")," ")</f>
        <v xml:space="preserve"> </v>
      </c>
      <c r="BB109" s="441" t="str">
        <f t="shared" ref="BB109" si="323">IF(AP109&lt;&gt;" ",IF(AW109&gt;0.2*0.5*(AR109+AR110),"Да","Нет")," ")</f>
        <v xml:space="preserve"> </v>
      </c>
      <c r="BC109" s="353">
        <f t="shared" si="237"/>
        <v>0</v>
      </c>
      <c r="BD109" s="443" t="str">
        <f>IF(AP109&lt;&gt;" ",IF(OR(AU109&lt;AR109,AU109=AR109),0.8*AW109*AP109/(5*$AX$109*10),0.8*AW109*AP109/($AX$109*10))," ")</f>
        <v xml:space="preserve"> </v>
      </c>
      <c r="BE109" s="353">
        <f t="shared" ref="BE109" si="324">IF(AP109&lt;&gt;" ",IF(AND(AY109="Нет",AZ109="Нет",BA109="Нет"),0,IF(AY109="Да",BD109,IF(AZ109="Да",BD109,IF(BA109="Да",BD109)))),0)</f>
        <v>0</v>
      </c>
      <c r="BF109" s="232"/>
      <c r="BH109" s="448" t="str">
        <f>IF(AH109&lt;&gt;0,VLOOKUP(AH109,Геология!$D$7:$BO$993,24,FALSE)," ")</f>
        <v xml:space="preserve"> </v>
      </c>
      <c r="BI109" s="449" t="str">
        <f>IF(BH109&lt;&gt;" ",BH109*AM109," ")</f>
        <v xml:space="preserve"> </v>
      </c>
      <c r="BJ109" s="202"/>
      <c r="BK109" s="456" t="str">
        <f>IF(AM109&lt;&gt;0,AX109*AM109," ")</f>
        <v xml:space="preserve"> </v>
      </c>
      <c r="BL109" s="213"/>
    </row>
    <row r="110" spans="33:64" ht="15.75" thickBot="1">
      <c r="AG110" s="370"/>
      <c r="AH110" s="370"/>
      <c r="AI110" s="364"/>
      <c r="AJ110" s="425"/>
      <c r="AK110" s="364"/>
      <c r="AL110" s="370"/>
      <c r="AM110" s="459"/>
      <c r="AN110" s="376"/>
      <c r="AO110" s="353"/>
      <c r="AP110" s="353"/>
      <c r="AQ110" s="183" t="str">
        <f>IF(AP109&lt;&gt;" ",MAX($AQ$9:AQ109)+AP109," ")</f>
        <v xml:space="preserve"> </v>
      </c>
      <c r="AR110" s="22" t="str">
        <f>IF(AP109&lt;&gt;" ",MAX($AR$9:AR109)+$AJ$29*AP109," ")</f>
        <v xml:space="preserve"> </v>
      </c>
      <c r="AS110" s="86" t="str">
        <f t="shared" si="232"/>
        <v xml:space="preserve"> </v>
      </c>
      <c r="AT110" s="264" t="str" cm="1">
        <f t="array" ref="AT110">IF(AS110&lt;&gt;" ",Interpol(31,8,Служебный!$H$54:$H$84,Служебный!$I$53:$P$53,Служебный!$I$54:$P$84,'Осадка поля'!$AS110,'Осадка поля'!$B$6)," ")</f>
        <v xml:space="preserve"> </v>
      </c>
      <c r="AU110" s="22" t="str">
        <f t="shared" si="225"/>
        <v xml:space="preserve"> </v>
      </c>
      <c r="AV110" s="22" t="str">
        <f>IF(AP109&lt;&gt;" ",AR110*0.5," ")</f>
        <v xml:space="preserve"> </v>
      </c>
      <c r="AW110" s="353"/>
      <c r="AX110" s="353"/>
      <c r="AY110" s="444"/>
      <c r="AZ110" s="444"/>
      <c r="BA110" s="445"/>
      <c r="BB110" s="444"/>
      <c r="BC110" s="353"/>
      <c r="BD110" s="444"/>
      <c r="BE110" s="353"/>
      <c r="BF110" s="232"/>
      <c r="BH110" s="418"/>
      <c r="BI110" s="419"/>
      <c r="BJ110" s="202"/>
      <c r="BK110" s="419"/>
      <c r="BL110" s="213"/>
    </row>
    <row r="111" spans="33:64">
      <c r="AG111" s="370"/>
      <c r="AH111" s="370"/>
      <c r="AI111" s="364"/>
      <c r="AJ111" s="425"/>
      <c r="AK111" s="364"/>
      <c r="AL111" s="370"/>
      <c r="AM111" s="459"/>
      <c r="AN111" s="376"/>
      <c r="AO111" s="353" t="str">
        <f>IF(AO109=" "," ", IF(AO109&lt;SUM(AN$9:AN$128),AO109+1, " "))</f>
        <v xml:space="preserve"> </v>
      </c>
      <c r="AP111" s="353" t="str">
        <f>IF(AO111&lt;&gt;" ",AM$109/COUNT(AO$109:AO$128), " ")</f>
        <v xml:space="preserve"> </v>
      </c>
      <c r="AQ111" s="183" t="str">
        <f>IF(AP111&lt;&gt;" ",SUM($AP$9:AP109)," ")</f>
        <v xml:space="preserve"> </v>
      </c>
      <c r="AR111" s="22" t="str">
        <f>IF(AP111&lt;&gt;" ",MAX($AR$9:AR110)," ")</f>
        <v xml:space="preserve"> </v>
      </c>
      <c r="AS111" s="86" t="str">
        <f t="shared" si="232"/>
        <v xml:space="preserve"> </v>
      </c>
      <c r="AT111" s="264" t="str" cm="1">
        <f t="array" ref="AT111">IF(AS111&lt;&gt;" ",Interpol(31,8,Служебный!$H$54:$H$84,Служебный!$I$53:$P$53,Служебный!$I$54:$P$84,'Осадка поля'!$AS111,'Осадка поля'!$B$6)," ")</f>
        <v xml:space="preserve"> </v>
      </c>
      <c r="AU111" s="22" t="str">
        <f t="shared" si="225"/>
        <v xml:space="preserve"> </v>
      </c>
      <c r="AV111" s="22" t="str">
        <f>IF(AP111&lt;&gt;" ",AR111*0.5," ")</f>
        <v xml:space="preserve"> </v>
      </c>
      <c r="AW111" s="353" t="str">
        <f>IF(AO111&lt;&gt;" ",(AU111+AU112)/2," ")</f>
        <v xml:space="preserve"> </v>
      </c>
      <c r="AX111" s="353"/>
      <c r="AY111" s="445" t="str">
        <f t="shared" ref="AY111" si="325">IF(AP111&lt;&gt;" ",IF(AQ111&gt;$B$15,"Нет","Да")," ")</f>
        <v xml:space="preserve"> </v>
      </c>
      <c r="AZ111" s="441" t="str">
        <f t="shared" ref="AZ111" si="326">IF(AP111&lt;&gt;" ",IF(AW111&gt;0.5*(AV111+AV112),"Да","Нет")," ")</f>
        <v xml:space="preserve"> </v>
      </c>
      <c r="BA111" s="441" t="str">
        <f t="shared" ref="BA111" si="327">IF(AP111&lt;&gt;" ",IF(OR($AX$109&lt;7,$AX$109=7),"Да","Нет")," ")</f>
        <v xml:space="preserve"> </v>
      </c>
      <c r="BB111" s="441" t="str">
        <f t="shared" ref="BB111" si="328">IF(AP111&lt;&gt;" ",IF(AW111&gt;0.2*0.5*(AR111+AR112),"Да","Нет")," ")</f>
        <v xml:space="preserve"> </v>
      </c>
      <c r="BC111" s="353">
        <f t="shared" ref="BC111" si="329">IF(AND(BE111&lt;&gt;0,BE111&lt;&gt;" "),AP111,0)</f>
        <v>0</v>
      </c>
      <c r="BD111" s="443" t="str">
        <f t="shared" ref="BD111" si="330">IF(AP111&lt;&gt;" ",IF(OR(AU111&lt;AR111,AU111=AR111),0.8*AW111*AP111/(5*$AX$109*10),0.8*AW111*AP111/($AX$109*10))," ")</f>
        <v xml:space="preserve"> </v>
      </c>
      <c r="BE111" s="353">
        <f t="shared" ref="BE111:BE171" si="331">IF(AP111&lt;&gt;" ",IF(AND(AY111="Нет",AZ111="Нет",BA111="Нет"),0,IF(AY111="Да",BD111,IF(AZ111="Да",BD111,IF(BA111="Да",BD111)))),0)</f>
        <v>0</v>
      </c>
      <c r="BF111" s="232"/>
      <c r="BH111" s="418"/>
      <c r="BI111" s="419"/>
      <c r="BJ111" s="202"/>
      <c r="BK111" s="419"/>
      <c r="BL111" s="213"/>
    </row>
    <row r="112" spans="33:64" ht="15.75" thickBot="1">
      <c r="AG112" s="370"/>
      <c r="AH112" s="370"/>
      <c r="AI112" s="364"/>
      <c r="AJ112" s="425"/>
      <c r="AK112" s="364"/>
      <c r="AL112" s="370"/>
      <c r="AM112" s="459"/>
      <c r="AN112" s="376"/>
      <c r="AO112" s="353"/>
      <c r="AP112" s="353"/>
      <c r="AQ112" s="183" t="str">
        <f>IF(AP111&lt;&gt;" ",MAX($AQ$9:AQ111)+AP111," ")</f>
        <v xml:space="preserve"> </v>
      </c>
      <c r="AR112" s="22" t="str">
        <f>IF(AP111&lt;&gt;" ",MAX($AR$9:AR111)+$AJ$29*AP111," ")</f>
        <v xml:space="preserve"> </v>
      </c>
      <c r="AS112" s="86" t="str">
        <f t="shared" si="232"/>
        <v xml:space="preserve"> </v>
      </c>
      <c r="AT112" s="264" t="str" cm="1">
        <f t="array" ref="AT112">IF(AS112&lt;&gt;" ",Interpol(31,8,Служебный!$H$54:$H$84,Служебный!$I$53:$P$53,Служебный!$I$54:$P$84,'Осадка поля'!$AS112,'Осадка поля'!$B$6)," ")</f>
        <v xml:space="preserve"> </v>
      </c>
      <c r="AU112" s="22" t="str">
        <f t="shared" si="225"/>
        <v xml:space="preserve"> </v>
      </c>
      <c r="AV112" s="22" t="str">
        <f>IF(AP111&lt;&gt;" ",AR112*0.5," ")</f>
        <v xml:space="preserve"> </v>
      </c>
      <c r="AW112" s="353"/>
      <c r="AX112" s="353"/>
      <c r="AY112" s="444"/>
      <c r="AZ112" s="444"/>
      <c r="BA112" s="445"/>
      <c r="BB112" s="444"/>
      <c r="BC112" s="353"/>
      <c r="BD112" s="444"/>
      <c r="BE112" s="353"/>
      <c r="BF112" s="232"/>
      <c r="BH112" s="418"/>
      <c r="BI112" s="419"/>
      <c r="BJ112" s="202"/>
      <c r="BK112" s="419"/>
      <c r="BL112" s="213"/>
    </row>
    <row r="113" spans="33:64">
      <c r="AG113" s="370"/>
      <c r="AH113" s="370"/>
      <c r="AI113" s="364"/>
      <c r="AJ113" s="425"/>
      <c r="AK113" s="364"/>
      <c r="AL113" s="370"/>
      <c r="AM113" s="459"/>
      <c r="AN113" s="376"/>
      <c r="AO113" s="353" t="str">
        <f>IF(AO111=" "," ", IF(AO111&lt;SUM(AN$9:AN$128),AO111+1, " "))</f>
        <v xml:space="preserve"> </v>
      </c>
      <c r="AP113" s="353" t="str">
        <f>IF(AO113&lt;&gt;" ",AM$109/COUNT(AO$109:AO$128), " ")</f>
        <v xml:space="preserve"> </v>
      </c>
      <c r="AQ113" s="183" t="str">
        <f>IF(AP113&lt;&gt;" ",SUM($AP$9:AP111)," ")</f>
        <v xml:space="preserve"> </v>
      </c>
      <c r="AR113" s="22" t="str">
        <f>IF(AP113&lt;&gt;" ",MAX($AR$9:AR112)," ")</f>
        <v xml:space="preserve"> </v>
      </c>
      <c r="AS113" s="86" t="str">
        <f t="shared" si="232"/>
        <v xml:space="preserve"> </v>
      </c>
      <c r="AT113" s="264" t="str" cm="1">
        <f t="array" ref="AT113">IF(AS113&lt;&gt;" ",Interpol(31,8,Служебный!$H$54:$H$84,Служебный!$I$53:$P$53,Служебный!$I$54:$P$84,'Осадка поля'!$AS113,'Осадка поля'!$B$6)," ")</f>
        <v xml:space="preserve"> </v>
      </c>
      <c r="AU113" s="22" t="str">
        <f t="shared" si="225"/>
        <v xml:space="preserve"> </v>
      </c>
      <c r="AV113" s="22" t="str">
        <f>IF(AP113&lt;&gt;" ",AR113*0.5," ")</f>
        <v xml:space="preserve"> </v>
      </c>
      <c r="AW113" s="353" t="str">
        <f>IF(AO113&lt;&gt;" ",(AU113+AU114)/2," ")</f>
        <v xml:space="preserve"> </v>
      </c>
      <c r="AX113" s="353"/>
      <c r="AY113" s="445" t="str">
        <f t="shared" ref="AY113" si="332">IF(AP113&lt;&gt;" ",IF(AQ113&gt;$B$15,"Нет","Да")," ")</f>
        <v xml:space="preserve"> </v>
      </c>
      <c r="AZ113" s="441" t="str">
        <f t="shared" ref="AZ113" si="333">IF(AP113&lt;&gt;" ",IF(AW113&gt;0.5*(AV113+AV114),"Да","Нет")," ")</f>
        <v xml:space="preserve"> </v>
      </c>
      <c r="BA113" s="441" t="str">
        <f t="shared" ref="BA113" si="334">IF(AP113&lt;&gt;" ",IF(OR($AX$109&lt;7,$AX$109=7),"Да","Нет")," ")</f>
        <v xml:space="preserve"> </v>
      </c>
      <c r="BB113" s="441" t="str">
        <f t="shared" ref="BB113" si="335">IF(AP113&lt;&gt;" ",IF(AW113&gt;0.2*0.5*(AR113+AR114),"Да","Нет")," ")</f>
        <v xml:space="preserve"> </v>
      </c>
      <c r="BC113" s="353">
        <f t="shared" ref="BC113:BC147" si="336">IF(AND(BE113&lt;&gt;0,BE113&lt;&gt;" "),AP113,0)</f>
        <v>0</v>
      </c>
      <c r="BD113" s="443" t="str">
        <f t="shared" ref="BD113" si="337">IF(AP113&lt;&gt;" ",IF(OR(AU113&lt;AR113,AU113=AR113),0.8*AW113*AP113/(5*$AX$109*10),0.8*AW113*AP113/($AX$109*10))," ")</f>
        <v xml:space="preserve"> </v>
      </c>
      <c r="BE113" s="353">
        <f t="shared" ref="BE113:BE173" si="338">IF(AP113&lt;&gt;" ",IF(AND(AY113="Нет",AZ113="Нет",BA113="Нет"),0,IF(AY113="Да",BD113,IF(AZ113="Да",BD113,IF(BA113="Да",BD113)))),0)</f>
        <v>0</v>
      </c>
      <c r="BF113" s="232"/>
      <c r="BH113" s="418"/>
      <c r="BI113" s="419"/>
      <c r="BJ113" s="202"/>
      <c r="BK113" s="419"/>
      <c r="BL113" s="213"/>
    </row>
    <row r="114" spans="33:64" ht="15.75" thickBot="1">
      <c r="AG114" s="370"/>
      <c r="AH114" s="370"/>
      <c r="AI114" s="364"/>
      <c r="AJ114" s="425"/>
      <c r="AK114" s="364"/>
      <c r="AL114" s="370"/>
      <c r="AM114" s="459"/>
      <c r="AN114" s="376"/>
      <c r="AO114" s="353"/>
      <c r="AP114" s="353"/>
      <c r="AQ114" s="183" t="str">
        <f>IF(AP113&lt;&gt;" ",MAX($AQ$9:AQ113)+AP113," ")</f>
        <v xml:space="preserve"> </v>
      </c>
      <c r="AR114" s="22" t="str">
        <f>IF(AP113&lt;&gt;" ",MAX($AR$9:AR113)+$AJ$29*AP113," ")</f>
        <v xml:space="preserve"> </v>
      </c>
      <c r="AS114" s="86" t="str">
        <f t="shared" si="232"/>
        <v xml:space="preserve"> </v>
      </c>
      <c r="AT114" s="264" t="str" cm="1">
        <f t="array" ref="AT114">IF(AS114&lt;&gt;" ",Interpol(31,8,Служебный!$H$54:$H$84,Служебный!$I$53:$P$53,Служебный!$I$54:$P$84,'Осадка поля'!$AS114,'Осадка поля'!$B$6)," ")</f>
        <v xml:space="preserve"> </v>
      </c>
      <c r="AU114" s="22" t="str">
        <f t="shared" si="225"/>
        <v xml:space="preserve"> </v>
      </c>
      <c r="AV114" s="22" t="str">
        <f>IF(AP113&lt;&gt;" ",AR114*0.5," ")</f>
        <v xml:space="preserve"> </v>
      </c>
      <c r="AW114" s="353"/>
      <c r="AX114" s="353"/>
      <c r="AY114" s="444"/>
      <c r="AZ114" s="444"/>
      <c r="BA114" s="445"/>
      <c r="BB114" s="444"/>
      <c r="BC114" s="353"/>
      <c r="BD114" s="444"/>
      <c r="BE114" s="353"/>
      <c r="BF114" s="232"/>
      <c r="BH114" s="418"/>
      <c r="BI114" s="419"/>
      <c r="BJ114" s="202"/>
      <c r="BK114" s="419"/>
      <c r="BL114" s="213"/>
    </row>
    <row r="115" spans="33:64">
      <c r="AG115" s="370"/>
      <c r="AH115" s="370"/>
      <c r="AI115" s="364"/>
      <c r="AJ115" s="425"/>
      <c r="AK115" s="364"/>
      <c r="AL115" s="370"/>
      <c r="AM115" s="459"/>
      <c r="AN115" s="376"/>
      <c r="AO115" s="353" t="str">
        <f>IF(AO113=" "," ", IF(AO113&lt;SUM(AN$9:AN$128),AO113+1, " "))</f>
        <v xml:space="preserve"> </v>
      </c>
      <c r="AP115" s="353" t="str">
        <f>IF(AO115&lt;&gt;" ",AM$109/COUNT(AO$109:AO$128), " ")</f>
        <v xml:space="preserve"> </v>
      </c>
      <c r="AQ115" s="183" t="str">
        <f>IF(AP115&lt;&gt;" ",SUM($AP$9:AP113)," ")</f>
        <v xml:space="preserve"> </v>
      </c>
      <c r="AR115" s="22" t="str">
        <f>IF(AP115&lt;&gt;" ",MAX($AR$9:AR114)," ")</f>
        <v xml:space="preserve"> </v>
      </c>
      <c r="AS115" s="86" t="str">
        <f t="shared" si="232"/>
        <v xml:space="preserve"> </v>
      </c>
      <c r="AT115" s="264" t="str" cm="1">
        <f t="array" ref="AT115">IF(AS115&lt;&gt;" ",Interpol(31,8,Служебный!$H$54:$H$84,Служебный!$I$53:$P$53,Служебный!$I$54:$P$84,'Осадка поля'!$AS115,'Осадка поля'!$B$6)," ")</f>
        <v xml:space="preserve"> </v>
      </c>
      <c r="AU115" s="22" t="str">
        <f t="shared" si="225"/>
        <v xml:space="preserve"> </v>
      </c>
      <c r="AV115" s="22" t="str">
        <f>IF(AP115&lt;&gt;" ",AR115*0.5," ")</f>
        <v xml:space="preserve"> </v>
      </c>
      <c r="AW115" s="353" t="str">
        <f>IF(AO115&lt;&gt;" ",(AU115+AU116)/2," ")</f>
        <v xml:space="preserve"> </v>
      </c>
      <c r="AX115" s="353"/>
      <c r="AY115" s="445" t="str">
        <f t="shared" ref="AY115" si="339">IF(AP115&lt;&gt;" ",IF(AQ115&gt;$B$15,"Нет","Да")," ")</f>
        <v xml:space="preserve"> </v>
      </c>
      <c r="AZ115" s="441" t="str">
        <f t="shared" ref="AZ115" si="340">IF(AP115&lt;&gt;" ",IF(AW115&gt;0.5*(AV115+AV116),"Да","Нет")," ")</f>
        <v xml:space="preserve"> </v>
      </c>
      <c r="BA115" s="441" t="str">
        <f t="shared" ref="BA115" si="341">IF(AP115&lt;&gt;" ",IF(OR($AX$109&lt;7,$AX$109=7),"Да","Нет")," ")</f>
        <v xml:space="preserve"> </v>
      </c>
      <c r="BB115" s="441" t="str">
        <f t="shared" ref="BB115" si="342">IF(AP115&lt;&gt;" ",IF(AW115&gt;0.2*0.5*(AR115+AR116),"Да","Нет")," ")</f>
        <v xml:space="preserve"> </v>
      </c>
      <c r="BC115" s="353">
        <f t="shared" ref="BC115:BC149" si="343">IF(AND(BE115&lt;&gt;0,BE115&lt;&gt;" "),AP115,0)</f>
        <v>0</v>
      </c>
      <c r="BD115" s="443" t="str">
        <f t="shared" ref="BD115" si="344">IF(AP115&lt;&gt;" ",IF(OR(AU115&lt;AR115,AU115=AR115),0.8*AW115*AP115/(5*$AX$109*10),0.8*AW115*AP115/($AX$109*10))," ")</f>
        <v xml:space="preserve"> </v>
      </c>
      <c r="BE115" s="353">
        <f t="shared" ref="BE115:BE175" si="345">IF(AP115&lt;&gt;" ",IF(AND(AY115="Нет",AZ115="Нет",BA115="Нет"),0,IF(AY115="Да",BD115,IF(AZ115="Да",BD115,IF(BA115="Да",BD115)))),0)</f>
        <v>0</v>
      </c>
      <c r="BF115" s="232"/>
      <c r="BH115" s="418"/>
      <c r="BI115" s="419"/>
      <c r="BJ115" s="202"/>
      <c r="BK115" s="419"/>
      <c r="BL115" s="213"/>
    </row>
    <row r="116" spans="33:64" ht="15.75" thickBot="1">
      <c r="AG116" s="370"/>
      <c r="AH116" s="370"/>
      <c r="AI116" s="364"/>
      <c r="AJ116" s="425"/>
      <c r="AK116" s="364"/>
      <c r="AL116" s="370"/>
      <c r="AM116" s="459"/>
      <c r="AN116" s="376"/>
      <c r="AO116" s="353"/>
      <c r="AP116" s="353"/>
      <c r="AQ116" s="183" t="str">
        <f>IF(AP115&lt;&gt;" ",MAX($AQ$9:AQ115)+AP115," ")</f>
        <v xml:space="preserve"> </v>
      </c>
      <c r="AR116" s="22" t="str">
        <f>IF(AP115&lt;&gt;" ",MAX($AR$9:AR115)+$AJ$29*AP115," ")</f>
        <v xml:space="preserve"> </v>
      </c>
      <c r="AS116" s="86" t="str">
        <f t="shared" si="232"/>
        <v xml:space="preserve"> </v>
      </c>
      <c r="AT116" s="264" t="str" cm="1">
        <f t="array" ref="AT116">IF(AS116&lt;&gt;" ",Interpol(31,8,Служебный!$H$54:$H$84,Служебный!$I$53:$P$53,Служебный!$I$54:$P$84,'Осадка поля'!$AS116,'Осадка поля'!$B$6)," ")</f>
        <v xml:space="preserve"> </v>
      </c>
      <c r="AU116" s="22" t="str">
        <f t="shared" si="225"/>
        <v xml:space="preserve"> </v>
      </c>
      <c r="AV116" s="22" t="str">
        <f>IF(AP115&lt;&gt;" ",AR116*0.5," ")</f>
        <v xml:space="preserve"> </v>
      </c>
      <c r="AW116" s="353"/>
      <c r="AX116" s="353"/>
      <c r="AY116" s="444"/>
      <c r="AZ116" s="444"/>
      <c r="BA116" s="445"/>
      <c r="BB116" s="444"/>
      <c r="BC116" s="353"/>
      <c r="BD116" s="444"/>
      <c r="BE116" s="353"/>
      <c r="BF116" s="232"/>
      <c r="BH116" s="418"/>
      <c r="BI116" s="419"/>
      <c r="BJ116" s="202"/>
      <c r="BK116" s="419"/>
      <c r="BL116" s="213"/>
    </row>
    <row r="117" spans="33:64">
      <c r="AG117" s="370"/>
      <c r="AH117" s="370"/>
      <c r="AI117" s="364"/>
      <c r="AJ117" s="425"/>
      <c r="AK117" s="364"/>
      <c r="AL117" s="370"/>
      <c r="AM117" s="459"/>
      <c r="AN117" s="376"/>
      <c r="AO117" s="353" t="str">
        <f>IF(AO115=" "," ", IF(AO115&lt;SUM(AN$9:AN$128),AO115+1, " "))</f>
        <v xml:space="preserve"> </v>
      </c>
      <c r="AP117" s="353" t="str">
        <f>IF(AO117&lt;&gt;" ",AM$109/COUNT(AO$109:AO$128), " ")</f>
        <v xml:space="preserve"> </v>
      </c>
      <c r="AQ117" s="183" t="str">
        <f>IF(AP117&lt;&gt;" ",SUM($AP$9:AP115)," ")</f>
        <v xml:space="preserve"> </v>
      </c>
      <c r="AR117" s="22" t="str">
        <f>IF(AP117&lt;&gt;" ",MAX($AR$9:AR116)," ")</f>
        <v xml:space="preserve"> </v>
      </c>
      <c r="AS117" s="86" t="str">
        <f t="shared" si="232"/>
        <v xml:space="preserve"> </v>
      </c>
      <c r="AT117" s="264" t="str" cm="1">
        <f t="array" ref="AT117">IF(AS117&lt;&gt;" ",Interpol(31,8,Служебный!$H$54:$H$84,Служебный!$I$53:$P$53,Служебный!$I$54:$P$84,'Осадка поля'!$AS117,'Осадка поля'!$B$6)," ")</f>
        <v xml:space="preserve"> </v>
      </c>
      <c r="AU117" s="22" t="str">
        <f t="shared" si="225"/>
        <v xml:space="preserve"> </v>
      </c>
      <c r="AV117" s="22" t="str">
        <f>IF(AP117&lt;&gt;" ",AR117*0.5," ")</f>
        <v xml:space="preserve"> </v>
      </c>
      <c r="AW117" s="353" t="str">
        <f>IF(AO117&lt;&gt;" ",(AU117+AU118)/2," ")</f>
        <v xml:space="preserve"> </v>
      </c>
      <c r="AX117" s="353"/>
      <c r="AY117" s="445" t="str">
        <f t="shared" ref="AY117" si="346">IF(AP117&lt;&gt;" ",IF(AQ117&gt;$B$15,"Нет","Да")," ")</f>
        <v xml:space="preserve"> </v>
      </c>
      <c r="AZ117" s="441" t="str">
        <f t="shared" ref="AZ117" si="347">IF(AP117&lt;&gt;" ",IF(AW117&gt;0.5*(AV117+AV118),"Да","Нет")," ")</f>
        <v xml:space="preserve"> </v>
      </c>
      <c r="BA117" s="441" t="str">
        <f t="shared" ref="BA117" si="348">IF(AP117&lt;&gt;" ",IF(OR($AX$109&lt;7,$AX$109=7),"Да","Нет")," ")</f>
        <v xml:space="preserve"> </v>
      </c>
      <c r="BB117" s="441" t="str">
        <f t="shared" ref="BB117" si="349">IF(AP117&lt;&gt;" ",IF(AW117&gt;0.2*0.5*(AR117+AR118),"Да","Нет")," ")</f>
        <v xml:space="preserve"> </v>
      </c>
      <c r="BC117" s="353">
        <f t="shared" ref="BC117:BC151" si="350">IF(AND(BE117&lt;&gt;0,BE117&lt;&gt;" "),AP117,0)</f>
        <v>0</v>
      </c>
      <c r="BD117" s="443" t="str">
        <f t="shared" ref="BD117" si="351">IF(AP117&lt;&gt;" ",IF(OR(AU117&lt;AR117,AU117=AR117),0.8*AW117*AP117/(5*$AX$109*10),0.8*AW117*AP117/($AX$109*10))," ")</f>
        <v xml:space="preserve"> </v>
      </c>
      <c r="BE117" s="353">
        <f t="shared" ref="BE117:BE177" si="352">IF(AP117&lt;&gt;" ",IF(AND(AY117="Нет",AZ117="Нет",BA117="Нет"),0,IF(AY117="Да",BD117,IF(AZ117="Да",BD117,IF(BA117="Да",BD117)))),0)</f>
        <v>0</v>
      </c>
      <c r="BF117" s="232"/>
      <c r="BH117" s="418"/>
      <c r="BI117" s="419"/>
      <c r="BJ117" s="202"/>
      <c r="BK117" s="419"/>
      <c r="BL117" s="213"/>
    </row>
    <row r="118" spans="33:64" ht="15.75" thickBot="1">
      <c r="AG118" s="370"/>
      <c r="AH118" s="370"/>
      <c r="AI118" s="364"/>
      <c r="AJ118" s="425"/>
      <c r="AK118" s="364"/>
      <c r="AL118" s="370"/>
      <c r="AM118" s="459"/>
      <c r="AN118" s="376"/>
      <c r="AO118" s="353"/>
      <c r="AP118" s="353"/>
      <c r="AQ118" s="183" t="str">
        <f>IF(AP117&lt;&gt;" ",MAX($AQ$9:AQ117)+AP117," ")</f>
        <v xml:space="preserve"> </v>
      </c>
      <c r="AR118" s="22" t="str">
        <f>IF(AP117&lt;&gt;" ",MAX($AR$9:AR117)+$AJ$29*AP117," ")</f>
        <v xml:space="preserve"> </v>
      </c>
      <c r="AS118" s="86" t="str">
        <f t="shared" si="232"/>
        <v xml:space="preserve"> </v>
      </c>
      <c r="AT118" s="264" t="str" cm="1">
        <f t="array" ref="AT118">IF(AS118&lt;&gt;" ",Interpol(31,8,Служебный!$H$54:$H$84,Служебный!$I$53:$P$53,Служебный!$I$54:$P$84,'Осадка поля'!$AS118,'Осадка поля'!$B$6)," ")</f>
        <v xml:space="preserve"> </v>
      </c>
      <c r="AU118" s="22" t="str">
        <f t="shared" si="225"/>
        <v xml:space="preserve"> </v>
      </c>
      <c r="AV118" s="22" t="str">
        <f>IF(AP117&lt;&gt;" ",AR118*0.5," ")</f>
        <v xml:space="preserve"> </v>
      </c>
      <c r="AW118" s="353"/>
      <c r="AX118" s="353"/>
      <c r="AY118" s="444"/>
      <c r="AZ118" s="444"/>
      <c r="BA118" s="445"/>
      <c r="BB118" s="444"/>
      <c r="BC118" s="353"/>
      <c r="BD118" s="444"/>
      <c r="BE118" s="353"/>
      <c r="BF118" s="232"/>
      <c r="BH118" s="418"/>
      <c r="BI118" s="419"/>
      <c r="BJ118" s="202"/>
      <c r="BK118" s="419"/>
      <c r="BL118" s="213"/>
    </row>
    <row r="119" spans="33:64">
      <c r="AG119" s="370"/>
      <c r="AH119" s="370"/>
      <c r="AI119" s="364"/>
      <c r="AJ119" s="425"/>
      <c r="AK119" s="364"/>
      <c r="AL119" s="370"/>
      <c r="AM119" s="459"/>
      <c r="AN119" s="376"/>
      <c r="AO119" s="353" t="str">
        <f>IF(AO117=" "," ", IF(AO117&lt;SUM(AN$9:AN$128),AO117+1, " "))</f>
        <v xml:space="preserve"> </v>
      </c>
      <c r="AP119" s="353" t="str">
        <f>IF(AO119&lt;&gt;" ",AM$109/COUNT(AO$109:AO$128), " ")</f>
        <v xml:space="preserve"> </v>
      </c>
      <c r="AQ119" s="183" t="str">
        <f>IF(AP119&lt;&gt;" ",SUM($AP$9:AP117)," ")</f>
        <v xml:space="preserve"> </v>
      </c>
      <c r="AR119" s="22" t="str">
        <f>IF(AP119&lt;&gt;" ",MAX($AR$9:AR118)," ")</f>
        <v xml:space="preserve"> </v>
      </c>
      <c r="AS119" s="86" t="str">
        <f t="shared" si="232"/>
        <v xml:space="preserve"> </v>
      </c>
      <c r="AT119" s="264" t="str" cm="1">
        <f t="array" ref="AT119">IF(AS119&lt;&gt;" ",Interpol(31,8,Служебный!$H$54:$H$84,Служебный!$I$53:$P$53,Служебный!$I$54:$P$84,'Осадка поля'!$AS119,'Осадка поля'!$B$6)," ")</f>
        <v xml:space="preserve"> </v>
      </c>
      <c r="AU119" s="22" t="str">
        <f t="shared" si="225"/>
        <v xml:space="preserve"> </v>
      </c>
      <c r="AV119" s="22" t="str">
        <f>IF(AP119&lt;&gt;" ",AR119*0.5," ")</f>
        <v xml:space="preserve"> </v>
      </c>
      <c r="AW119" s="353" t="str">
        <f>IF(AO119&lt;&gt;" ",(AU119+AU120)/2," ")</f>
        <v xml:space="preserve"> </v>
      </c>
      <c r="AX119" s="353"/>
      <c r="AY119" s="445" t="str">
        <f t="shared" ref="AY119" si="353">IF(AP119&lt;&gt;" ",IF(AQ119&gt;$B$15,"Нет","Да")," ")</f>
        <v xml:space="preserve"> </v>
      </c>
      <c r="AZ119" s="441" t="str">
        <f t="shared" ref="AZ119" si="354">IF(AP119&lt;&gt;" ",IF(AW119&gt;0.5*(AV119+AV120),"Да","Нет")," ")</f>
        <v xml:space="preserve"> </v>
      </c>
      <c r="BA119" s="441" t="str">
        <f t="shared" ref="BA119" si="355">IF(AP119&lt;&gt;" ",IF(OR($AX$109&lt;7,$AX$109=7),"Да","Нет")," ")</f>
        <v xml:space="preserve"> </v>
      </c>
      <c r="BB119" s="441" t="str">
        <f t="shared" ref="BB119" si="356">IF(AP119&lt;&gt;" ",IF(AW119&gt;0.2*0.5*(AR119+AR120),"Да","Нет")," ")</f>
        <v xml:space="preserve"> </v>
      </c>
      <c r="BC119" s="353">
        <f t="shared" ref="BC119:BC153" si="357">IF(AND(BE119&lt;&gt;0,BE119&lt;&gt;" "),AP119,0)</f>
        <v>0</v>
      </c>
      <c r="BD119" s="443" t="str">
        <f t="shared" ref="BD119" si="358">IF(AP119&lt;&gt;" ",IF(OR(AU119&lt;AR119,AU119=AR119),0.8*AW119*AP119/(5*$AX$109*10),0.8*AW119*AP119/($AX$109*10))," ")</f>
        <v xml:space="preserve"> </v>
      </c>
      <c r="BE119" s="353">
        <f t="shared" ref="BE119:BE179" si="359">IF(AP119&lt;&gt;" ",IF(AND(AY119="Нет",AZ119="Нет",BA119="Нет"),0,IF(AY119="Да",BD119,IF(AZ119="Да",BD119,IF(BA119="Да",BD119)))),0)</f>
        <v>0</v>
      </c>
      <c r="BF119" s="232"/>
      <c r="BH119" s="418"/>
      <c r="BI119" s="419"/>
      <c r="BJ119" s="202"/>
      <c r="BK119" s="419"/>
      <c r="BL119" s="213"/>
    </row>
    <row r="120" spans="33:64" ht="15.75" thickBot="1">
      <c r="AG120" s="370"/>
      <c r="AH120" s="370"/>
      <c r="AI120" s="364"/>
      <c r="AJ120" s="425"/>
      <c r="AK120" s="364"/>
      <c r="AL120" s="370"/>
      <c r="AM120" s="459"/>
      <c r="AN120" s="376"/>
      <c r="AO120" s="353"/>
      <c r="AP120" s="353"/>
      <c r="AQ120" s="183" t="str">
        <f>IF(AP119&lt;&gt;" ",MAX($AQ$9:AQ119)+AP119," ")</f>
        <v xml:space="preserve"> </v>
      </c>
      <c r="AR120" s="22" t="str">
        <f>IF(AP119&lt;&gt;" ",MAX($AR$9:AR119)+$AJ$29*AP119," ")</f>
        <v xml:space="preserve"> </v>
      </c>
      <c r="AS120" s="86" t="str">
        <f t="shared" si="232"/>
        <v xml:space="preserve"> </v>
      </c>
      <c r="AT120" s="264" t="str" cm="1">
        <f t="array" ref="AT120">IF(AS120&lt;&gt;" ",Interpol(31,8,Служебный!$H$54:$H$84,Служебный!$I$53:$P$53,Служебный!$I$54:$P$84,'Осадка поля'!$AS120,'Осадка поля'!$B$6)," ")</f>
        <v xml:space="preserve"> </v>
      </c>
      <c r="AU120" s="22" t="str">
        <f t="shared" si="225"/>
        <v xml:space="preserve"> </v>
      </c>
      <c r="AV120" s="22" t="str">
        <f>IF(AP119&lt;&gt;" ",AR120*0.5," ")</f>
        <v xml:space="preserve"> </v>
      </c>
      <c r="AW120" s="353"/>
      <c r="AX120" s="353"/>
      <c r="AY120" s="444"/>
      <c r="AZ120" s="444"/>
      <c r="BA120" s="445"/>
      <c r="BB120" s="444"/>
      <c r="BC120" s="353"/>
      <c r="BD120" s="444"/>
      <c r="BE120" s="353"/>
      <c r="BF120" s="232"/>
      <c r="BH120" s="418"/>
      <c r="BI120" s="419"/>
      <c r="BJ120" s="202"/>
      <c r="BK120" s="419"/>
      <c r="BL120" s="213"/>
    </row>
    <row r="121" spans="33:64">
      <c r="AG121" s="370"/>
      <c r="AH121" s="370"/>
      <c r="AI121" s="364"/>
      <c r="AJ121" s="425"/>
      <c r="AK121" s="364"/>
      <c r="AL121" s="370"/>
      <c r="AM121" s="459"/>
      <c r="AN121" s="376"/>
      <c r="AO121" s="353" t="str">
        <f>IF(AO119=" "," ", IF(AO119&lt;SUM(AN$9:AN$128),AO119+1, " "))</f>
        <v xml:space="preserve"> </v>
      </c>
      <c r="AP121" s="353" t="str">
        <f>IF(AO121&lt;&gt;" ",AM$109/COUNT(AO$109:AO$128), " ")</f>
        <v xml:space="preserve"> </v>
      </c>
      <c r="AQ121" s="183" t="str">
        <f>IF(AP121&lt;&gt;" ",SUM($AP$9:AP119)," ")</f>
        <v xml:space="preserve"> </v>
      </c>
      <c r="AR121" s="22" t="str">
        <f>IF(AP121&lt;&gt;" ",MAX($AR$9:AR120)," ")</f>
        <v xml:space="preserve"> </v>
      </c>
      <c r="AS121" s="86" t="str">
        <f t="shared" si="232"/>
        <v xml:space="preserve"> </v>
      </c>
      <c r="AT121" s="264" t="str" cm="1">
        <f t="array" ref="AT121">IF(AS121&lt;&gt;" ",Interpol(31,8,Служебный!$H$54:$H$84,Служебный!$I$53:$P$53,Служебный!$I$54:$P$84,'Осадка поля'!$AS121,'Осадка поля'!$B$6)," ")</f>
        <v xml:space="preserve"> </v>
      </c>
      <c r="AU121" s="22" t="str">
        <f t="shared" si="225"/>
        <v xml:space="preserve"> </v>
      </c>
      <c r="AV121" s="22" t="str">
        <f>IF(AP121&lt;&gt;" ",AR121*0.5," ")</f>
        <v xml:space="preserve"> </v>
      </c>
      <c r="AW121" s="353" t="str">
        <f>IF(AO121&lt;&gt;" ",(AU121+AU122)/2," ")</f>
        <v xml:space="preserve"> </v>
      </c>
      <c r="AX121" s="353"/>
      <c r="AY121" s="445" t="str">
        <f t="shared" ref="AY121" si="360">IF(AP121&lt;&gt;" ",IF(AQ121&gt;$B$15,"Нет","Да")," ")</f>
        <v xml:space="preserve"> </v>
      </c>
      <c r="AZ121" s="441" t="str">
        <f t="shared" ref="AZ121" si="361">IF(AP121&lt;&gt;" ",IF(AW121&gt;0.5*(AV121+AV122),"Да","Нет")," ")</f>
        <v xml:space="preserve"> </v>
      </c>
      <c r="BA121" s="441" t="str">
        <f t="shared" ref="BA121" si="362">IF(AP121&lt;&gt;" ",IF(OR($AX$109&lt;7,$AX$109=7),"Да","Нет")," ")</f>
        <v xml:space="preserve"> </v>
      </c>
      <c r="BB121" s="441" t="str">
        <f t="shared" ref="BB121" si="363">IF(AP121&lt;&gt;" ",IF(AW121&gt;0.2*0.5*(AR121+AR122),"Да","Нет")," ")</f>
        <v xml:space="preserve"> </v>
      </c>
      <c r="BC121" s="353">
        <f t="shared" ref="BC121:BC155" si="364">IF(AND(BE121&lt;&gt;0,BE121&lt;&gt;" "),AP121,0)</f>
        <v>0</v>
      </c>
      <c r="BD121" s="443" t="str">
        <f t="shared" ref="BD121" si="365">IF(AP121&lt;&gt;" ",IF(OR(AU121&lt;AR121,AU121=AR121),0.8*AW121*AP121/(5*$AX$109*10),0.8*AW121*AP121/($AX$109*10))," ")</f>
        <v xml:space="preserve"> </v>
      </c>
      <c r="BE121" s="353">
        <f t="shared" ref="BE121:BE181" si="366">IF(AP121&lt;&gt;" ",IF(AND(AY121="Нет",AZ121="Нет",BA121="Нет"),0,IF(AY121="Да",BD121,IF(AZ121="Да",BD121,IF(BA121="Да",BD121)))),0)</f>
        <v>0</v>
      </c>
      <c r="BF121" s="232"/>
      <c r="BH121" s="418"/>
      <c r="BI121" s="419"/>
      <c r="BJ121" s="202"/>
      <c r="BK121" s="419"/>
      <c r="BL121" s="213"/>
    </row>
    <row r="122" spans="33:64" ht="15.75" thickBot="1">
      <c r="AG122" s="370"/>
      <c r="AH122" s="370"/>
      <c r="AI122" s="364"/>
      <c r="AJ122" s="425"/>
      <c r="AK122" s="364"/>
      <c r="AL122" s="370"/>
      <c r="AM122" s="459"/>
      <c r="AN122" s="376"/>
      <c r="AO122" s="353"/>
      <c r="AP122" s="353"/>
      <c r="AQ122" s="183" t="str">
        <f>IF(AP121&lt;&gt;" ",MAX($AQ$9:AQ121)+AP121," ")</f>
        <v xml:space="preserve"> </v>
      </c>
      <c r="AR122" s="22" t="str">
        <f>IF(AP121&lt;&gt;" ",MAX($AR$9:AR121)+$AJ$29*AP121," ")</f>
        <v xml:space="preserve"> </v>
      </c>
      <c r="AS122" s="86" t="str">
        <f t="shared" si="232"/>
        <v xml:space="preserve"> </v>
      </c>
      <c r="AT122" s="264" t="str" cm="1">
        <f t="array" ref="AT122">IF(AS122&lt;&gt;" ",Interpol(31,8,Служебный!$H$54:$H$84,Служебный!$I$53:$P$53,Служебный!$I$54:$P$84,'Осадка поля'!$AS122,'Осадка поля'!$B$6)," ")</f>
        <v xml:space="preserve"> </v>
      </c>
      <c r="AU122" s="22" t="str">
        <f t="shared" si="225"/>
        <v xml:space="preserve"> </v>
      </c>
      <c r="AV122" s="22" t="str">
        <f>IF(AP121&lt;&gt;" ",AR122*0.5," ")</f>
        <v xml:space="preserve"> </v>
      </c>
      <c r="AW122" s="353"/>
      <c r="AX122" s="353"/>
      <c r="AY122" s="444"/>
      <c r="AZ122" s="444"/>
      <c r="BA122" s="445"/>
      <c r="BB122" s="444"/>
      <c r="BC122" s="353"/>
      <c r="BD122" s="444"/>
      <c r="BE122" s="353"/>
      <c r="BF122" s="232"/>
      <c r="BH122" s="418"/>
      <c r="BI122" s="419"/>
      <c r="BJ122" s="202"/>
      <c r="BK122" s="419"/>
      <c r="BL122" s="213"/>
    </row>
    <row r="123" spans="33:64">
      <c r="AG123" s="370"/>
      <c r="AH123" s="370"/>
      <c r="AI123" s="364"/>
      <c r="AJ123" s="425"/>
      <c r="AK123" s="364"/>
      <c r="AL123" s="370"/>
      <c r="AM123" s="459"/>
      <c r="AN123" s="376"/>
      <c r="AO123" s="353" t="str">
        <f>IF(AO121=" "," ", IF(AO121&lt;SUM(AN$9:AN$128),AO121+1, " "))</f>
        <v xml:space="preserve"> </v>
      </c>
      <c r="AP123" s="353" t="str">
        <f>IF(AO123&lt;&gt;" ",AM$109/COUNT(AO$109:AO$128), " ")</f>
        <v xml:space="preserve"> </v>
      </c>
      <c r="AQ123" s="183" t="str">
        <f>IF(AP123&lt;&gt;" ",SUM($AP$9:AP121)," ")</f>
        <v xml:space="preserve"> </v>
      </c>
      <c r="AR123" s="22" t="str">
        <f>IF(AP123&lt;&gt;" ",MAX($AR$9:AR122)," ")</f>
        <v xml:space="preserve"> </v>
      </c>
      <c r="AS123" s="86" t="str">
        <f t="shared" si="232"/>
        <v xml:space="preserve"> </v>
      </c>
      <c r="AT123" s="264" t="str" cm="1">
        <f t="array" ref="AT123">IF(AS123&lt;&gt;" ",Interpol(31,8,Служебный!$H$54:$H$84,Служебный!$I$53:$P$53,Служебный!$I$54:$P$84,'Осадка поля'!$AS123,'Осадка поля'!$B$6)," ")</f>
        <v xml:space="preserve"> </v>
      </c>
      <c r="AU123" s="22" t="str">
        <f t="shared" si="225"/>
        <v xml:space="preserve"> </v>
      </c>
      <c r="AV123" s="22" t="str">
        <f>IF(AP123&lt;&gt;" ",AR123*0.5," ")</f>
        <v xml:space="preserve"> </v>
      </c>
      <c r="AW123" s="353" t="str">
        <f>IF(AO123&lt;&gt;" ",(AU123+AU124)/2," ")</f>
        <v xml:space="preserve"> </v>
      </c>
      <c r="AX123" s="353"/>
      <c r="AY123" s="445" t="str">
        <f t="shared" ref="AY123" si="367">IF(AP123&lt;&gt;" ",IF(AQ123&gt;$B$15,"Нет","Да")," ")</f>
        <v xml:space="preserve"> </v>
      </c>
      <c r="AZ123" s="441" t="str">
        <f t="shared" ref="AZ123" si="368">IF(AP123&lt;&gt;" ",IF(AW123&gt;0.5*(AV123+AV124),"Да","Нет")," ")</f>
        <v xml:space="preserve"> </v>
      </c>
      <c r="BA123" s="441" t="str">
        <f t="shared" ref="BA123" si="369">IF(AP123&lt;&gt;" ",IF(OR($AX$109&lt;7,$AX$109=7),"Да","Нет")," ")</f>
        <v xml:space="preserve"> </v>
      </c>
      <c r="BB123" s="441" t="str">
        <f t="shared" ref="BB123" si="370">IF(AP123&lt;&gt;" ",IF(AW123&gt;0.2*0.5*(AR123+AR124),"Да","Нет")," ")</f>
        <v xml:space="preserve"> </v>
      </c>
      <c r="BC123" s="353">
        <f t="shared" ref="BC123:BC157" si="371">IF(AND(BE123&lt;&gt;0,BE123&lt;&gt;" "),AP123,0)</f>
        <v>0</v>
      </c>
      <c r="BD123" s="443" t="str">
        <f t="shared" ref="BD123" si="372">IF(AP123&lt;&gt;" ",IF(OR(AU123&lt;AR123,AU123=AR123),0.8*AW123*AP123/(5*$AX$109*10),0.8*AW123*AP123/($AX$109*10))," ")</f>
        <v xml:space="preserve"> </v>
      </c>
      <c r="BE123" s="353">
        <f t="shared" ref="BE123:BE183" si="373">IF(AP123&lt;&gt;" ",IF(AND(AY123="Нет",AZ123="Нет",BA123="Нет"),0,IF(AY123="Да",BD123,IF(AZ123="Да",BD123,IF(BA123="Да",BD123)))),0)</f>
        <v>0</v>
      </c>
      <c r="BF123" s="232"/>
      <c r="BH123" s="418"/>
      <c r="BI123" s="419"/>
      <c r="BJ123" s="202"/>
      <c r="BK123" s="419"/>
      <c r="BL123" s="213"/>
    </row>
    <row r="124" spans="33:64" ht="15.75" thickBot="1">
      <c r="AG124" s="370"/>
      <c r="AH124" s="370"/>
      <c r="AI124" s="364"/>
      <c r="AJ124" s="425"/>
      <c r="AK124" s="364"/>
      <c r="AL124" s="370"/>
      <c r="AM124" s="459"/>
      <c r="AN124" s="376"/>
      <c r="AO124" s="353"/>
      <c r="AP124" s="353"/>
      <c r="AQ124" s="183" t="str">
        <f>IF(AP123&lt;&gt;" ",MAX($AQ$9:AQ123)+AP123," ")</f>
        <v xml:space="preserve"> </v>
      </c>
      <c r="AR124" s="22" t="str">
        <f>IF(AP123&lt;&gt;" ",MAX($AR$9:AR123)+$AJ$29*AP123," ")</f>
        <v xml:space="preserve"> </v>
      </c>
      <c r="AS124" s="86" t="str">
        <f t="shared" si="232"/>
        <v xml:space="preserve"> </v>
      </c>
      <c r="AT124" s="264" t="str" cm="1">
        <f t="array" ref="AT124">IF(AS124&lt;&gt;" ",Interpol(31,8,Служебный!$H$54:$H$84,Служебный!$I$53:$P$53,Служебный!$I$54:$P$84,'Осадка поля'!$AS124,'Осадка поля'!$B$6)," ")</f>
        <v xml:space="preserve"> </v>
      </c>
      <c r="AU124" s="22" t="str">
        <f t="shared" si="225"/>
        <v xml:space="preserve"> </v>
      </c>
      <c r="AV124" s="22" t="str">
        <f>IF(AP123&lt;&gt;" ",AR124*0.5," ")</f>
        <v xml:space="preserve"> </v>
      </c>
      <c r="AW124" s="353"/>
      <c r="AX124" s="353"/>
      <c r="AY124" s="444"/>
      <c r="AZ124" s="444"/>
      <c r="BA124" s="445"/>
      <c r="BB124" s="444"/>
      <c r="BC124" s="353"/>
      <c r="BD124" s="444"/>
      <c r="BE124" s="353"/>
      <c r="BF124" s="232"/>
      <c r="BH124" s="418"/>
      <c r="BI124" s="419"/>
      <c r="BJ124" s="202"/>
      <c r="BK124" s="419"/>
      <c r="BL124" s="213"/>
    </row>
    <row r="125" spans="33:64">
      <c r="AG125" s="370"/>
      <c r="AH125" s="370"/>
      <c r="AI125" s="364"/>
      <c r="AJ125" s="425"/>
      <c r="AK125" s="364"/>
      <c r="AL125" s="370"/>
      <c r="AM125" s="459"/>
      <c r="AN125" s="376"/>
      <c r="AO125" s="353" t="str">
        <f>IF(AO123=" "," ", IF(AO123&lt;SUM(AN$9:AN$128),AO123+1, " "))</f>
        <v xml:space="preserve"> </v>
      </c>
      <c r="AP125" s="353" t="str">
        <f>IF(AO125&lt;&gt;" ",AM$109/COUNT(AO$109:AO$128), " ")</f>
        <v xml:space="preserve"> </v>
      </c>
      <c r="AQ125" s="183" t="str">
        <f>IF(AP125&lt;&gt;" ",SUM($AP$9:AP123)," ")</f>
        <v xml:space="preserve"> </v>
      </c>
      <c r="AR125" s="22" t="str">
        <f>IF(AP125&lt;&gt;" ",MAX($AR$9:AR124)," ")</f>
        <v xml:space="preserve"> </v>
      </c>
      <c r="AS125" s="86" t="str">
        <f t="shared" si="232"/>
        <v xml:space="preserve"> </v>
      </c>
      <c r="AT125" s="264" t="str" cm="1">
        <f t="array" ref="AT125">IF(AS125&lt;&gt;" ",Interpol(31,8,Служебный!$H$54:$H$84,Служебный!$I$53:$P$53,Служебный!$I$54:$P$84,'Осадка поля'!$AS125,'Осадка поля'!$B$6)," ")</f>
        <v xml:space="preserve"> </v>
      </c>
      <c r="AU125" s="22" t="str">
        <f t="shared" si="225"/>
        <v xml:space="preserve"> </v>
      </c>
      <c r="AV125" s="22" t="str">
        <f>IF(AP125&lt;&gt;" ",AR125*0.5," ")</f>
        <v xml:space="preserve"> </v>
      </c>
      <c r="AW125" s="353" t="str">
        <f>IF(AO125&lt;&gt;" ",(AU125+AU126)/2," ")</f>
        <v xml:space="preserve"> </v>
      </c>
      <c r="AX125" s="353"/>
      <c r="AY125" s="445" t="str">
        <f t="shared" ref="AY125" si="374">IF(AP125&lt;&gt;" ",IF(AQ125&gt;$B$15,"Нет","Да")," ")</f>
        <v xml:space="preserve"> </v>
      </c>
      <c r="AZ125" s="441" t="str">
        <f t="shared" ref="AZ125" si="375">IF(AP125&lt;&gt;" ",IF(AW125&gt;0.5*(AV125+AV126),"Да","Нет")," ")</f>
        <v xml:space="preserve"> </v>
      </c>
      <c r="BA125" s="441" t="str">
        <f t="shared" ref="BA125" si="376">IF(AP125&lt;&gt;" ",IF(OR($AX$109&lt;7,$AX$109=7),"Да","Нет")," ")</f>
        <v xml:space="preserve"> </v>
      </c>
      <c r="BB125" s="441" t="str">
        <f t="shared" ref="BB125" si="377">IF(AP125&lt;&gt;" ",IF(AW125&gt;0.2*0.5*(AR125+AR126),"Да","Нет")," ")</f>
        <v xml:space="preserve"> </v>
      </c>
      <c r="BC125" s="353">
        <f t="shared" ref="BC125:BC159" si="378">IF(AND(BE125&lt;&gt;0,BE125&lt;&gt;" "),AP125,0)</f>
        <v>0</v>
      </c>
      <c r="BD125" s="443" t="str">
        <f t="shared" ref="BD125" si="379">IF(AP125&lt;&gt;" ",IF(OR(AU125&lt;AR125,AU125=AR125),0.8*AW125*AP125/(5*$AX$109*10),0.8*AW125*AP125/($AX$109*10))," ")</f>
        <v xml:space="preserve"> </v>
      </c>
      <c r="BE125" s="353">
        <f t="shared" ref="BE125:BE185" si="380">IF(AP125&lt;&gt;" ",IF(AND(AY125="Нет",AZ125="Нет",BA125="Нет"),0,IF(AY125="Да",BD125,IF(AZ125="Да",BD125,IF(BA125="Да",BD125)))),0)</f>
        <v>0</v>
      </c>
      <c r="BF125" s="232"/>
      <c r="BH125" s="418"/>
      <c r="BI125" s="419"/>
      <c r="BJ125" s="202"/>
      <c r="BK125" s="419"/>
      <c r="BL125" s="213"/>
    </row>
    <row r="126" spans="33:64" ht="15.75" thickBot="1">
      <c r="AG126" s="370"/>
      <c r="AH126" s="370"/>
      <c r="AI126" s="364"/>
      <c r="AJ126" s="425"/>
      <c r="AK126" s="364"/>
      <c r="AL126" s="370"/>
      <c r="AM126" s="459"/>
      <c r="AN126" s="376"/>
      <c r="AO126" s="353"/>
      <c r="AP126" s="353"/>
      <c r="AQ126" s="183" t="str">
        <f>IF(AP125&lt;&gt;" ",MAX($AQ$9:AQ125)+AP125," ")</f>
        <v xml:space="preserve"> </v>
      </c>
      <c r="AR126" s="22" t="str">
        <f>IF(AP125&lt;&gt;" ",MAX($AR$9:AR125)+$AJ$29*AP125," ")</f>
        <v xml:space="preserve"> </v>
      </c>
      <c r="AS126" s="86" t="str">
        <f t="shared" si="232"/>
        <v xml:space="preserve"> </v>
      </c>
      <c r="AT126" s="264" t="str" cm="1">
        <f t="array" ref="AT126">IF(AS126&lt;&gt;" ",Interpol(31,8,Служебный!$H$54:$H$84,Служебный!$I$53:$P$53,Служебный!$I$54:$P$84,'Осадка поля'!$AS126,'Осадка поля'!$B$6)," ")</f>
        <v xml:space="preserve"> </v>
      </c>
      <c r="AU126" s="22" t="str">
        <f t="shared" si="225"/>
        <v xml:space="preserve"> </v>
      </c>
      <c r="AV126" s="22" t="str">
        <f>IF(AP125&lt;&gt;" ",AR126*0.5," ")</f>
        <v xml:space="preserve"> </v>
      </c>
      <c r="AW126" s="353"/>
      <c r="AX126" s="353"/>
      <c r="AY126" s="444"/>
      <c r="AZ126" s="444"/>
      <c r="BA126" s="445"/>
      <c r="BB126" s="444"/>
      <c r="BC126" s="353"/>
      <c r="BD126" s="444"/>
      <c r="BE126" s="353"/>
      <c r="BF126" s="232"/>
      <c r="BH126" s="418"/>
      <c r="BI126" s="419"/>
      <c r="BJ126" s="202"/>
      <c r="BK126" s="419"/>
      <c r="BL126" s="213"/>
    </row>
    <row r="127" spans="33:64">
      <c r="AG127" s="370"/>
      <c r="AH127" s="370"/>
      <c r="AI127" s="364"/>
      <c r="AJ127" s="425"/>
      <c r="AK127" s="364"/>
      <c r="AL127" s="370"/>
      <c r="AM127" s="459"/>
      <c r="AN127" s="376"/>
      <c r="AO127" s="353" t="str">
        <f>IF(AO125=" "," ", IF(AO125&lt;SUM(AN$9:AN$128),AO125+1, " "))</f>
        <v xml:space="preserve"> </v>
      </c>
      <c r="AP127" s="353" t="str">
        <f>IF(AO127&lt;&gt;" ",AM$109/COUNT(AO$109:AO$128), " ")</f>
        <v xml:space="preserve"> </v>
      </c>
      <c r="AQ127" s="183" t="str">
        <f>IF(AP127&lt;&gt;" ",SUM($AP$9:AP125)," ")</f>
        <v xml:space="preserve"> </v>
      </c>
      <c r="AR127" s="22" t="str">
        <f>IF(AP127&lt;&gt;" ",MAX($AR$9:AR126)," ")</f>
        <v xml:space="preserve"> </v>
      </c>
      <c r="AS127" s="86" t="str">
        <f t="shared" si="232"/>
        <v xml:space="preserve"> </v>
      </c>
      <c r="AT127" s="264" t="str" cm="1">
        <f t="array" ref="AT127">IF(AS127&lt;&gt;" ",Interpol(31,8,Служебный!$H$54:$H$84,Служебный!$I$53:$P$53,Служебный!$I$54:$P$84,'Осадка поля'!$AS127,'Осадка поля'!$B$6)," ")</f>
        <v xml:space="preserve"> </v>
      </c>
      <c r="AU127" s="22" t="str">
        <f t="shared" si="225"/>
        <v xml:space="preserve"> </v>
      </c>
      <c r="AV127" s="22" t="str">
        <f>IF(AP127&lt;&gt;" ",AR127*0.5," ")</f>
        <v xml:space="preserve"> </v>
      </c>
      <c r="AW127" s="353" t="str">
        <f>IF(AO127&lt;&gt;" ",(AU127+AU128)/2," ")</f>
        <v xml:space="preserve"> </v>
      </c>
      <c r="AX127" s="353"/>
      <c r="AY127" s="445" t="str">
        <f t="shared" ref="AY127" si="381">IF(AP127&lt;&gt;" ",IF(AQ127&gt;$B$15,"Нет","Да")," ")</f>
        <v xml:space="preserve"> </v>
      </c>
      <c r="AZ127" s="441" t="str">
        <f t="shared" ref="AZ127" si="382">IF(AP127&lt;&gt;" ",IF(AW127&gt;0.5*(AV127+AV128),"Да","Нет")," ")</f>
        <v xml:space="preserve"> </v>
      </c>
      <c r="BA127" s="441" t="str">
        <f t="shared" ref="BA127" si="383">IF(AP127&lt;&gt;" ",IF(OR($AX$109&lt;7,$AX$109=7),"Да","Нет")," ")</f>
        <v xml:space="preserve"> </v>
      </c>
      <c r="BB127" s="441" t="str">
        <f t="shared" ref="BB127" si="384">IF(AP127&lt;&gt;" ",IF(AW127&gt;0.2*0.5*(AR127+AR128),"Да","Нет")," ")</f>
        <v xml:space="preserve"> </v>
      </c>
      <c r="BC127" s="353">
        <f t="shared" ref="BC127:BC161" si="385">IF(AND(BE127&lt;&gt;0,BE127&lt;&gt;" "),AP127,0)</f>
        <v>0</v>
      </c>
      <c r="BD127" s="443" t="str">
        <f t="shared" ref="BD127" si="386">IF(AP127&lt;&gt;" ",IF(OR(AU127&lt;AR127,AU127=AR127),0.8*AW127*AP127/(5*$AX$109*10),0.8*AW127*AP127/($AX$109*10))," ")</f>
        <v xml:space="preserve"> </v>
      </c>
      <c r="BE127" s="353">
        <f t="shared" ref="BE127:BE187" si="387">IF(AP127&lt;&gt;" ",IF(AND(AY127="Нет",AZ127="Нет",BA127="Нет"),0,IF(AY127="Да",BD127,IF(AZ127="Да",BD127,IF(BA127="Да",BD127)))),0)</f>
        <v>0</v>
      </c>
      <c r="BF127" s="232"/>
      <c r="BH127" s="418"/>
      <c r="BI127" s="419"/>
      <c r="BJ127" s="202"/>
      <c r="BK127" s="419"/>
      <c r="BL127" s="213"/>
    </row>
    <row r="128" spans="33:64" ht="15.75" thickBot="1">
      <c r="AG128" s="370"/>
      <c r="AH128" s="370"/>
      <c r="AI128" s="364"/>
      <c r="AJ128" s="425"/>
      <c r="AK128" s="364"/>
      <c r="AL128" s="370"/>
      <c r="AM128" s="459"/>
      <c r="AN128" s="376"/>
      <c r="AO128" s="353"/>
      <c r="AP128" s="353"/>
      <c r="AQ128" s="183" t="str">
        <f>IF(AP127&lt;&gt;" ",MAX($AQ$9:AQ127)+AP127," ")</f>
        <v xml:space="preserve"> </v>
      </c>
      <c r="AR128" s="22" t="str">
        <f>IF(AP127&lt;&gt;" ",MAX($AR$9:AR127)+$AJ$29*AP127," ")</f>
        <v xml:space="preserve"> </v>
      </c>
      <c r="AS128" s="86" t="str">
        <f t="shared" si="232"/>
        <v xml:space="preserve"> </v>
      </c>
      <c r="AT128" s="264" t="str" cm="1">
        <f t="array" ref="AT128">IF(AS128&lt;&gt;" ",Interpol(31,8,Служебный!$H$54:$H$84,Служебный!$I$53:$P$53,Служебный!$I$54:$P$84,'Осадка поля'!$AS128,'Осадка поля'!$B$6)," ")</f>
        <v xml:space="preserve"> </v>
      </c>
      <c r="AU128" s="22" t="str">
        <f t="shared" si="225"/>
        <v xml:space="preserve"> </v>
      </c>
      <c r="AV128" s="22" t="str">
        <f>IF(AP127&lt;&gt;" ",AR128*0.5," ")</f>
        <v xml:space="preserve"> </v>
      </c>
      <c r="AW128" s="353"/>
      <c r="AX128" s="353"/>
      <c r="AY128" s="444"/>
      <c r="AZ128" s="444"/>
      <c r="BA128" s="445"/>
      <c r="BB128" s="444"/>
      <c r="BC128" s="353"/>
      <c r="BD128" s="444"/>
      <c r="BE128" s="353"/>
      <c r="BF128" s="232"/>
      <c r="BH128" s="458"/>
      <c r="BI128" s="457"/>
      <c r="BJ128" s="203"/>
      <c r="BK128" s="457"/>
      <c r="BL128" s="214"/>
    </row>
    <row r="129" spans="33:64" ht="15" customHeight="1">
      <c r="AG129" s="370">
        <f t="shared" ref="AG129:AG189" si="388">AG109+1</f>
        <v>16</v>
      </c>
      <c r="AH129" s="390">
        <f>IF(AG129&gt;20,0,VLOOKUP(AG129,Скважина!$E$8:$K$27,2,FALSE))</f>
        <v>0</v>
      </c>
      <c r="AI129" s="388">
        <f>IF(OR(AH129=0,AG129&gt;20),0,VLOOKUP(AH129,Геология!$D$7:$BO$993,7,FALSE))</f>
        <v>0</v>
      </c>
      <c r="AJ129" s="425" t="e">
        <f>VLOOKUP(AH129,Геология!$D$7:$BO$993,23,FALSE)</f>
        <v>#N/A</v>
      </c>
      <c r="AK129" s="364">
        <f t="shared" ref="AK129" si="389">IF(AM109&lt;&gt;0,AL109,AK109)</f>
        <v>111.73</v>
      </c>
      <c r="AL129" s="390">
        <f>VLOOKUP(AG129,Скважина!$E$8:$K$27,5,FALSE)</f>
        <v>-5.27</v>
      </c>
      <c r="AM129" s="459">
        <f t="shared" ref="AM129" si="390">IF(IF(AH129&lt;&gt;0,AK129-AL129,0)&lt;0,0,IF(AH129&lt;&gt;0,AK129-AL129,0))</f>
        <v>0</v>
      </c>
      <c r="AN129" s="376"/>
      <c r="AO129" s="353" t="str">
        <f>IF(AN129&lt;&gt;0,MAX(AO$9:AO$128)+1," ")</f>
        <v xml:space="preserve"> </v>
      </c>
      <c r="AP129" s="353" t="str">
        <f>IF(AO129&lt;&gt;" ",AM$109/COUNT(AO$109:AO$128), " ")</f>
        <v xml:space="preserve"> </v>
      </c>
      <c r="AQ129" s="183" t="str">
        <f>IF(AP129&lt;&gt;" ",SUM($AP$9:AP127)," ")</f>
        <v xml:space="preserve"> </v>
      </c>
      <c r="AR129" s="183" t="str">
        <f>IF(AP129&lt;&gt;" ",MAX($AR$9:AR128)," ")</f>
        <v xml:space="preserve"> </v>
      </c>
      <c r="AS129" s="86" t="str">
        <f t="shared" ref="AS129:AS192" si="391">IF(AQ129&lt;&gt;" ",2*AQ129/$B$10," ")</f>
        <v xml:space="preserve"> </v>
      </c>
      <c r="AT129" s="264" t="str" cm="1">
        <f t="array" ref="AT129">IF(AS129&lt;&gt;" ",Interpol(31,8,Служебный!$H$54:$H$84,Служебный!$I$53:$P$53,Служебный!$I$54:$P$84,'Осадка поля'!$AS129,'Осадка поля'!$B$6)," ")</f>
        <v xml:space="preserve"> </v>
      </c>
      <c r="AU129" s="183" t="str">
        <f t="shared" si="225"/>
        <v xml:space="preserve"> </v>
      </c>
      <c r="AV129" s="183" t="str">
        <f>IF(AP129&lt;&gt;" ",AR129*0.5," ")</f>
        <v xml:space="preserve"> </v>
      </c>
      <c r="AW129" s="353" t="str">
        <f>IF(AO129&lt;&gt;" ",(AU129+AU130)/2," ")</f>
        <v xml:space="preserve"> </v>
      </c>
      <c r="AX129" s="444" t="str">
        <f>IF(AH129&lt;&gt;0,VLOOKUP(AH129,Геология!$D$7:$BO$993,21,FALSE)," ")</f>
        <v xml:space="preserve"> </v>
      </c>
      <c r="AY129" s="445" t="str">
        <f t="shared" ref="AY129" si="392">IF(AP129&lt;&gt;" ",IF(AQ129&gt;$B$15,"Нет","Да")," ")</f>
        <v xml:space="preserve"> </v>
      </c>
      <c r="AZ129" s="441" t="str">
        <f t="shared" ref="AZ129" si="393">IF(AP129&lt;&gt;" ",IF(AW129&gt;0.5*(AV129+AV130),"Да","Нет")," ")</f>
        <v xml:space="preserve"> </v>
      </c>
      <c r="BA129" s="441" t="str">
        <f>IF(AP129&lt;&gt;" ",IF(OR($AX$129&lt;7,$AX$129=7),"Да","Нет")," ")</f>
        <v xml:space="preserve"> </v>
      </c>
      <c r="BB129" s="441" t="str">
        <f t="shared" ref="BB129" si="394">IF(AP129&lt;&gt;" ",IF(AW129&gt;0.2*0.5*(AR129+AR130),"Да","Нет")," ")</f>
        <v xml:space="preserve"> </v>
      </c>
      <c r="BC129" s="353">
        <f t="shared" ref="BC129:BC163" si="395">IF(AND(BE129&lt;&gt;0,BE129&lt;&gt;" "),AP129,0)</f>
        <v>0</v>
      </c>
      <c r="BD129" s="443" t="str">
        <f>IF(AP129&lt;&gt;" ",IF(OR(AU129&lt;AR129,AU129=AR129),0.8*AW129*AP129/(5*$AX$129*10),0.8*AW129*AP129/($AX$129*10))," ")</f>
        <v xml:space="preserve"> </v>
      </c>
      <c r="BE129" s="353">
        <f t="shared" ref="BE129" si="396">IF(AP129&lt;&gt;" ",IF(AND(AY129="Нет",AZ129="Нет",BA129="Нет"),0,IF(AY129="Да",BD129,IF(AZ129="Да",BD129,IF(BA129="Да",BD129)))),0)</f>
        <v>0</v>
      </c>
      <c r="BF129" s="232"/>
      <c r="BH129" s="448" t="str">
        <f>IF(AH129&lt;&gt;0,VLOOKUP(AH129,Геология!$D$7:$BO$993,24,FALSE)," ")</f>
        <v xml:space="preserve"> </v>
      </c>
      <c r="BI129" s="449" t="str">
        <f>IF(BH129&lt;&gt;" ",BH129*AM129," ")</f>
        <v xml:space="preserve"> </v>
      </c>
      <c r="BJ129" s="202"/>
      <c r="BK129" s="456" t="str">
        <f>IF(AM129&lt;&gt;0,AX129*AM129," ")</f>
        <v xml:space="preserve"> </v>
      </c>
      <c r="BL129" s="213"/>
    </row>
    <row r="130" spans="33:64" ht="15.75" thickBot="1">
      <c r="AG130" s="370"/>
      <c r="AH130" s="370"/>
      <c r="AI130" s="364"/>
      <c r="AJ130" s="425"/>
      <c r="AK130" s="364"/>
      <c r="AL130" s="370"/>
      <c r="AM130" s="459"/>
      <c r="AN130" s="376"/>
      <c r="AO130" s="353"/>
      <c r="AP130" s="353"/>
      <c r="AQ130" s="183" t="str">
        <f>IF(AP129&lt;&gt;" ",MAX($AQ$9:AQ129)+AP129," ")</f>
        <v xml:space="preserve"> </v>
      </c>
      <c r="AR130" s="183" t="str">
        <f>IF(AP129&lt;&gt;" ",MAX($AR$9:AR129)+$AJ$29*AP129," ")</f>
        <v xml:space="preserve"> </v>
      </c>
      <c r="AS130" s="86" t="str">
        <f t="shared" si="391"/>
        <v xml:space="preserve"> </v>
      </c>
      <c r="AT130" s="264" t="str" cm="1">
        <f t="array" ref="AT130">IF(AS130&lt;&gt;" ",Interpol(31,8,Служебный!$H$54:$H$84,Служебный!$I$53:$P$53,Служебный!$I$54:$P$84,'Осадка поля'!$AS130,'Осадка поля'!$B$6)," ")</f>
        <v xml:space="preserve"> </v>
      </c>
      <c r="AU130" s="183" t="str">
        <f t="shared" si="225"/>
        <v xml:space="preserve"> </v>
      </c>
      <c r="AV130" s="183" t="str">
        <f>IF(AP129&lt;&gt;" ",AR130*0.5," ")</f>
        <v xml:space="preserve"> </v>
      </c>
      <c r="AW130" s="353"/>
      <c r="AX130" s="353"/>
      <c r="AY130" s="444"/>
      <c r="AZ130" s="444"/>
      <c r="BA130" s="445"/>
      <c r="BB130" s="444"/>
      <c r="BC130" s="353"/>
      <c r="BD130" s="444"/>
      <c r="BE130" s="353"/>
      <c r="BF130" s="232"/>
      <c r="BH130" s="418"/>
      <c r="BI130" s="419"/>
      <c r="BJ130" s="202"/>
      <c r="BK130" s="419"/>
      <c r="BL130" s="213"/>
    </row>
    <row r="131" spans="33:64">
      <c r="AG131" s="370"/>
      <c r="AH131" s="370"/>
      <c r="AI131" s="364"/>
      <c r="AJ131" s="425"/>
      <c r="AK131" s="364"/>
      <c r="AL131" s="370"/>
      <c r="AM131" s="459"/>
      <c r="AN131" s="376"/>
      <c r="AO131" s="353" t="str">
        <f>IF(AO129=" "," ", IF(AO129&lt;SUM(AN$9:AN$148),AO129+1, " "))</f>
        <v xml:space="preserve"> </v>
      </c>
      <c r="AP131" s="353" t="str">
        <f>IF(AO131&lt;&gt;" ",AM$109/COUNT(AO$109:AO$128), " ")</f>
        <v xml:space="preserve"> </v>
      </c>
      <c r="AQ131" s="183" t="str">
        <f>IF(AP131&lt;&gt;" ",SUM($AP$9:AP129)," ")</f>
        <v xml:space="preserve"> </v>
      </c>
      <c r="AR131" s="183" t="str">
        <f>IF(AP131&lt;&gt;" ",MAX($AR$9:AR130)," ")</f>
        <v xml:space="preserve"> </v>
      </c>
      <c r="AS131" s="86" t="str">
        <f t="shared" si="391"/>
        <v xml:space="preserve"> </v>
      </c>
      <c r="AT131" s="264" t="str" cm="1">
        <f t="array" ref="AT131">IF(AS131&lt;&gt;" ",Interpol(31,8,Служебный!$H$54:$H$84,Служебный!$I$53:$P$53,Служебный!$I$54:$P$84,'Осадка поля'!$AS131,'Осадка поля'!$B$6)," ")</f>
        <v xml:space="preserve"> </v>
      </c>
      <c r="AU131" s="183" t="str">
        <f t="shared" si="225"/>
        <v xml:space="preserve"> </v>
      </c>
      <c r="AV131" s="183" t="str">
        <f>IF(AP131&lt;&gt;" ",AR131*0.5," ")</f>
        <v xml:space="preserve"> </v>
      </c>
      <c r="AW131" s="353" t="str">
        <f>IF(AO131&lt;&gt;" ",(AU131+AU132)/2," ")</f>
        <v xml:space="preserve"> </v>
      </c>
      <c r="AX131" s="353"/>
      <c r="AY131" s="445" t="str">
        <f t="shared" ref="AY131" si="397">IF(AP131&lt;&gt;" ",IF(AQ131&gt;$B$15,"Нет","Да")," ")</f>
        <v xml:space="preserve"> </v>
      </c>
      <c r="AZ131" s="441" t="str">
        <f t="shared" ref="AZ131" si="398">IF(AP131&lt;&gt;" ",IF(AW131&gt;0.5*(AV131+AV132),"Да","Нет")," ")</f>
        <v xml:space="preserve"> </v>
      </c>
      <c r="BA131" s="441" t="str">
        <f t="shared" ref="BA131" si="399">IF(AP131&lt;&gt;" ",IF(OR($AX$129&lt;7,$AX$129=7),"Да","Нет")," ")</f>
        <v xml:space="preserve"> </v>
      </c>
      <c r="BB131" s="441" t="str">
        <f t="shared" ref="BB131" si="400">IF(AP131&lt;&gt;" ",IF(AW131&gt;0.2*0.5*(AR131+AR132),"Да","Нет")," ")</f>
        <v xml:space="preserve"> </v>
      </c>
      <c r="BC131" s="353">
        <f t="shared" ref="BC131:BC165" si="401">IF(AND(BE131&lt;&gt;0,BE131&lt;&gt;" "),AP131,0)</f>
        <v>0</v>
      </c>
      <c r="BD131" s="443" t="str">
        <f t="shared" ref="BD131" si="402">IF(AP131&lt;&gt;" ",IF(OR(AU131&lt;AR131,AU131=AR131),0.8*AW131*AP131/(5*$AX$129*10),0.8*AW131*AP131/($AX$129*10))," ")</f>
        <v xml:space="preserve"> </v>
      </c>
      <c r="BE131" s="353">
        <f t="shared" si="331"/>
        <v>0</v>
      </c>
      <c r="BF131" s="232"/>
      <c r="BH131" s="418"/>
      <c r="BI131" s="419"/>
      <c r="BJ131" s="202"/>
      <c r="BK131" s="419"/>
      <c r="BL131" s="213"/>
    </row>
    <row r="132" spans="33:64" ht="15.75" thickBot="1">
      <c r="AG132" s="370"/>
      <c r="AH132" s="370"/>
      <c r="AI132" s="364"/>
      <c r="AJ132" s="425"/>
      <c r="AK132" s="364"/>
      <c r="AL132" s="370"/>
      <c r="AM132" s="459"/>
      <c r="AN132" s="376"/>
      <c r="AO132" s="353"/>
      <c r="AP132" s="353"/>
      <c r="AQ132" s="183" t="str">
        <f>IF(AP131&lt;&gt;" ",MAX($AQ$9:AQ131)+AP131," ")</f>
        <v xml:space="preserve"> </v>
      </c>
      <c r="AR132" s="183" t="str">
        <f>IF(AP131&lt;&gt;" ",MAX($AR$9:AR131)+$AJ$29*AP131," ")</f>
        <v xml:space="preserve"> </v>
      </c>
      <c r="AS132" s="86" t="str">
        <f t="shared" si="391"/>
        <v xml:space="preserve"> </v>
      </c>
      <c r="AT132" s="264" t="str" cm="1">
        <f t="array" ref="AT132">IF(AS132&lt;&gt;" ",Interpol(31,8,Служебный!$H$54:$H$84,Служебный!$I$53:$P$53,Служебный!$I$54:$P$84,'Осадка поля'!$AS132,'Осадка поля'!$B$6)," ")</f>
        <v xml:space="preserve"> </v>
      </c>
      <c r="AU132" s="183" t="str">
        <f t="shared" si="225"/>
        <v xml:space="preserve"> </v>
      </c>
      <c r="AV132" s="183" t="str">
        <f>IF(AP131&lt;&gt;" ",AR132*0.5," ")</f>
        <v xml:space="preserve"> </v>
      </c>
      <c r="AW132" s="353"/>
      <c r="AX132" s="353"/>
      <c r="AY132" s="444"/>
      <c r="AZ132" s="444"/>
      <c r="BA132" s="445"/>
      <c r="BB132" s="444"/>
      <c r="BC132" s="353"/>
      <c r="BD132" s="444"/>
      <c r="BE132" s="353"/>
      <c r="BF132" s="232"/>
      <c r="BH132" s="418"/>
      <c r="BI132" s="419"/>
      <c r="BJ132" s="202"/>
      <c r="BK132" s="419"/>
      <c r="BL132" s="213"/>
    </row>
    <row r="133" spans="33:64">
      <c r="AG133" s="370"/>
      <c r="AH133" s="370"/>
      <c r="AI133" s="364"/>
      <c r="AJ133" s="425"/>
      <c r="AK133" s="364"/>
      <c r="AL133" s="370"/>
      <c r="AM133" s="459"/>
      <c r="AN133" s="376"/>
      <c r="AO133" s="353" t="str">
        <f>IF(AO131=" "," ", IF(AO131&lt;SUM(AN$9:AN$148),AO131+1, " "))</f>
        <v xml:space="preserve"> </v>
      </c>
      <c r="AP133" s="353" t="str">
        <f>IF(AO133&lt;&gt;" ",AM$109/COUNT(AO$109:AO$128), " ")</f>
        <v xml:space="preserve"> </v>
      </c>
      <c r="AQ133" s="183" t="str">
        <f>IF(AP133&lt;&gt;" ",SUM($AP$9:AP131)," ")</f>
        <v xml:space="preserve"> </v>
      </c>
      <c r="AR133" s="183" t="str">
        <f>IF(AP133&lt;&gt;" ",MAX($AR$9:AR132)," ")</f>
        <v xml:space="preserve"> </v>
      </c>
      <c r="AS133" s="86" t="str">
        <f t="shared" si="391"/>
        <v xml:space="preserve"> </v>
      </c>
      <c r="AT133" s="264" t="str" cm="1">
        <f t="array" ref="AT133">IF(AS133&lt;&gt;" ",Interpol(31,8,Служебный!$H$54:$H$84,Служебный!$I$53:$P$53,Служебный!$I$54:$P$84,'Осадка поля'!$AS133,'Осадка поля'!$B$6)," ")</f>
        <v xml:space="preserve"> </v>
      </c>
      <c r="AU133" s="183" t="str">
        <f t="shared" si="225"/>
        <v xml:space="preserve"> </v>
      </c>
      <c r="AV133" s="183" t="str">
        <f>IF(AP133&lt;&gt;" ",AR133*0.5," ")</f>
        <v xml:space="preserve"> </v>
      </c>
      <c r="AW133" s="353" t="str">
        <f>IF(AO133&lt;&gt;" ",(AU133+AU134)/2," ")</f>
        <v xml:space="preserve"> </v>
      </c>
      <c r="AX133" s="353"/>
      <c r="AY133" s="445" t="str">
        <f t="shared" ref="AY133" si="403">IF(AP133&lt;&gt;" ",IF(AQ133&gt;$B$15,"Нет","Да")," ")</f>
        <v xml:space="preserve"> </v>
      </c>
      <c r="AZ133" s="441" t="str">
        <f t="shared" ref="AZ133" si="404">IF(AP133&lt;&gt;" ",IF(AW133&gt;0.5*(AV133+AV134),"Да","Нет")," ")</f>
        <v xml:space="preserve"> </v>
      </c>
      <c r="BA133" s="441" t="str">
        <f t="shared" ref="BA133" si="405">IF(AP133&lt;&gt;" ",IF(OR($AX$129&lt;7,$AX$129=7),"Да","Нет")," ")</f>
        <v xml:space="preserve"> </v>
      </c>
      <c r="BB133" s="441" t="str">
        <f t="shared" ref="BB133" si="406">IF(AP133&lt;&gt;" ",IF(AW133&gt;0.2*0.5*(AR133+AR134),"Да","Нет")," ")</f>
        <v xml:space="preserve"> </v>
      </c>
      <c r="BC133" s="353">
        <f t="shared" ref="BC133:BC167" si="407">IF(AND(BE133&lt;&gt;0,BE133&lt;&gt;" "),AP133,0)</f>
        <v>0</v>
      </c>
      <c r="BD133" s="443" t="str">
        <f t="shared" ref="BD133" si="408">IF(AP133&lt;&gt;" ",IF(OR(AU133&lt;AR133,AU133=AR133),0.8*AW133*AP133/(5*$AX$129*10),0.8*AW133*AP133/($AX$129*10))," ")</f>
        <v xml:space="preserve"> </v>
      </c>
      <c r="BE133" s="353">
        <f t="shared" si="338"/>
        <v>0</v>
      </c>
      <c r="BF133" s="232"/>
      <c r="BH133" s="418"/>
      <c r="BI133" s="419"/>
      <c r="BJ133" s="202"/>
      <c r="BK133" s="419"/>
      <c r="BL133" s="213"/>
    </row>
    <row r="134" spans="33:64" ht="15.75" thickBot="1">
      <c r="AG134" s="370"/>
      <c r="AH134" s="370"/>
      <c r="AI134" s="364"/>
      <c r="AJ134" s="425"/>
      <c r="AK134" s="364"/>
      <c r="AL134" s="370"/>
      <c r="AM134" s="459"/>
      <c r="AN134" s="376"/>
      <c r="AO134" s="353"/>
      <c r="AP134" s="353"/>
      <c r="AQ134" s="183" t="str">
        <f>IF(AP133&lt;&gt;" ",MAX($AQ$9:AQ133)+AP133," ")</f>
        <v xml:space="preserve"> </v>
      </c>
      <c r="AR134" s="183" t="str">
        <f>IF(AP133&lt;&gt;" ",MAX($AR$9:AR133)+$AJ$29*AP133," ")</f>
        <v xml:space="preserve"> </v>
      </c>
      <c r="AS134" s="86" t="str">
        <f t="shared" si="391"/>
        <v xml:space="preserve"> </v>
      </c>
      <c r="AT134" s="264" t="str" cm="1">
        <f t="array" ref="AT134">IF(AS134&lt;&gt;" ",Interpol(31,8,Служебный!$H$54:$H$84,Служебный!$I$53:$P$53,Служебный!$I$54:$P$84,'Осадка поля'!$AS134,'Осадка поля'!$B$6)," ")</f>
        <v xml:space="preserve"> </v>
      </c>
      <c r="AU134" s="183" t="str">
        <f t="shared" si="225"/>
        <v xml:space="preserve"> </v>
      </c>
      <c r="AV134" s="183" t="str">
        <f>IF(AP133&lt;&gt;" ",AR134*0.5," ")</f>
        <v xml:space="preserve"> </v>
      </c>
      <c r="AW134" s="353"/>
      <c r="AX134" s="353"/>
      <c r="AY134" s="444"/>
      <c r="AZ134" s="444"/>
      <c r="BA134" s="445"/>
      <c r="BB134" s="444"/>
      <c r="BC134" s="353"/>
      <c r="BD134" s="444"/>
      <c r="BE134" s="353"/>
      <c r="BF134" s="232"/>
      <c r="BH134" s="418"/>
      <c r="BI134" s="419"/>
      <c r="BJ134" s="202"/>
      <c r="BK134" s="419"/>
      <c r="BL134" s="213"/>
    </row>
    <row r="135" spans="33:64">
      <c r="AG135" s="370"/>
      <c r="AH135" s="370"/>
      <c r="AI135" s="364"/>
      <c r="AJ135" s="425"/>
      <c r="AK135" s="364"/>
      <c r="AL135" s="370"/>
      <c r="AM135" s="459"/>
      <c r="AN135" s="376"/>
      <c r="AO135" s="353" t="str">
        <f>IF(AO133=" "," ", IF(AO133&lt;SUM(AN$9:AN$148),AO133+1, " "))</f>
        <v xml:space="preserve"> </v>
      </c>
      <c r="AP135" s="353" t="str">
        <f>IF(AO135&lt;&gt;" ",AM$109/COUNT(AO$109:AO$128), " ")</f>
        <v xml:space="preserve"> </v>
      </c>
      <c r="AQ135" s="183" t="str">
        <f>IF(AP135&lt;&gt;" ",SUM($AP$9:AP133)," ")</f>
        <v xml:space="preserve"> </v>
      </c>
      <c r="AR135" s="183" t="str">
        <f>IF(AP135&lt;&gt;" ",MAX($AR$9:AR134)," ")</f>
        <v xml:space="preserve"> </v>
      </c>
      <c r="AS135" s="86" t="str">
        <f t="shared" si="391"/>
        <v xml:space="preserve"> </v>
      </c>
      <c r="AT135" s="264" t="str" cm="1">
        <f t="array" ref="AT135">IF(AS135&lt;&gt;" ",Interpol(31,8,Служебный!$H$54:$H$84,Служебный!$I$53:$P$53,Служебный!$I$54:$P$84,'Осадка поля'!$AS135,'Осадка поля'!$B$6)," ")</f>
        <v xml:space="preserve"> </v>
      </c>
      <c r="AU135" s="183" t="str">
        <f t="shared" si="225"/>
        <v xml:space="preserve"> </v>
      </c>
      <c r="AV135" s="183" t="str">
        <f>IF(AP135&lt;&gt;" ",AR135*0.5," ")</f>
        <v xml:space="preserve"> </v>
      </c>
      <c r="AW135" s="353" t="str">
        <f>IF(AO135&lt;&gt;" ",(AU135+AU136)/2," ")</f>
        <v xml:space="preserve"> </v>
      </c>
      <c r="AX135" s="353"/>
      <c r="AY135" s="445" t="str">
        <f t="shared" ref="AY135" si="409">IF(AP135&lt;&gt;" ",IF(AQ135&gt;$B$15,"Нет","Да")," ")</f>
        <v xml:space="preserve"> </v>
      </c>
      <c r="AZ135" s="441" t="str">
        <f t="shared" ref="AZ135" si="410">IF(AP135&lt;&gt;" ",IF(AW135&gt;0.5*(AV135+AV136),"Да","Нет")," ")</f>
        <v xml:space="preserve"> </v>
      </c>
      <c r="BA135" s="441" t="str">
        <f t="shared" ref="BA135" si="411">IF(AP135&lt;&gt;" ",IF(OR($AX$129&lt;7,$AX$129=7),"Да","Нет")," ")</f>
        <v xml:space="preserve"> </v>
      </c>
      <c r="BB135" s="441" t="str">
        <f t="shared" ref="BB135" si="412">IF(AP135&lt;&gt;" ",IF(AW135&gt;0.2*0.5*(AR135+AR136),"Да","Нет")," ")</f>
        <v xml:space="preserve"> </v>
      </c>
      <c r="BC135" s="353">
        <f t="shared" ref="BC135:BC169" si="413">IF(AND(BE135&lt;&gt;0,BE135&lt;&gt;" "),AP135,0)</f>
        <v>0</v>
      </c>
      <c r="BD135" s="443" t="str">
        <f t="shared" ref="BD135" si="414">IF(AP135&lt;&gt;" ",IF(OR(AU135&lt;AR135,AU135=AR135),0.8*AW135*AP135/(5*$AX$129*10),0.8*AW135*AP135/($AX$129*10))," ")</f>
        <v xml:space="preserve"> </v>
      </c>
      <c r="BE135" s="353">
        <f t="shared" si="345"/>
        <v>0</v>
      </c>
      <c r="BF135" s="232"/>
      <c r="BH135" s="418"/>
      <c r="BI135" s="419"/>
      <c r="BJ135" s="202"/>
      <c r="BK135" s="419"/>
      <c r="BL135" s="213"/>
    </row>
    <row r="136" spans="33:64" ht="15.75" thickBot="1">
      <c r="AG136" s="370"/>
      <c r="AH136" s="370"/>
      <c r="AI136" s="364"/>
      <c r="AJ136" s="425"/>
      <c r="AK136" s="364"/>
      <c r="AL136" s="370"/>
      <c r="AM136" s="459"/>
      <c r="AN136" s="376"/>
      <c r="AO136" s="353"/>
      <c r="AP136" s="353"/>
      <c r="AQ136" s="183" t="str">
        <f>IF(AP135&lt;&gt;" ",MAX($AQ$9:AQ135)+AP135," ")</f>
        <v xml:space="preserve"> </v>
      </c>
      <c r="AR136" s="183" t="str">
        <f>IF(AP135&lt;&gt;" ",MAX($AR$9:AR135)+$AJ$29*AP135," ")</f>
        <v xml:space="preserve"> </v>
      </c>
      <c r="AS136" s="86" t="str">
        <f t="shared" si="391"/>
        <v xml:space="preserve"> </v>
      </c>
      <c r="AT136" s="264" t="str" cm="1">
        <f t="array" ref="AT136">IF(AS136&lt;&gt;" ",Interpol(31,8,Служебный!$H$54:$H$84,Служебный!$I$53:$P$53,Служебный!$I$54:$P$84,'Осадка поля'!$AS136,'Осадка поля'!$B$6)," ")</f>
        <v xml:space="preserve"> </v>
      </c>
      <c r="AU136" s="183" t="str">
        <f t="shared" si="225"/>
        <v xml:space="preserve"> </v>
      </c>
      <c r="AV136" s="183" t="str">
        <f>IF(AP135&lt;&gt;" ",AR136*0.5," ")</f>
        <v xml:space="preserve"> </v>
      </c>
      <c r="AW136" s="353"/>
      <c r="AX136" s="353"/>
      <c r="AY136" s="444"/>
      <c r="AZ136" s="444"/>
      <c r="BA136" s="445"/>
      <c r="BB136" s="444"/>
      <c r="BC136" s="353"/>
      <c r="BD136" s="444"/>
      <c r="BE136" s="353"/>
      <c r="BF136" s="232"/>
      <c r="BH136" s="418"/>
      <c r="BI136" s="419"/>
      <c r="BJ136" s="202"/>
      <c r="BK136" s="419"/>
      <c r="BL136" s="213"/>
    </row>
    <row r="137" spans="33:64">
      <c r="AG137" s="370"/>
      <c r="AH137" s="370"/>
      <c r="AI137" s="364"/>
      <c r="AJ137" s="425"/>
      <c r="AK137" s="364"/>
      <c r="AL137" s="370"/>
      <c r="AM137" s="459"/>
      <c r="AN137" s="376"/>
      <c r="AO137" s="353" t="str">
        <f>IF(AO135=" "," ", IF(AO135&lt;SUM(AN$9:AN$148),AO135+1, " "))</f>
        <v xml:space="preserve"> </v>
      </c>
      <c r="AP137" s="353" t="str">
        <f>IF(AO137&lt;&gt;" ",AM$109/COUNT(AO$109:AO$128), " ")</f>
        <v xml:space="preserve"> </v>
      </c>
      <c r="AQ137" s="183" t="str">
        <f>IF(AP137&lt;&gt;" ",SUM($AP$9:AP135)," ")</f>
        <v xml:space="preserve"> </v>
      </c>
      <c r="AR137" s="183" t="str">
        <f>IF(AP137&lt;&gt;" ",MAX($AR$9:AR136)," ")</f>
        <v xml:space="preserve"> </v>
      </c>
      <c r="AS137" s="86" t="str">
        <f t="shared" si="391"/>
        <v xml:space="preserve"> </v>
      </c>
      <c r="AT137" s="264" t="str" cm="1">
        <f t="array" ref="AT137">IF(AS137&lt;&gt;" ",Interpol(31,8,Служебный!$H$54:$H$84,Служебный!$I$53:$P$53,Служебный!$I$54:$P$84,'Осадка поля'!$AS137,'Осадка поля'!$B$6)," ")</f>
        <v xml:space="preserve"> </v>
      </c>
      <c r="AU137" s="183" t="str">
        <f t="shared" ref="AU137:AU200" si="415">IF(AS137&lt;&gt;" ",$B$11*AT137," ")</f>
        <v xml:space="preserve"> </v>
      </c>
      <c r="AV137" s="183" t="str">
        <f>IF(AP137&lt;&gt;" ",AR137*0.5," ")</f>
        <v xml:space="preserve"> </v>
      </c>
      <c r="AW137" s="353" t="str">
        <f>IF(AO137&lt;&gt;" ",(AU137+AU138)/2," ")</f>
        <v xml:space="preserve"> </v>
      </c>
      <c r="AX137" s="353"/>
      <c r="AY137" s="445" t="str">
        <f t="shared" ref="AY137" si="416">IF(AP137&lt;&gt;" ",IF(AQ137&gt;$B$15,"Нет","Да")," ")</f>
        <v xml:space="preserve"> </v>
      </c>
      <c r="AZ137" s="441" t="str">
        <f t="shared" ref="AZ137" si="417">IF(AP137&lt;&gt;" ",IF(AW137&gt;0.5*(AV137+AV138),"Да","Нет")," ")</f>
        <v xml:space="preserve"> </v>
      </c>
      <c r="BA137" s="441" t="str">
        <f t="shared" ref="BA137" si="418">IF(AP137&lt;&gt;" ",IF(OR($AX$129&lt;7,$AX$129=7),"Да","Нет")," ")</f>
        <v xml:space="preserve"> </v>
      </c>
      <c r="BB137" s="441" t="str">
        <f t="shared" ref="BB137" si="419">IF(AP137&lt;&gt;" ",IF(AW137&gt;0.2*0.5*(AR137+AR138),"Да","Нет")," ")</f>
        <v xml:space="preserve"> </v>
      </c>
      <c r="BC137" s="353">
        <f t="shared" ref="BC137:BC171" si="420">IF(AND(BE137&lt;&gt;0,BE137&lt;&gt;" "),AP137,0)</f>
        <v>0</v>
      </c>
      <c r="BD137" s="443" t="str">
        <f t="shared" ref="BD137" si="421">IF(AP137&lt;&gt;" ",IF(OR(AU137&lt;AR137,AU137=AR137),0.8*AW137*AP137/(5*$AX$129*10),0.8*AW137*AP137/($AX$129*10))," ")</f>
        <v xml:space="preserve"> </v>
      </c>
      <c r="BE137" s="353">
        <f t="shared" si="352"/>
        <v>0</v>
      </c>
      <c r="BF137" s="232"/>
      <c r="BH137" s="418"/>
      <c r="BI137" s="419"/>
      <c r="BJ137" s="202"/>
      <c r="BK137" s="419"/>
      <c r="BL137" s="213"/>
    </row>
    <row r="138" spans="33:64" ht="15.75" thickBot="1">
      <c r="AG138" s="370"/>
      <c r="AH138" s="370"/>
      <c r="AI138" s="364"/>
      <c r="AJ138" s="425"/>
      <c r="AK138" s="364"/>
      <c r="AL138" s="370"/>
      <c r="AM138" s="459"/>
      <c r="AN138" s="376"/>
      <c r="AO138" s="353"/>
      <c r="AP138" s="353"/>
      <c r="AQ138" s="183" t="str">
        <f>IF(AP137&lt;&gt;" ",MAX($AQ$9:AQ137)+AP137," ")</f>
        <v xml:space="preserve"> </v>
      </c>
      <c r="AR138" s="183" t="str">
        <f>IF(AP137&lt;&gt;" ",MAX($AR$9:AR137)+$AJ$29*AP137," ")</f>
        <v xml:space="preserve"> </v>
      </c>
      <c r="AS138" s="86" t="str">
        <f t="shared" si="391"/>
        <v xml:space="preserve"> </v>
      </c>
      <c r="AT138" s="264" t="str" cm="1">
        <f t="array" ref="AT138">IF(AS138&lt;&gt;" ",Interpol(31,8,Служебный!$H$54:$H$84,Служебный!$I$53:$P$53,Служебный!$I$54:$P$84,'Осадка поля'!$AS138,'Осадка поля'!$B$6)," ")</f>
        <v xml:space="preserve"> </v>
      </c>
      <c r="AU138" s="183" t="str">
        <f t="shared" si="415"/>
        <v xml:space="preserve"> </v>
      </c>
      <c r="AV138" s="183" t="str">
        <f>IF(AP137&lt;&gt;" ",AR138*0.5," ")</f>
        <v xml:space="preserve"> </v>
      </c>
      <c r="AW138" s="353"/>
      <c r="AX138" s="353"/>
      <c r="AY138" s="444"/>
      <c r="AZ138" s="444"/>
      <c r="BA138" s="445"/>
      <c r="BB138" s="444"/>
      <c r="BC138" s="353"/>
      <c r="BD138" s="444"/>
      <c r="BE138" s="353"/>
      <c r="BF138" s="232"/>
      <c r="BH138" s="418"/>
      <c r="BI138" s="419"/>
      <c r="BJ138" s="202"/>
      <c r="BK138" s="419"/>
      <c r="BL138" s="213"/>
    </row>
    <row r="139" spans="33:64">
      <c r="AG139" s="370"/>
      <c r="AH139" s="370"/>
      <c r="AI139" s="364"/>
      <c r="AJ139" s="425"/>
      <c r="AK139" s="364"/>
      <c r="AL139" s="370"/>
      <c r="AM139" s="459"/>
      <c r="AN139" s="376"/>
      <c r="AO139" s="353" t="str">
        <f>IF(AO137=" "," ", IF(AO137&lt;SUM(AN$9:AN$148),AO137+1, " "))</f>
        <v xml:space="preserve"> </v>
      </c>
      <c r="AP139" s="353" t="str">
        <f>IF(AO139&lt;&gt;" ",AM$109/COUNT(AO$109:AO$128), " ")</f>
        <v xml:space="preserve"> </v>
      </c>
      <c r="AQ139" s="183" t="str">
        <f>IF(AP139&lt;&gt;" ",SUM($AP$9:AP137)," ")</f>
        <v xml:space="preserve"> </v>
      </c>
      <c r="AR139" s="183" t="str">
        <f>IF(AP139&lt;&gt;" ",MAX($AR$9:AR138)," ")</f>
        <v xml:space="preserve"> </v>
      </c>
      <c r="AS139" s="86" t="str">
        <f t="shared" si="391"/>
        <v xml:space="preserve"> </v>
      </c>
      <c r="AT139" s="264" t="str" cm="1">
        <f t="array" ref="AT139">IF(AS139&lt;&gt;" ",Interpol(31,8,Служебный!$H$54:$H$84,Служебный!$I$53:$P$53,Служебный!$I$54:$P$84,'Осадка поля'!$AS139,'Осадка поля'!$B$6)," ")</f>
        <v xml:space="preserve"> </v>
      </c>
      <c r="AU139" s="183" t="str">
        <f t="shared" si="415"/>
        <v xml:space="preserve"> </v>
      </c>
      <c r="AV139" s="183" t="str">
        <f>IF(AP139&lt;&gt;" ",AR139*0.5," ")</f>
        <v xml:space="preserve"> </v>
      </c>
      <c r="AW139" s="353" t="str">
        <f>IF(AO139&lt;&gt;" ",(AU139+AU140)/2," ")</f>
        <v xml:space="preserve"> </v>
      </c>
      <c r="AX139" s="353"/>
      <c r="AY139" s="445" t="str">
        <f t="shared" ref="AY139" si="422">IF(AP139&lt;&gt;" ",IF(AQ139&gt;$B$15,"Нет","Да")," ")</f>
        <v xml:space="preserve"> </v>
      </c>
      <c r="AZ139" s="441" t="str">
        <f t="shared" ref="AZ139" si="423">IF(AP139&lt;&gt;" ",IF(AW139&gt;0.5*(AV139+AV140),"Да","Нет")," ")</f>
        <v xml:space="preserve"> </v>
      </c>
      <c r="BA139" s="441" t="str">
        <f t="shared" ref="BA139" si="424">IF(AP139&lt;&gt;" ",IF(OR($AX$129&lt;7,$AX$129=7),"Да","Нет")," ")</f>
        <v xml:space="preserve"> </v>
      </c>
      <c r="BB139" s="441" t="str">
        <f t="shared" ref="BB139" si="425">IF(AP139&lt;&gt;" ",IF(AW139&gt;0.2*0.5*(AR139+AR140),"Да","Нет")," ")</f>
        <v xml:space="preserve"> </v>
      </c>
      <c r="BC139" s="353">
        <f t="shared" ref="BC139:BC173" si="426">IF(AND(BE139&lt;&gt;0,BE139&lt;&gt;" "),AP139,0)</f>
        <v>0</v>
      </c>
      <c r="BD139" s="443" t="str">
        <f t="shared" ref="BD139" si="427">IF(AP139&lt;&gt;" ",IF(OR(AU139&lt;AR139,AU139=AR139),0.8*AW139*AP139/(5*$AX$129*10),0.8*AW139*AP139/($AX$129*10))," ")</f>
        <v xml:space="preserve"> </v>
      </c>
      <c r="BE139" s="353">
        <f t="shared" si="359"/>
        <v>0</v>
      </c>
      <c r="BF139" s="232"/>
      <c r="BH139" s="418"/>
      <c r="BI139" s="419"/>
      <c r="BJ139" s="202"/>
      <c r="BK139" s="419"/>
      <c r="BL139" s="213"/>
    </row>
    <row r="140" spans="33:64" ht="15.75" thickBot="1">
      <c r="AG140" s="370"/>
      <c r="AH140" s="370"/>
      <c r="AI140" s="364"/>
      <c r="AJ140" s="425"/>
      <c r="AK140" s="364"/>
      <c r="AL140" s="370"/>
      <c r="AM140" s="459"/>
      <c r="AN140" s="376"/>
      <c r="AO140" s="353"/>
      <c r="AP140" s="353"/>
      <c r="AQ140" s="183" t="str">
        <f>IF(AP139&lt;&gt;" ",MAX($AQ$9:AQ139)+AP139," ")</f>
        <v xml:space="preserve"> </v>
      </c>
      <c r="AR140" s="183" t="str">
        <f>IF(AP139&lt;&gt;" ",MAX($AR$9:AR139)+$AJ$29*AP139," ")</f>
        <v xml:space="preserve"> </v>
      </c>
      <c r="AS140" s="86" t="str">
        <f t="shared" si="391"/>
        <v xml:space="preserve"> </v>
      </c>
      <c r="AT140" s="264" t="str" cm="1">
        <f t="array" ref="AT140">IF(AS140&lt;&gt;" ",Interpol(31,8,Служебный!$H$54:$H$84,Служебный!$I$53:$P$53,Служебный!$I$54:$P$84,'Осадка поля'!$AS140,'Осадка поля'!$B$6)," ")</f>
        <v xml:space="preserve"> </v>
      </c>
      <c r="AU140" s="183" t="str">
        <f t="shared" si="415"/>
        <v xml:space="preserve"> </v>
      </c>
      <c r="AV140" s="183" t="str">
        <f>IF(AP139&lt;&gt;" ",AR140*0.5," ")</f>
        <v xml:space="preserve"> </v>
      </c>
      <c r="AW140" s="353"/>
      <c r="AX140" s="353"/>
      <c r="AY140" s="444"/>
      <c r="AZ140" s="444"/>
      <c r="BA140" s="445"/>
      <c r="BB140" s="444"/>
      <c r="BC140" s="353"/>
      <c r="BD140" s="444"/>
      <c r="BE140" s="353"/>
      <c r="BF140" s="232"/>
      <c r="BH140" s="418"/>
      <c r="BI140" s="419"/>
      <c r="BJ140" s="202"/>
      <c r="BK140" s="419"/>
      <c r="BL140" s="213"/>
    </row>
    <row r="141" spans="33:64">
      <c r="AG141" s="370"/>
      <c r="AH141" s="370"/>
      <c r="AI141" s="364"/>
      <c r="AJ141" s="425"/>
      <c r="AK141" s="364"/>
      <c r="AL141" s="370"/>
      <c r="AM141" s="459"/>
      <c r="AN141" s="376"/>
      <c r="AO141" s="353" t="str">
        <f>IF(AO139=" "," ", IF(AO139&lt;SUM(AN$9:AN$148),AO139+1, " "))</f>
        <v xml:space="preserve"> </v>
      </c>
      <c r="AP141" s="353" t="str">
        <f>IF(AO141&lt;&gt;" ",AM$109/COUNT(AO$109:AO$128), " ")</f>
        <v xml:space="preserve"> </v>
      </c>
      <c r="AQ141" s="183" t="str">
        <f>IF(AP141&lt;&gt;" ",SUM($AP$9:AP139)," ")</f>
        <v xml:space="preserve"> </v>
      </c>
      <c r="AR141" s="183" t="str">
        <f>IF(AP141&lt;&gt;" ",MAX($AR$9:AR140)," ")</f>
        <v xml:space="preserve"> </v>
      </c>
      <c r="AS141" s="86" t="str">
        <f t="shared" si="391"/>
        <v xml:space="preserve"> </v>
      </c>
      <c r="AT141" s="264" t="str" cm="1">
        <f t="array" ref="AT141">IF(AS141&lt;&gt;" ",Interpol(31,8,Служебный!$H$54:$H$84,Служебный!$I$53:$P$53,Служебный!$I$54:$P$84,'Осадка поля'!$AS141,'Осадка поля'!$B$6)," ")</f>
        <v xml:space="preserve"> </v>
      </c>
      <c r="AU141" s="183" t="str">
        <f t="shared" si="415"/>
        <v xml:space="preserve"> </v>
      </c>
      <c r="AV141" s="183" t="str">
        <f>IF(AP141&lt;&gt;" ",AR141*0.5," ")</f>
        <v xml:space="preserve"> </v>
      </c>
      <c r="AW141" s="353" t="str">
        <f>IF(AO141&lt;&gt;" ",(AU141+AU142)/2," ")</f>
        <v xml:space="preserve"> </v>
      </c>
      <c r="AX141" s="353"/>
      <c r="AY141" s="445" t="str">
        <f t="shared" ref="AY141" si="428">IF(AP141&lt;&gt;" ",IF(AQ141&gt;$B$15,"Нет","Да")," ")</f>
        <v xml:space="preserve"> </v>
      </c>
      <c r="AZ141" s="441" t="str">
        <f t="shared" ref="AZ141" si="429">IF(AP141&lt;&gt;" ",IF(AW141&gt;0.5*(AV141+AV142),"Да","Нет")," ")</f>
        <v xml:space="preserve"> </v>
      </c>
      <c r="BA141" s="441" t="str">
        <f t="shared" ref="BA141" si="430">IF(AP141&lt;&gt;" ",IF(OR($AX$129&lt;7,$AX$129=7),"Да","Нет")," ")</f>
        <v xml:space="preserve"> </v>
      </c>
      <c r="BB141" s="441" t="str">
        <f t="shared" ref="BB141" si="431">IF(AP141&lt;&gt;" ",IF(AW141&gt;0.2*0.5*(AR141+AR142),"Да","Нет")," ")</f>
        <v xml:space="preserve"> </v>
      </c>
      <c r="BC141" s="353">
        <f t="shared" ref="BC141:BC175" si="432">IF(AND(BE141&lt;&gt;0,BE141&lt;&gt;" "),AP141,0)</f>
        <v>0</v>
      </c>
      <c r="BD141" s="443" t="str">
        <f t="shared" ref="BD141" si="433">IF(AP141&lt;&gt;" ",IF(OR(AU141&lt;AR141,AU141=AR141),0.8*AW141*AP141/(5*$AX$129*10),0.8*AW141*AP141/($AX$129*10))," ")</f>
        <v xml:space="preserve"> </v>
      </c>
      <c r="BE141" s="353">
        <f t="shared" si="366"/>
        <v>0</v>
      </c>
      <c r="BF141" s="232"/>
      <c r="BH141" s="418"/>
      <c r="BI141" s="419"/>
      <c r="BJ141" s="202"/>
      <c r="BK141" s="419"/>
      <c r="BL141" s="213"/>
    </row>
    <row r="142" spans="33:64" ht="15.75" thickBot="1">
      <c r="AG142" s="370"/>
      <c r="AH142" s="370"/>
      <c r="AI142" s="364"/>
      <c r="AJ142" s="425"/>
      <c r="AK142" s="364"/>
      <c r="AL142" s="370"/>
      <c r="AM142" s="459"/>
      <c r="AN142" s="376"/>
      <c r="AO142" s="353"/>
      <c r="AP142" s="353"/>
      <c r="AQ142" s="183" t="str">
        <f>IF(AP141&lt;&gt;" ",MAX($AQ$9:AQ141)+AP141," ")</f>
        <v xml:space="preserve"> </v>
      </c>
      <c r="AR142" s="183" t="str">
        <f>IF(AP141&lt;&gt;" ",MAX($AR$9:AR141)+$AJ$29*AP141," ")</f>
        <v xml:space="preserve"> </v>
      </c>
      <c r="AS142" s="86" t="str">
        <f t="shared" si="391"/>
        <v xml:space="preserve"> </v>
      </c>
      <c r="AT142" s="264" t="str" cm="1">
        <f t="array" ref="AT142">IF(AS142&lt;&gt;" ",Interpol(31,8,Служебный!$H$54:$H$84,Служебный!$I$53:$P$53,Служебный!$I$54:$P$84,'Осадка поля'!$AS142,'Осадка поля'!$B$6)," ")</f>
        <v xml:space="preserve"> </v>
      </c>
      <c r="AU142" s="183" t="str">
        <f t="shared" si="415"/>
        <v xml:space="preserve"> </v>
      </c>
      <c r="AV142" s="183" t="str">
        <f>IF(AP141&lt;&gt;" ",AR142*0.5," ")</f>
        <v xml:space="preserve"> </v>
      </c>
      <c r="AW142" s="353"/>
      <c r="AX142" s="353"/>
      <c r="AY142" s="444"/>
      <c r="AZ142" s="444"/>
      <c r="BA142" s="445"/>
      <c r="BB142" s="444"/>
      <c r="BC142" s="353"/>
      <c r="BD142" s="444"/>
      <c r="BE142" s="353"/>
      <c r="BF142" s="232"/>
      <c r="BH142" s="418"/>
      <c r="BI142" s="419"/>
      <c r="BJ142" s="202"/>
      <c r="BK142" s="419"/>
      <c r="BL142" s="213"/>
    </row>
    <row r="143" spans="33:64">
      <c r="AG143" s="370"/>
      <c r="AH143" s="370"/>
      <c r="AI143" s="364"/>
      <c r="AJ143" s="425"/>
      <c r="AK143" s="364"/>
      <c r="AL143" s="370"/>
      <c r="AM143" s="459"/>
      <c r="AN143" s="376"/>
      <c r="AO143" s="353" t="str">
        <f>IF(AO141=" "," ", IF(AO141&lt;SUM(AN$9:AN$148),AO141+1, " "))</f>
        <v xml:space="preserve"> </v>
      </c>
      <c r="AP143" s="353" t="str">
        <f>IF(AO143&lt;&gt;" ",AM$109/COUNT(AO$109:AO$128), " ")</f>
        <v xml:space="preserve"> </v>
      </c>
      <c r="AQ143" s="183" t="str">
        <f>IF(AP143&lt;&gt;" ",SUM($AP$9:AP141)," ")</f>
        <v xml:space="preserve"> </v>
      </c>
      <c r="AR143" s="183" t="str">
        <f>IF(AP143&lt;&gt;" ",MAX($AR$9:AR142)," ")</f>
        <v xml:space="preserve"> </v>
      </c>
      <c r="AS143" s="86" t="str">
        <f t="shared" si="391"/>
        <v xml:space="preserve"> </v>
      </c>
      <c r="AT143" s="264" t="str" cm="1">
        <f t="array" ref="AT143">IF(AS143&lt;&gt;" ",Interpol(31,8,Служебный!$H$54:$H$84,Служебный!$I$53:$P$53,Служебный!$I$54:$P$84,'Осадка поля'!$AS143,'Осадка поля'!$B$6)," ")</f>
        <v xml:space="preserve"> </v>
      </c>
      <c r="AU143" s="183" t="str">
        <f t="shared" si="415"/>
        <v xml:space="preserve"> </v>
      </c>
      <c r="AV143" s="183" t="str">
        <f>IF(AP143&lt;&gt;" ",AR143*0.5," ")</f>
        <v xml:space="preserve"> </v>
      </c>
      <c r="AW143" s="353" t="str">
        <f>IF(AO143&lt;&gt;" ",(AU143+AU144)/2," ")</f>
        <v xml:space="preserve"> </v>
      </c>
      <c r="AX143" s="353"/>
      <c r="AY143" s="445" t="str">
        <f t="shared" ref="AY143" si="434">IF(AP143&lt;&gt;" ",IF(AQ143&gt;$B$15,"Нет","Да")," ")</f>
        <v xml:space="preserve"> </v>
      </c>
      <c r="AZ143" s="441" t="str">
        <f t="shared" ref="AZ143" si="435">IF(AP143&lt;&gt;" ",IF(AW143&gt;0.5*(AV143+AV144),"Да","Нет")," ")</f>
        <v xml:space="preserve"> </v>
      </c>
      <c r="BA143" s="441" t="str">
        <f t="shared" ref="BA143" si="436">IF(AP143&lt;&gt;" ",IF(OR($AX$129&lt;7,$AX$129=7),"Да","Нет")," ")</f>
        <v xml:space="preserve"> </v>
      </c>
      <c r="BB143" s="441" t="str">
        <f t="shared" ref="BB143" si="437">IF(AP143&lt;&gt;" ",IF(AW143&gt;0.2*0.5*(AR143+AR144),"Да","Нет")," ")</f>
        <v xml:space="preserve"> </v>
      </c>
      <c r="BC143" s="353">
        <f t="shared" ref="BC143:BC177" si="438">IF(AND(BE143&lt;&gt;0,BE143&lt;&gt;" "),AP143,0)</f>
        <v>0</v>
      </c>
      <c r="BD143" s="443" t="str">
        <f t="shared" ref="BD143" si="439">IF(AP143&lt;&gt;" ",IF(OR(AU143&lt;AR143,AU143=AR143),0.8*AW143*AP143/(5*$AX$129*10),0.8*AW143*AP143/($AX$129*10))," ")</f>
        <v xml:space="preserve"> </v>
      </c>
      <c r="BE143" s="353">
        <f t="shared" si="373"/>
        <v>0</v>
      </c>
      <c r="BF143" s="232"/>
      <c r="BH143" s="418"/>
      <c r="BI143" s="419"/>
      <c r="BJ143" s="202"/>
      <c r="BK143" s="419"/>
      <c r="BL143" s="213"/>
    </row>
    <row r="144" spans="33:64" ht="15.75" thickBot="1">
      <c r="AG144" s="370"/>
      <c r="AH144" s="370"/>
      <c r="AI144" s="364"/>
      <c r="AJ144" s="425"/>
      <c r="AK144" s="364"/>
      <c r="AL144" s="370"/>
      <c r="AM144" s="459"/>
      <c r="AN144" s="376"/>
      <c r="AO144" s="353"/>
      <c r="AP144" s="353"/>
      <c r="AQ144" s="183" t="str">
        <f>IF(AP143&lt;&gt;" ",MAX($AQ$9:AQ143)+AP143," ")</f>
        <v xml:space="preserve"> </v>
      </c>
      <c r="AR144" s="183" t="str">
        <f>IF(AP143&lt;&gt;" ",MAX($AR$9:AR143)+$AJ$29*AP143," ")</f>
        <v xml:space="preserve"> </v>
      </c>
      <c r="AS144" s="86" t="str">
        <f t="shared" si="391"/>
        <v xml:space="preserve"> </v>
      </c>
      <c r="AT144" s="264" t="str" cm="1">
        <f t="array" ref="AT144">IF(AS144&lt;&gt;" ",Interpol(31,8,Служебный!$H$54:$H$84,Служебный!$I$53:$P$53,Служебный!$I$54:$P$84,'Осадка поля'!$AS144,'Осадка поля'!$B$6)," ")</f>
        <v xml:space="preserve"> </v>
      </c>
      <c r="AU144" s="183" t="str">
        <f t="shared" si="415"/>
        <v xml:space="preserve"> </v>
      </c>
      <c r="AV144" s="183" t="str">
        <f>IF(AP143&lt;&gt;" ",AR144*0.5," ")</f>
        <v xml:space="preserve"> </v>
      </c>
      <c r="AW144" s="353"/>
      <c r="AX144" s="353"/>
      <c r="AY144" s="444"/>
      <c r="AZ144" s="444"/>
      <c r="BA144" s="445"/>
      <c r="BB144" s="444"/>
      <c r="BC144" s="353"/>
      <c r="BD144" s="444"/>
      <c r="BE144" s="353"/>
      <c r="BF144" s="232"/>
      <c r="BH144" s="418"/>
      <c r="BI144" s="419"/>
      <c r="BJ144" s="202"/>
      <c r="BK144" s="419"/>
      <c r="BL144" s="213"/>
    </row>
    <row r="145" spans="33:64">
      <c r="AG145" s="370"/>
      <c r="AH145" s="370"/>
      <c r="AI145" s="364"/>
      <c r="AJ145" s="425"/>
      <c r="AK145" s="364"/>
      <c r="AL145" s="370"/>
      <c r="AM145" s="459"/>
      <c r="AN145" s="376"/>
      <c r="AO145" s="353" t="str">
        <f>IF(AO143=" "," ", IF(AO143&lt;SUM(AN$9:AN$148),AO143+1, " "))</f>
        <v xml:space="preserve"> </v>
      </c>
      <c r="AP145" s="353" t="str">
        <f>IF(AO145&lt;&gt;" ",AM$109/COUNT(AO$109:AO$128), " ")</f>
        <v xml:space="preserve"> </v>
      </c>
      <c r="AQ145" s="183" t="str">
        <f>IF(AP145&lt;&gt;" ",SUM($AP$9:AP143)," ")</f>
        <v xml:space="preserve"> </v>
      </c>
      <c r="AR145" s="183" t="str">
        <f>IF(AP145&lt;&gt;" ",MAX($AR$9:AR144)," ")</f>
        <v xml:space="preserve"> </v>
      </c>
      <c r="AS145" s="86" t="str">
        <f t="shared" si="391"/>
        <v xml:space="preserve"> </v>
      </c>
      <c r="AT145" s="264" t="str" cm="1">
        <f t="array" ref="AT145">IF(AS145&lt;&gt;" ",Interpol(31,8,Служебный!$H$54:$H$84,Служебный!$I$53:$P$53,Служебный!$I$54:$P$84,'Осадка поля'!$AS145,'Осадка поля'!$B$6)," ")</f>
        <v xml:space="preserve"> </v>
      </c>
      <c r="AU145" s="183" t="str">
        <f t="shared" si="415"/>
        <v xml:space="preserve"> </v>
      </c>
      <c r="AV145" s="183" t="str">
        <f>IF(AP145&lt;&gt;" ",AR145*0.5," ")</f>
        <v xml:space="preserve"> </v>
      </c>
      <c r="AW145" s="353" t="str">
        <f>IF(AO145&lt;&gt;" ",(AU145+AU146)/2," ")</f>
        <v xml:space="preserve"> </v>
      </c>
      <c r="AX145" s="353"/>
      <c r="AY145" s="445" t="str">
        <f t="shared" ref="AY145" si="440">IF(AP145&lt;&gt;" ",IF(AQ145&gt;$B$15,"Нет","Да")," ")</f>
        <v xml:space="preserve"> </v>
      </c>
      <c r="AZ145" s="441" t="str">
        <f t="shared" ref="AZ145" si="441">IF(AP145&lt;&gt;" ",IF(AW145&gt;0.5*(AV145+AV146),"Да","Нет")," ")</f>
        <v xml:space="preserve"> </v>
      </c>
      <c r="BA145" s="441" t="str">
        <f t="shared" ref="BA145" si="442">IF(AP145&lt;&gt;" ",IF(OR($AX$129&lt;7,$AX$129=7),"Да","Нет")," ")</f>
        <v xml:space="preserve"> </v>
      </c>
      <c r="BB145" s="441" t="str">
        <f t="shared" ref="BB145" si="443">IF(AP145&lt;&gt;" ",IF(AW145&gt;0.2*0.5*(AR145+AR146),"Да","Нет")," ")</f>
        <v xml:space="preserve"> </v>
      </c>
      <c r="BC145" s="353">
        <f t="shared" ref="BC145" si="444">IF(AND(BE145&lt;&gt;0,BE145&lt;&gt;" "),AP145,0)</f>
        <v>0</v>
      </c>
      <c r="BD145" s="443" t="str">
        <f t="shared" ref="BD145" si="445">IF(AP145&lt;&gt;" ",IF(OR(AU145&lt;AR145,AU145=AR145),0.8*AW145*AP145/(5*$AX$129*10),0.8*AW145*AP145/($AX$129*10))," ")</f>
        <v xml:space="preserve"> </v>
      </c>
      <c r="BE145" s="353">
        <f t="shared" si="380"/>
        <v>0</v>
      </c>
      <c r="BF145" s="232"/>
      <c r="BH145" s="418"/>
      <c r="BI145" s="419"/>
      <c r="BJ145" s="202"/>
      <c r="BK145" s="419"/>
      <c r="BL145" s="213"/>
    </row>
    <row r="146" spans="33:64" ht="15.75" thickBot="1">
      <c r="AG146" s="370"/>
      <c r="AH146" s="370"/>
      <c r="AI146" s="364"/>
      <c r="AJ146" s="425"/>
      <c r="AK146" s="364"/>
      <c r="AL146" s="370"/>
      <c r="AM146" s="459"/>
      <c r="AN146" s="376"/>
      <c r="AO146" s="353"/>
      <c r="AP146" s="353"/>
      <c r="AQ146" s="183" t="str">
        <f>IF(AP145&lt;&gt;" ",MAX($AQ$9:AQ145)+AP145," ")</f>
        <v xml:space="preserve"> </v>
      </c>
      <c r="AR146" s="183" t="str">
        <f>IF(AP145&lt;&gt;" ",MAX($AR$9:AR145)+$AJ$29*AP145," ")</f>
        <v xml:space="preserve"> </v>
      </c>
      <c r="AS146" s="86" t="str">
        <f t="shared" si="391"/>
        <v xml:space="preserve"> </v>
      </c>
      <c r="AT146" s="264" t="str" cm="1">
        <f t="array" ref="AT146">IF(AS146&lt;&gt;" ",Interpol(31,8,Служебный!$H$54:$H$84,Служебный!$I$53:$P$53,Служебный!$I$54:$P$84,'Осадка поля'!$AS146,'Осадка поля'!$B$6)," ")</f>
        <v xml:space="preserve"> </v>
      </c>
      <c r="AU146" s="183" t="str">
        <f t="shared" si="415"/>
        <v xml:space="preserve"> </v>
      </c>
      <c r="AV146" s="183" t="str">
        <f>IF(AP145&lt;&gt;" ",AR146*0.5," ")</f>
        <v xml:space="preserve"> </v>
      </c>
      <c r="AW146" s="353"/>
      <c r="AX146" s="353"/>
      <c r="AY146" s="444"/>
      <c r="AZ146" s="444"/>
      <c r="BA146" s="445"/>
      <c r="BB146" s="444"/>
      <c r="BC146" s="353"/>
      <c r="BD146" s="444"/>
      <c r="BE146" s="353"/>
      <c r="BF146" s="232"/>
      <c r="BH146" s="418"/>
      <c r="BI146" s="419"/>
      <c r="BJ146" s="202"/>
      <c r="BK146" s="419"/>
      <c r="BL146" s="213"/>
    </row>
    <row r="147" spans="33:64">
      <c r="AG147" s="370"/>
      <c r="AH147" s="370"/>
      <c r="AI147" s="364"/>
      <c r="AJ147" s="425"/>
      <c r="AK147" s="364"/>
      <c r="AL147" s="370"/>
      <c r="AM147" s="459"/>
      <c r="AN147" s="376"/>
      <c r="AO147" s="353" t="str">
        <f>IF(AO145=" "," ", IF(AO145&lt;SUM(AN$9:AN$148),AO145+1, " "))</f>
        <v xml:space="preserve"> </v>
      </c>
      <c r="AP147" s="353" t="str">
        <f>IF(AO147&lt;&gt;" ",AM$109/COUNT(AO$109:AO$128), " ")</f>
        <v xml:space="preserve"> </v>
      </c>
      <c r="AQ147" s="183" t="str">
        <f>IF(AP147&lt;&gt;" ",SUM($AP$9:AP145)," ")</f>
        <v xml:space="preserve"> </v>
      </c>
      <c r="AR147" s="183" t="str">
        <f>IF(AP147&lt;&gt;" ",MAX($AR$9:AR146)," ")</f>
        <v xml:space="preserve"> </v>
      </c>
      <c r="AS147" s="86" t="str">
        <f t="shared" si="391"/>
        <v xml:space="preserve"> </v>
      </c>
      <c r="AT147" s="264" t="str" cm="1">
        <f t="array" ref="AT147">IF(AS147&lt;&gt;" ",Interpol(31,8,Служебный!$H$54:$H$84,Служебный!$I$53:$P$53,Служебный!$I$54:$P$84,'Осадка поля'!$AS147,'Осадка поля'!$B$6)," ")</f>
        <v xml:space="preserve"> </v>
      </c>
      <c r="AU147" s="183" t="str">
        <f t="shared" si="415"/>
        <v xml:space="preserve"> </v>
      </c>
      <c r="AV147" s="183" t="str">
        <f>IF(AP147&lt;&gt;" ",AR147*0.5," ")</f>
        <v xml:space="preserve"> </v>
      </c>
      <c r="AW147" s="353" t="str">
        <f>IF(AO147&lt;&gt;" ",(AU147+AU148)/2," ")</f>
        <v xml:space="preserve"> </v>
      </c>
      <c r="AX147" s="353"/>
      <c r="AY147" s="445" t="str">
        <f t="shared" ref="AY147" si="446">IF(AP147&lt;&gt;" ",IF(AQ147&gt;$B$15,"Нет","Да")," ")</f>
        <v xml:space="preserve"> </v>
      </c>
      <c r="AZ147" s="441" t="str">
        <f t="shared" ref="AZ147" si="447">IF(AP147&lt;&gt;" ",IF(AW147&gt;0.5*(AV147+AV148),"Да","Нет")," ")</f>
        <v xml:space="preserve"> </v>
      </c>
      <c r="BA147" s="441" t="str">
        <f t="shared" ref="BA147" si="448">IF(AP147&lt;&gt;" ",IF(OR($AX$129&lt;7,$AX$129=7),"Да","Нет")," ")</f>
        <v xml:space="preserve"> </v>
      </c>
      <c r="BB147" s="441" t="str">
        <f t="shared" ref="BB147" si="449">IF(AP147&lt;&gt;" ",IF(AW147&gt;0.2*0.5*(AR147+AR148),"Да","Нет")," ")</f>
        <v xml:space="preserve"> </v>
      </c>
      <c r="BC147" s="353">
        <f t="shared" si="336"/>
        <v>0</v>
      </c>
      <c r="BD147" s="443" t="str">
        <f t="shared" ref="BD147" si="450">IF(AP147&lt;&gt;" ",IF(OR(AU147&lt;AR147,AU147=AR147),0.8*AW147*AP147/(5*$AX$129*10),0.8*AW147*AP147/($AX$129*10))," ")</f>
        <v xml:space="preserve"> </v>
      </c>
      <c r="BE147" s="353">
        <f t="shared" si="387"/>
        <v>0</v>
      </c>
      <c r="BF147" s="232"/>
      <c r="BH147" s="418"/>
      <c r="BI147" s="419"/>
      <c r="BJ147" s="202"/>
      <c r="BK147" s="419"/>
      <c r="BL147" s="213"/>
    </row>
    <row r="148" spans="33:64" ht="15.75" thickBot="1">
      <c r="AG148" s="370"/>
      <c r="AH148" s="370"/>
      <c r="AI148" s="364"/>
      <c r="AJ148" s="425"/>
      <c r="AK148" s="364"/>
      <c r="AL148" s="370"/>
      <c r="AM148" s="459"/>
      <c r="AN148" s="376"/>
      <c r="AO148" s="353"/>
      <c r="AP148" s="353"/>
      <c r="AQ148" s="183" t="str">
        <f>IF(AP147&lt;&gt;" ",MAX($AQ$9:AQ147)+AP147," ")</f>
        <v xml:space="preserve"> </v>
      </c>
      <c r="AR148" s="183" t="str">
        <f>IF(AP147&lt;&gt;" ",MAX($AR$9:AR147)+$AJ$29*AP147," ")</f>
        <v xml:space="preserve"> </v>
      </c>
      <c r="AS148" s="86" t="str">
        <f t="shared" si="391"/>
        <v xml:space="preserve"> </v>
      </c>
      <c r="AT148" s="264" t="str" cm="1">
        <f t="array" ref="AT148">IF(AS148&lt;&gt;" ",Interpol(31,8,Служебный!$H$54:$H$84,Служебный!$I$53:$P$53,Служебный!$I$54:$P$84,'Осадка поля'!$AS148,'Осадка поля'!$B$6)," ")</f>
        <v xml:space="preserve"> </v>
      </c>
      <c r="AU148" s="183" t="str">
        <f t="shared" si="415"/>
        <v xml:space="preserve"> </v>
      </c>
      <c r="AV148" s="183" t="str">
        <f>IF(AP147&lt;&gt;" ",AR148*0.5," ")</f>
        <v xml:space="preserve"> </v>
      </c>
      <c r="AW148" s="353"/>
      <c r="AX148" s="353"/>
      <c r="AY148" s="444"/>
      <c r="AZ148" s="444"/>
      <c r="BA148" s="445"/>
      <c r="BB148" s="444"/>
      <c r="BC148" s="353"/>
      <c r="BD148" s="444"/>
      <c r="BE148" s="353"/>
      <c r="BF148" s="232"/>
      <c r="BH148" s="458"/>
      <c r="BI148" s="457"/>
      <c r="BJ148" s="203"/>
      <c r="BK148" s="457"/>
      <c r="BL148" s="214"/>
    </row>
    <row r="149" spans="33:64">
      <c r="AG149" s="370">
        <f t="shared" si="388"/>
        <v>17</v>
      </c>
      <c r="AH149" s="390">
        <f>IF(AG149&gt;20,0,VLOOKUP(AG149,Скважина!$E$8:$K$27,2,FALSE))</f>
        <v>0</v>
      </c>
      <c r="AI149" s="388">
        <f>IF(OR(AH149=0,AG149&gt;20),0,VLOOKUP(AH149,Геология!$D$7:$BO$993,7,FALSE))</f>
        <v>0</v>
      </c>
      <c r="AJ149" s="425" t="e">
        <f>VLOOKUP(AH149,Геология!$D$7:$BO$993,23,FALSE)</f>
        <v>#N/A</v>
      </c>
      <c r="AK149" s="364">
        <f t="shared" ref="AK149" si="451">IF(AM129&lt;&gt;0,AL129,AK129)</f>
        <v>111.73</v>
      </c>
      <c r="AL149" s="390">
        <f>VLOOKUP(AG149,Скважина!$E$8:$K$27,5,FALSE)</f>
        <v>-5.27</v>
      </c>
      <c r="AM149" s="459">
        <f t="shared" ref="AM149" si="452">IF(IF(AH149&lt;&gt;0,AK149-AL149,0)&lt;0,0,IF(AH149&lt;&gt;0,AK149-AL149,0))</f>
        <v>0</v>
      </c>
      <c r="AN149" s="376"/>
      <c r="AO149" s="353" t="str">
        <f>IF(AN149&lt;&gt;0,MAX(AO$9:AO$148)+1," ")</f>
        <v xml:space="preserve"> </v>
      </c>
      <c r="AP149" s="353" t="str">
        <f>IF(AO149&lt;&gt;" ",AM$109/COUNT(AO$109:AO$128), " ")</f>
        <v xml:space="preserve"> </v>
      </c>
      <c r="AQ149" s="183" t="str">
        <f>IF(AP149&lt;&gt;" ",SUM($AP$9:AP147)," ")</f>
        <v xml:space="preserve"> </v>
      </c>
      <c r="AR149" s="183" t="str">
        <f>IF(AP149&lt;&gt;" ",MAX($AR$9:AR148)," ")</f>
        <v xml:space="preserve"> </v>
      </c>
      <c r="AS149" s="86" t="str">
        <f t="shared" si="391"/>
        <v xml:space="preserve"> </v>
      </c>
      <c r="AT149" s="264" t="str" cm="1">
        <f t="array" ref="AT149">IF(AS149&lt;&gt;" ",Interpol(31,8,Служебный!$H$54:$H$84,Служебный!$I$53:$P$53,Служебный!$I$54:$P$84,'Осадка поля'!$AS149,'Осадка поля'!$B$6)," ")</f>
        <v xml:space="preserve"> </v>
      </c>
      <c r="AU149" s="183" t="str">
        <f t="shared" si="415"/>
        <v xml:space="preserve"> </v>
      </c>
      <c r="AV149" s="183" t="str">
        <f>IF(AP149&lt;&gt;" ",AR149*0.5," ")</f>
        <v xml:space="preserve"> </v>
      </c>
      <c r="AW149" s="353" t="str">
        <f>IF(AO149&lt;&gt;" ",(AU149+AU150)/2," ")</f>
        <v xml:space="preserve"> </v>
      </c>
      <c r="AX149" s="444" t="str">
        <f>IF(AH149&lt;&gt;0,VLOOKUP(AH149,Геология!$D$7:$BO$993,21,FALSE)," ")</f>
        <v xml:space="preserve"> </v>
      </c>
      <c r="AY149" s="445" t="str">
        <f t="shared" ref="AY149" si="453">IF(AP149&lt;&gt;" ",IF(AQ149&gt;$B$15,"Нет","Да")," ")</f>
        <v xml:space="preserve"> </v>
      </c>
      <c r="AZ149" s="441" t="str">
        <f t="shared" ref="AZ149" si="454">IF(AP149&lt;&gt;" ",IF(AW149&gt;0.5*(AV149+AV150),"Да","Нет")," ")</f>
        <v xml:space="preserve"> </v>
      </c>
      <c r="BA149" s="441" t="str">
        <f>IF(AP149&lt;&gt;" ",IF(OR($AX$149&lt;7,$AX$149=7),"Да","Нет")," ")</f>
        <v xml:space="preserve"> </v>
      </c>
      <c r="BB149" s="441" t="str">
        <f t="shared" ref="BB149" si="455">IF(AP149&lt;&gt;" ",IF(AW149&gt;0.2*0.5*(AR149+AR150),"Да","Нет")," ")</f>
        <v xml:space="preserve"> </v>
      </c>
      <c r="BC149" s="353">
        <f t="shared" si="343"/>
        <v>0</v>
      </c>
      <c r="BD149" s="443" t="str">
        <f>IF(AP149&lt;&gt;" ",IF(OR(AU149&lt;AR149,AU149=AR149),0.8*AW149*AP149/(5*$AX$149*10),0.8*AW149*AP149/($AX$149*10))," ")</f>
        <v xml:space="preserve"> </v>
      </c>
      <c r="BE149" s="353">
        <f t="shared" ref="BE149" si="456">IF(AP149&lt;&gt;" ",IF(AND(AY149="Нет",AZ149="Нет",BA149="Нет"),0,IF(AY149="Да",BD149,IF(AZ149="Да",BD149,IF(BA149="Да",BD149)))),0)</f>
        <v>0</v>
      </c>
      <c r="BF149" s="232"/>
      <c r="BH149" s="448" t="str">
        <f>IF(AH149&lt;&gt;0,VLOOKUP(AH149,Геология!$D$7:$BO$993,24,FALSE)," ")</f>
        <v xml:space="preserve"> </v>
      </c>
      <c r="BI149" s="449" t="str">
        <f>IF(BH149&lt;&gt;" ",BH149*AM149," ")</f>
        <v xml:space="preserve"> </v>
      </c>
      <c r="BJ149" s="202"/>
      <c r="BK149" s="456" t="str">
        <f>IF(AM149&lt;&gt;0,AX149*AM149," ")</f>
        <v xml:space="preserve"> </v>
      </c>
      <c r="BL149" s="213"/>
    </row>
    <row r="150" spans="33:64" ht="15.75" thickBot="1">
      <c r="AG150" s="370"/>
      <c r="AH150" s="370"/>
      <c r="AI150" s="364"/>
      <c r="AJ150" s="425"/>
      <c r="AK150" s="364"/>
      <c r="AL150" s="370"/>
      <c r="AM150" s="459"/>
      <c r="AN150" s="376"/>
      <c r="AO150" s="353"/>
      <c r="AP150" s="353"/>
      <c r="AQ150" s="183" t="str">
        <f>IF(AP149&lt;&gt;" ",MAX($AQ$9:AQ149)+AP149," ")</f>
        <v xml:space="preserve"> </v>
      </c>
      <c r="AR150" s="183" t="str">
        <f>IF(AP149&lt;&gt;" ",MAX($AR$9:AR149)+$AJ$29*AP149," ")</f>
        <v xml:space="preserve"> </v>
      </c>
      <c r="AS150" s="86" t="str">
        <f t="shared" si="391"/>
        <v xml:space="preserve"> </v>
      </c>
      <c r="AT150" s="264" t="str" cm="1">
        <f t="array" ref="AT150">IF(AS150&lt;&gt;" ",Interpol(31,8,Служебный!$H$54:$H$84,Служебный!$I$53:$P$53,Служебный!$I$54:$P$84,'Осадка поля'!$AS150,'Осадка поля'!$B$6)," ")</f>
        <v xml:space="preserve"> </v>
      </c>
      <c r="AU150" s="183" t="str">
        <f t="shared" si="415"/>
        <v xml:space="preserve"> </v>
      </c>
      <c r="AV150" s="183" t="str">
        <f>IF(AP149&lt;&gt;" ",AR150*0.5," ")</f>
        <v xml:space="preserve"> </v>
      </c>
      <c r="AW150" s="353"/>
      <c r="AX150" s="353"/>
      <c r="AY150" s="444"/>
      <c r="AZ150" s="444"/>
      <c r="BA150" s="445"/>
      <c r="BB150" s="444"/>
      <c r="BC150" s="353"/>
      <c r="BD150" s="444"/>
      <c r="BE150" s="353"/>
      <c r="BF150" s="232"/>
      <c r="BH150" s="418"/>
      <c r="BI150" s="419"/>
      <c r="BJ150" s="202"/>
      <c r="BK150" s="419"/>
      <c r="BL150" s="213"/>
    </row>
    <row r="151" spans="33:64">
      <c r="AG151" s="370"/>
      <c r="AH151" s="370"/>
      <c r="AI151" s="364"/>
      <c r="AJ151" s="425"/>
      <c r="AK151" s="364"/>
      <c r="AL151" s="370"/>
      <c r="AM151" s="459"/>
      <c r="AN151" s="376"/>
      <c r="AO151" s="353" t="str">
        <f>IF(AO149=" "," ", IF(AO149&lt;SUM(AN$9:AN$168),AO149+1, " "))</f>
        <v xml:space="preserve"> </v>
      </c>
      <c r="AP151" s="353" t="str">
        <f>IF(AO151&lt;&gt;" ",AM$109/COUNT(AO$109:AO$128), " ")</f>
        <v xml:space="preserve"> </v>
      </c>
      <c r="AQ151" s="183" t="str">
        <f>IF(AP151&lt;&gt;" ",SUM($AP$9:AP149)," ")</f>
        <v xml:space="preserve"> </v>
      </c>
      <c r="AR151" s="183" t="str">
        <f>IF(AP151&lt;&gt;" ",MAX($AR$9:AR150)," ")</f>
        <v xml:space="preserve"> </v>
      </c>
      <c r="AS151" s="86" t="str">
        <f t="shared" si="391"/>
        <v xml:space="preserve"> </v>
      </c>
      <c r="AT151" s="264" t="str" cm="1">
        <f t="array" ref="AT151">IF(AS151&lt;&gt;" ",Interpol(31,8,Служебный!$H$54:$H$84,Служебный!$I$53:$P$53,Служебный!$I$54:$P$84,'Осадка поля'!$AS151,'Осадка поля'!$B$6)," ")</f>
        <v xml:space="preserve"> </v>
      </c>
      <c r="AU151" s="183" t="str">
        <f t="shared" si="415"/>
        <v xml:space="preserve"> </v>
      </c>
      <c r="AV151" s="183" t="str">
        <f>IF(AP151&lt;&gt;" ",AR151*0.5," ")</f>
        <v xml:space="preserve"> </v>
      </c>
      <c r="AW151" s="353" t="str">
        <f>IF(AO151&lt;&gt;" ",(AU151+AU152)/2," ")</f>
        <v xml:space="preserve"> </v>
      </c>
      <c r="AX151" s="353"/>
      <c r="AY151" s="445" t="str">
        <f t="shared" ref="AY151" si="457">IF(AP151&lt;&gt;" ",IF(AQ151&gt;$B$15,"Нет","Да")," ")</f>
        <v xml:space="preserve"> </v>
      </c>
      <c r="AZ151" s="441" t="str">
        <f t="shared" ref="AZ151" si="458">IF(AP151&lt;&gt;" ",IF(AW151&gt;0.5*(AV151+AV152),"Да","Нет")," ")</f>
        <v xml:space="preserve"> </v>
      </c>
      <c r="BA151" s="441" t="str">
        <f t="shared" ref="BA151" si="459">IF(AP151&lt;&gt;" ",IF(OR($AX$149&lt;7,$AX$149=7),"Да","Нет")," ")</f>
        <v xml:space="preserve"> </v>
      </c>
      <c r="BB151" s="441" t="str">
        <f t="shared" ref="BB151" si="460">IF(AP151&lt;&gt;" ",IF(AW151&gt;0.2*0.5*(AR151+AR152),"Да","Нет")," ")</f>
        <v xml:space="preserve"> </v>
      </c>
      <c r="BC151" s="353">
        <f t="shared" si="350"/>
        <v>0</v>
      </c>
      <c r="BD151" s="443" t="str">
        <f t="shared" ref="BD151" si="461">IF(AP151&lt;&gt;" ",IF(OR(AU151&lt;AR151,AU151=AR151),0.8*AW151*AP151/(5*$AX$149*10),0.8*AW151*AP151/($AX$149*10))," ")</f>
        <v xml:space="preserve"> </v>
      </c>
      <c r="BE151" s="353">
        <f t="shared" si="331"/>
        <v>0</v>
      </c>
      <c r="BF151" s="232"/>
      <c r="BH151" s="418"/>
      <c r="BI151" s="419"/>
      <c r="BJ151" s="202"/>
      <c r="BK151" s="419"/>
      <c r="BL151" s="213"/>
    </row>
    <row r="152" spans="33:64" ht="15.75" thickBot="1">
      <c r="AG152" s="370"/>
      <c r="AH152" s="370"/>
      <c r="AI152" s="364"/>
      <c r="AJ152" s="425"/>
      <c r="AK152" s="364"/>
      <c r="AL152" s="370"/>
      <c r="AM152" s="459"/>
      <c r="AN152" s="376"/>
      <c r="AO152" s="353"/>
      <c r="AP152" s="353"/>
      <c r="AQ152" s="183" t="str">
        <f>IF(AP151&lt;&gt;" ",MAX($AQ$9:AQ151)+AP151," ")</f>
        <v xml:space="preserve"> </v>
      </c>
      <c r="AR152" s="183" t="str">
        <f>IF(AP151&lt;&gt;" ",MAX($AR$9:AR151)+$AJ$29*AP151," ")</f>
        <v xml:space="preserve"> </v>
      </c>
      <c r="AS152" s="86" t="str">
        <f t="shared" si="391"/>
        <v xml:space="preserve"> </v>
      </c>
      <c r="AT152" s="264" t="str" cm="1">
        <f t="array" ref="AT152">IF(AS152&lt;&gt;" ",Interpol(31,8,Служебный!$H$54:$H$84,Служебный!$I$53:$P$53,Служебный!$I$54:$P$84,'Осадка поля'!$AS152,'Осадка поля'!$B$6)," ")</f>
        <v xml:space="preserve"> </v>
      </c>
      <c r="AU152" s="183" t="str">
        <f t="shared" si="415"/>
        <v xml:space="preserve"> </v>
      </c>
      <c r="AV152" s="183" t="str">
        <f>IF(AP151&lt;&gt;" ",AR152*0.5," ")</f>
        <v xml:space="preserve"> </v>
      </c>
      <c r="AW152" s="353"/>
      <c r="AX152" s="353"/>
      <c r="AY152" s="444"/>
      <c r="AZ152" s="444"/>
      <c r="BA152" s="445"/>
      <c r="BB152" s="444"/>
      <c r="BC152" s="353"/>
      <c r="BD152" s="444"/>
      <c r="BE152" s="353"/>
      <c r="BF152" s="232"/>
      <c r="BH152" s="418"/>
      <c r="BI152" s="419"/>
      <c r="BJ152" s="202"/>
      <c r="BK152" s="419"/>
      <c r="BL152" s="213"/>
    </row>
    <row r="153" spans="33:64">
      <c r="AG153" s="370"/>
      <c r="AH153" s="370"/>
      <c r="AI153" s="364"/>
      <c r="AJ153" s="425"/>
      <c r="AK153" s="364"/>
      <c r="AL153" s="370"/>
      <c r="AM153" s="459"/>
      <c r="AN153" s="376"/>
      <c r="AO153" s="353" t="str">
        <f>IF(AO151=" "," ", IF(AO151&lt;SUM(AN$9:AN$168),AO151+1, " "))</f>
        <v xml:space="preserve"> </v>
      </c>
      <c r="AP153" s="353" t="str">
        <f>IF(AO153&lt;&gt;" ",AM$109/COUNT(AO$109:AO$128), " ")</f>
        <v xml:space="preserve"> </v>
      </c>
      <c r="AQ153" s="183" t="str">
        <f>IF(AP153&lt;&gt;" ",SUM($AP$9:AP151)," ")</f>
        <v xml:space="preserve"> </v>
      </c>
      <c r="AR153" s="183" t="str">
        <f>IF(AP153&lt;&gt;" ",MAX($AR$9:AR152)," ")</f>
        <v xml:space="preserve"> </v>
      </c>
      <c r="AS153" s="86" t="str">
        <f t="shared" si="391"/>
        <v xml:space="preserve"> </v>
      </c>
      <c r="AT153" s="264" t="str" cm="1">
        <f t="array" ref="AT153">IF(AS153&lt;&gt;" ",Interpol(31,8,Служебный!$H$54:$H$84,Служебный!$I$53:$P$53,Служебный!$I$54:$P$84,'Осадка поля'!$AS153,'Осадка поля'!$B$6)," ")</f>
        <v xml:space="preserve"> </v>
      </c>
      <c r="AU153" s="183" t="str">
        <f t="shared" si="415"/>
        <v xml:space="preserve"> </v>
      </c>
      <c r="AV153" s="183" t="str">
        <f>IF(AP153&lt;&gt;" ",AR153*0.5," ")</f>
        <v xml:space="preserve"> </v>
      </c>
      <c r="AW153" s="353" t="str">
        <f>IF(AO153&lt;&gt;" ",(AU153+AU154)/2," ")</f>
        <v xml:space="preserve"> </v>
      </c>
      <c r="AX153" s="353"/>
      <c r="AY153" s="445" t="str">
        <f t="shared" ref="AY153" si="462">IF(AP153&lt;&gt;" ",IF(AQ153&gt;$B$15,"Нет","Да")," ")</f>
        <v xml:space="preserve"> </v>
      </c>
      <c r="AZ153" s="441" t="str">
        <f t="shared" ref="AZ153" si="463">IF(AP153&lt;&gt;" ",IF(AW153&gt;0.5*(AV153+AV154),"Да","Нет")," ")</f>
        <v xml:space="preserve"> </v>
      </c>
      <c r="BA153" s="441" t="str">
        <f t="shared" ref="BA153" si="464">IF(AP153&lt;&gt;" ",IF(OR($AX$149&lt;7,$AX$149=7),"Да","Нет")," ")</f>
        <v xml:space="preserve"> </v>
      </c>
      <c r="BB153" s="441" t="str">
        <f t="shared" ref="BB153" si="465">IF(AP153&lt;&gt;" ",IF(AW153&gt;0.2*0.5*(AR153+AR154),"Да","Нет")," ")</f>
        <v xml:space="preserve"> </v>
      </c>
      <c r="BC153" s="353">
        <f t="shared" si="357"/>
        <v>0</v>
      </c>
      <c r="BD153" s="443" t="str">
        <f t="shared" ref="BD153" si="466">IF(AP153&lt;&gt;" ",IF(OR(AU153&lt;AR153,AU153=AR153),0.8*AW153*AP153/(5*$AX$149*10),0.8*AW153*AP153/($AX$149*10))," ")</f>
        <v xml:space="preserve"> </v>
      </c>
      <c r="BE153" s="353">
        <f t="shared" si="338"/>
        <v>0</v>
      </c>
      <c r="BF153" s="232"/>
      <c r="BH153" s="418"/>
      <c r="BI153" s="419"/>
      <c r="BJ153" s="202"/>
      <c r="BK153" s="419"/>
      <c r="BL153" s="213"/>
    </row>
    <row r="154" spans="33:64" ht="15.75" thickBot="1">
      <c r="AG154" s="370"/>
      <c r="AH154" s="370"/>
      <c r="AI154" s="364"/>
      <c r="AJ154" s="425"/>
      <c r="AK154" s="364"/>
      <c r="AL154" s="370"/>
      <c r="AM154" s="459"/>
      <c r="AN154" s="376"/>
      <c r="AO154" s="353"/>
      <c r="AP154" s="353"/>
      <c r="AQ154" s="183" t="str">
        <f>IF(AP153&lt;&gt;" ",MAX($AQ$9:AQ153)+AP153," ")</f>
        <v xml:space="preserve"> </v>
      </c>
      <c r="AR154" s="183" t="str">
        <f>IF(AP153&lt;&gt;" ",MAX($AR$9:AR153)+$AJ$29*AP153," ")</f>
        <v xml:space="preserve"> </v>
      </c>
      <c r="AS154" s="86" t="str">
        <f t="shared" si="391"/>
        <v xml:space="preserve"> </v>
      </c>
      <c r="AT154" s="264" t="str" cm="1">
        <f t="array" ref="AT154">IF(AS154&lt;&gt;" ",Interpol(31,8,Служебный!$H$54:$H$84,Служебный!$I$53:$P$53,Служебный!$I$54:$P$84,'Осадка поля'!$AS154,'Осадка поля'!$B$6)," ")</f>
        <v xml:space="preserve"> </v>
      </c>
      <c r="AU154" s="183" t="str">
        <f t="shared" si="415"/>
        <v xml:space="preserve"> </v>
      </c>
      <c r="AV154" s="183" t="str">
        <f>IF(AP153&lt;&gt;" ",AR154*0.5," ")</f>
        <v xml:space="preserve"> </v>
      </c>
      <c r="AW154" s="353"/>
      <c r="AX154" s="353"/>
      <c r="AY154" s="444"/>
      <c r="AZ154" s="444"/>
      <c r="BA154" s="445"/>
      <c r="BB154" s="444"/>
      <c r="BC154" s="353"/>
      <c r="BD154" s="444"/>
      <c r="BE154" s="353"/>
      <c r="BF154" s="232"/>
      <c r="BH154" s="418"/>
      <c r="BI154" s="419"/>
      <c r="BJ154" s="202"/>
      <c r="BK154" s="419"/>
      <c r="BL154" s="213"/>
    </row>
    <row r="155" spans="33:64">
      <c r="AG155" s="370"/>
      <c r="AH155" s="370"/>
      <c r="AI155" s="364"/>
      <c r="AJ155" s="425"/>
      <c r="AK155" s="364"/>
      <c r="AL155" s="370"/>
      <c r="AM155" s="459"/>
      <c r="AN155" s="376"/>
      <c r="AO155" s="353" t="str">
        <f>IF(AO153=" "," ", IF(AO153&lt;SUM(AN$9:AN$168),AO153+1, " "))</f>
        <v xml:space="preserve"> </v>
      </c>
      <c r="AP155" s="353" t="str">
        <f>IF(AO155&lt;&gt;" ",AM$109/COUNT(AO$109:AO$128), " ")</f>
        <v xml:space="preserve"> </v>
      </c>
      <c r="AQ155" s="183" t="str">
        <f>IF(AP155&lt;&gt;" ",SUM($AP$9:AP153)," ")</f>
        <v xml:space="preserve"> </v>
      </c>
      <c r="AR155" s="183" t="str">
        <f>IF(AP155&lt;&gt;" ",MAX($AR$9:AR154)," ")</f>
        <v xml:space="preserve"> </v>
      </c>
      <c r="AS155" s="86" t="str">
        <f t="shared" si="391"/>
        <v xml:space="preserve"> </v>
      </c>
      <c r="AT155" s="264" t="str" cm="1">
        <f t="array" ref="AT155">IF(AS155&lt;&gt;" ",Interpol(31,8,Служебный!$H$54:$H$84,Служебный!$I$53:$P$53,Служебный!$I$54:$P$84,'Осадка поля'!$AS155,'Осадка поля'!$B$6)," ")</f>
        <v xml:space="preserve"> </v>
      </c>
      <c r="AU155" s="183" t="str">
        <f t="shared" si="415"/>
        <v xml:space="preserve"> </v>
      </c>
      <c r="AV155" s="183" t="str">
        <f>IF(AP155&lt;&gt;" ",AR155*0.5," ")</f>
        <v xml:space="preserve"> </v>
      </c>
      <c r="AW155" s="353" t="str">
        <f>IF(AO155&lt;&gt;" ",(AU155+AU156)/2," ")</f>
        <v xml:space="preserve"> </v>
      </c>
      <c r="AX155" s="353"/>
      <c r="AY155" s="445" t="str">
        <f t="shared" ref="AY155" si="467">IF(AP155&lt;&gt;" ",IF(AQ155&gt;$B$15,"Нет","Да")," ")</f>
        <v xml:space="preserve"> </v>
      </c>
      <c r="AZ155" s="441" t="str">
        <f t="shared" ref="AZ155" si="468">IF(AP155&lt;&gt;" ",IF(AW155&gt;0.5*(AV155+AV156),"Да","Нет")," ")</f>
        <v xml:space="preserve"> </v>
      </c>
      <c r="BA155" s="441" t="str">
        <f t="shared" ref="BA155" si="469">IF(AP155&lt;&gt;" ",IF(OR($AX$149&lt;7,$AX$149=7),"Да","Нет")," ")</f>
        <v xml:space="preserve"> </v>
      </c>
      <c r="BB155" s="441" t="str">
        <f t="shared" ref="BB155" si="470">IF(AP155&lt;&gt;" ",IF(AW155&gt;0.2*0.5*(AR155+AR156),"Да","Нет")," ")</f>
        <v xml:space="preserve"> </v>
      </c>
      <c r="BC155" s="353">
        <f t="shared" si="364"/>
        <v>0</v>
      </c>
      <c r="BD155" s="443" t="str">
        <f t="shared" ref="BD155" si="471">IF(AP155&lt;&gt;" ",IF(OR(AU155&lt;AR155,AU155=AR155),0.8*AW155*AP155/(5*$AX$149*10),0.8*AW155*AP155/($AX$149*10))," ")</f>
        <v xml:space="preserve"> </v>
      </c>
      <c r="BE155" s="353">
        <f t="shared" si="345"/>
        <v>0</v>
      </c>
      <c r="BF155" s="232"/>
      <c r="BH155" s="418"/>
      <c r="BI155" s="419"/>
      <c r="BJ155" s="202"/>
      <c r="BK155" s="419"/>
      <c r="BL155" s="213"/>
    </row>
    <row r="156" spans="33:64" ht="15.75" thickBot="1">
      <c r="AG156" s="370"/>
      <c r="AH156" s="370"/>
      <c r="AI156" s="364"/>
      <c r="AJ156" s="425"/>
      <c r="AK156" s="364"/>
      <c r="AL156" s="370"/>
      <c r="AM156" s="459"/>
      <c r="AN156" s="376"/>
      <c r="AO156" s="353"/>
      <c r="AP156" s="353"/>
      <c r="AQ156" s="183" t="str">
        <f>IF(AP155&lt;&gt;" ",MAX($AQ$9:AQ155)+AP155," ")</f>
        <v xml:space="preserve"> </v>
      </c>
      <c r="AR156" s="183" t="str">
        <f>IF(AP155&lt;&gt;" ",MAX($AR$9:AR155)+$AJ$29*AP155," ")</f>
        <v xml:space="preserve"> </v>
      </c>
      <c r="AS156" s="86" t="str">
        <f t="shared" si="391"/>
        <v xml:space="preserve"> </v>
      </c>
      <c r="AT156" s="264" t="str" cm="1">
        <f t="array" ref="AT156">IF(AS156&lt;&gt;" ",Interpol(31,8,Служебный!$H$54:$H$84,Служебный!$I$53:$P$53,Служебный!$I$54:$P$84,'Осадка поля'!$AS156,'Осадка поля'!$B$6)," ")</f>
        <v xml:space="preserve"> </v>
      </c>
      <c r="AU156" s="183" t="str">
        <f t="shared" si="415"/>
        <v xml:space="preserve"> </v>
      </c>
      <c r="AV156" s="183" t="str">
        <f>IF(AP155&lt;&gt;" ",AR156*0.5," ")</f>
        <v xml:space="preserve"> </v>
      </c>
      <c r="AW156" s="353"/>
      <c r="AX156" s="353"/>
      <c r="AY156" s="444"/>
      <c r="AZ156" s="444"/>
      <c r="BA156" s="445"/>
      <c r="BB156" s="444"/>
      <c r="BC156" s="353"/>
      <c r="BD156" s="444"/>
      <c r="BE156" s="353"/>
      <c r="BF156" s="232"/>
      <c r="BH156" s="418"/>
      <c r="BI156" s="419"/>
      <c r="BJ156" s="202"/>
      <c r="BK156" s="419"/>
      <c r="BL156" s="213"/>
    </row>
    <row r="157" spans="33:64">
      <c r="AG157" s="370"/>
      <c r="AH157" s="370"/>
      <c r="AI157" s="364"/>
      <c r="AJ157" s="425"/>
      <c r="AK157" s="364"/>
      <c r="AL157" s="370"/>
      <c r="AM157" s="459"/>
      <c r="AN157" s="376"/>
      <c r="AO157" s="353" t="str">
        <f>IF(AO155=" "," ", IF(AO155&lt;SUM(AN$9:AN$168),AO155+1, " "))</f>
        <v xml:space="preserve"> </v>
      </c>
      <c r="AP157" s="353" t="str">
        <f>IF(AO157&lt;&gt;" ",AM$109/COUNT(AO$109:AO$128), " ")</f>
        <v xml:space="preserve"> </v>
      </c>
      <c r="AQ157" s="183" t="str">
        <f>IF(AP157&lt;&gt;" ",SUM($AP$9:AP155)," ")</f>
        <v xml:space="preserve"> </v>
      </c>
      <c r="AR157" s="183" t="str">
        <f>IF(AP157&lt;&gt;" ",MAX($AR$9:AR156)," ")</f>
        <v xml:space="preserve"> </v>
      </c>
      <c r="AS157" s="86" t="str">
        <f t="shared" si="391"/>
        <v xml:space="preserve"> </v>
      </c>
      <c r="AT157" s="264" t="str" cm="1">
        <f t="array" ref="AT157">IF(AS157&lt;&gt;" ",Interpol(31,8,Служебный!$H$54:$H$84,Служебный!$I$53:$P$53,Служебный!$I$54:$P$84,'Осадка поля'!$AS157,'Осадка поля'!$B$6)," ")</f>
        <v xml:space="preserve"> </v>
      </c>
      <c r="AU157" s="183" t="str">
        <f t="shared" si="415"/>
        <v xml:space="preserve"> </v>
      </c>
      <c r="AV157" s="183" t="str">
        <f>IF(AP157&lt;&gt;" ",AR157*0.5," ")</f>
        <v xml:space="preserve"> </v>
      </c>
      <c r="AW157" s="353" t="str">
        <f>IF(AO157&lt;&gt;" ",(AU157+AU158)/2," ")</f>
        <v xml:space="preserve"> </v>
      </c>
      <c r="AX157" s="353"/>
      <c r="AY157" s="445" t="str">
        <f t="shared" ref="AY157" si="472">IF(AP157&lt;&gt;" ",IF(AQ157&gt;$B$15,"Нет","Да")," ")</f>
        <v xml:space="preserve"> </v>
      </c>
      <c r="AZ157" s="441" t="str">
        <f t="shared" ref="AZ157" si="473">IF(AP157&lt;&gt;" ",IF(AW157&gt;0.5*(AV157+AV158),"Да","Нет")," ")</f>
        <v xml:space="preserve"> </v>
      </c>
      <c r="BA157" s="441" t="str">
        <f t="shared" ref="BA157" si="474">IF(AP157&lt;&gt;" ",IF(OR($AX$149&lt;7,$AX$149=7),"Да","Нет")," ")</f>
        <v xml:space="preserve"> </v>
      </c>
      <c r="BB157" s="441" t="str">
        <f t="shared" ref="BB157" si="475">IF(AP157&lt;&gt;" ",IF(AW157&gt;0.2*0.5*(AR157+AR158),"Да","Нет")," ")</f>
        <v xml:space="preserve"> </v>
      </c>
      <c r="BC157" s="353">
        <f t="shared" si="371"/>
        <v>0</v>
      </c>
      <c r="BD157" s="443" t="str">
        <f t="shared" ref="BD157" si="476">IF(AP157&lt;&gt;" ",IF(OR(AU157&lt;AR157,AU157=AR157),0.8*AW157*AP157/(5*$AX$149*10),0.8*AW157*AP157/($AX$149*10))," ")</f>
        <v xml:space="preserve"> </v>
      </c>
      <c r="BE157" s="353">
        <f t="shared" si="352"/>
        <v>0</v>
      </c>
      <c r="BF157" s="232"/>
      <c r="BH157" s="418"/>
      <c r="BI157" s="419"/>
      <c r="BJ157" s="202"/>
      <c r="BK157" s="419"/>
      <c r="BL157" s="213"/>
    </row>
    <row r="158" spans="33:64" ht="15.75" thickBot="1">
      <c r="AG158" s="370"/>
      <c r="AH158" s="370"/>
      <c r="AI158" s="364"/>
      <c r="AJ158" s="425"/>
      <c r="AK158" s="364"/>
      <c r="AL158" s="370"/>
      <c r="AM158" s="459"/>
      <c r="AN158" s="376"/>
      <c r="AO158" s="353"/>
      <c r="AP158" s="353"/>
      <c r="AQ158" s="183" t="str">
        <f>IF(AP157&lt;&gt;" ",MAX($AQ$9:AQ157)+AP157," ")</f>
        <v xml:space="preserve"> </v>
      </c>
      <c r="AR158" s="183" t="str">
        <f>IF(AP157&lt;&gt;" ",MAX($AR$9:AR157)+$AJ$29*AP157," ")</f>
        <v xml:space="preserve"> </v>
      </c>
      <c r="AS158" s="86" t="str">
        <f t="shared" si="391"/>
        <v xml:space="preserve"> </v>
      </c>
      <c r="AT158" s="264" t="str" cm="1">
        <f t="array" ref="AT158">IF(AS158&lt;&gt;" ",Interpol(31,8,Служебный!$H$54:$H$84,Служебный!$I$53:$P$53,Служебный!$I$54:$P$84,'Осадка поля'!$AS158,'Осадка поля'!$B$6)," ")</f>
        <v xml:space="preserve"> </v>
      </c>
      <c r="AU158" s="183" t="str">
        <f t="shared" si="415"/>
        <v xml:space="preserve"> </v>
      </c>
      <c r="AV158" s="183" t="str">
        <f>IF(AP157&lt;&gt;" ",AR158*0.5," ")</f>
        <v xml:space="preserve"> </v>
      </c>
      <c r="AW158" s="353"/>
      <c r="AX158" s="353"/>
      <c r="AY158" s="444"/>
      <c r="AZ158" s="444"/>
      <c r="BA158" s="445"/>
      <c r="BB158" s="444"/>
      <c r="BC158" s="353"/>
      <c r="BD158" s="444"/>
      <c r="BE158" s="353"/>
      <c r="BF158" s="232"/>
      <c r="BH158" s="418"/>
      <c r="BI158" s="419"/>
      <c r="BJ158" s="202"/>
      <c r="BK158" s="419"/>
      <c r="BL158" s="213"/>
    </row>
    <row r="159" spans="33:64">
      <c r="AG159" s="370"/>
      <c r="AH159" s="370"/>
      <c r="AI159" s="364"/>
      <c r="AJ159" s="425"/>
      <c r="AK159" s="364"/>
      <c r="AL159" s="370"/>
      <c r="AM159" s="459"/>
      <c r="AN159" s="376"/>
      <c r="AO159" s="353" t="str">
        <f>IF(AO157=" "," ", IF(AO157&lt;SUM(AN$9:AN$168),AO157+1, " "))</f>
        <v xml:space="preserve"> </v>
      </c>
      <c r="AP159" s="353" t="str">
        <f>IF(AO159&lt;&gt;" ",AM$109/COUNT(AO$109:AO$128), " ")</f>
        <v xml:space="preserve"> </v>
      </c>
      <c r="AQ159" s="183" t="str">
        <f>IF(AP159&lt;&gt;" ",SUM($AP$9:AP157)," ")</f>
        <v xml:space="preserve"> </v>
      </c>
      <c r="AR159" s="183" t="str">
        <f>IF(AP159&lt;&gt;" ",MAX($AR$9:AR158)," ")</f>
        <v xml:space="preserve"> </v>
      </c>
      <c r="AS159" s="86" t="str">
        <f t="shared" si="391"/>
        <v xml:space="preserve"> </v>
      </c>
      <c r="AT159" s="264" t="str" cm="1">
        <f t="array" ref="AT159">IF(AS159&lt;&gt;" ",Interpol(31,8,Служебный!$H$54:$H$84,Служебный!$I$53:$P$53,Служебный!$I$54:$P$84,'Осадка поля'!$AS159,'Осадка поля'!$B$6)," ")</f>
        <v xml:space="preserve"> </v>
      </c>
      <c r="AU159" s="183" t="str">
        <f t="shared" si="415"/>
        <v xml:space="preserve"> </v>
      </c>
      <c r="AV159" s="183" t="str">
        <f>IF(AP159&lt;&gt;" ",AR159*0.5," ")</f>
        <v xml:space="preserve"> </v>
      </c>
      <c r="AW159" s="353" t="str">
        <f>IF(AO159&lt;&gt;" ",(AU159+AU160)/2," ")</f>
        <v xml:space="preserve"> </v>
      </c>
      <c r="AX159" s="353"/>
      <c r="AY159" s="445" t="str">
        <f t="shared" ref="AY159" si="477">IF(AP159&lt;&gt;" ",IF(AQ159&gt;$B$15,"Нет","Да")," ")</f>
        <v xml:space="preserve"> </v>
      </c>
      <c r="AZ159" s="441" t="str">
        <f t="shared" ref="AZ159" si="478">IF(AP159&lt;&gt;" ",IF(AW159&gt;0.5*(AV159+AV160),"Да","Нет")," ")</f>
        <v xml:space="preserve"> </v>
      </c>
      <c r="BA159" s="441" t="str">
        <f t="shared" ref="BA159" si="479">IF(AP159&lt;&gt;" ",IF(OR($AX$149&lt;7,$AX$149=7),"Да","Нет")," ")</f>
        <v xml:space="preserve"> </v>
      </c>
      <c r="BB159" s="441" t="str">
        <f t="shared" ref="BB159" si="480">IF(AP159&lt;&gt;" ",IF(AW159&gt;0.2*0.5*(AR159+AR160),"Да","Нет")," ")</f>
        <v xml:space="preserve"> </v>
      </c>
      <c r="BC159" s="353">
        <f t="shared" si="378"/>
        <v>0</v>
      </c>
      <c r="BD159" s="443" t="str">
        <f t="shared" ref="BD159" si="481">IF(AP159&lt;&gt;" ",IF(OR(AU159&lt;AR159,AU159=AR159),0.8*AW159*AP159/(5*$AX$149*10),0.8*AW159*AP159/($AX$149*10))," ")</f>
        <v xml:space="preserve"> </v>
      </c>
      <c r="BE159" s="353">
        <f t="shared" si="359"/>
        <v>0</v>
      </c>
      <c r="BF159" s="232"/>
      <c r="BH159" s="418"/>
      <c r="BI159" s="419"/>
      <c r="BJ159" s="202"/>
      <c r="BK159" s="419"/>
      <c r="BL159" s="213"/>
    </row>
    <row r="160" spans="33:64" ht="15.75" thickBot="1">
      <c r="AG160" s="370"/>
      <c r="AH160" s="370"/>
      <c r="AI160" s="364"/>
      <c r="AJ160" s="425"/>
      <c r="AK160" s="364"/>
      <c r="AL160" s="370"/>
      <c r="AM160" s="459"/>
      <c r="AN160" s="376"/>
      <c r="AO160" s="353"/>
      <c r="AP160" s="353"/>
      <c r="AQ160" s="183" t="str">
        <f>IF(AP159&lt;&gt;" ",MAX($AQ$9:AQ159)+AP159," ")</f>
        <v xml:space="preserve"> </v>
      </c>
      <c r="AR160" s="183" t="str">
        <f>IF(AP159&lt;&gt;" ",MAX($AR$9:AR159)+$AJ$29*AP159," ")</f>
        <v xml:space="preserve"> </v>
      </c>
      <c r="AS160" s="86" t="str">
        <f t="shared" si="391"/>
        <v xml:space="preserve"> </v>
      </c>
      <c r="AT160" s="264" t="str" cm="1">
        <f t="array" ref="AT160">IF(AS160&lt;&gt;" ",Interpol(31,8,Служебный!$H$54:$H$84,Служебный!$I$53:$P$53,Служебный!$I$54:$P$84,'Осадка поля'!$AS160,'Осадка поля'!$B$6)," ")</f>
        <v xml:space="preserve"> </v>
      </c>
      <c r="AU160" s="183" t="str">
        <f t="shared" si="415"/>
        <v xml:space="preserve"> </v>
      </c>
      <c r="AV160" s="183" t="str">
        <f>IF(AP159&lt;&gt;" ",AR160*0.5," ")</f>
        <v xml:space="preserve"> </v>
      </c>
      <c r="AW160" s="353"/>
      <c r="AX160" s="353"/>
      <c r="AY160" s="444"/>
      <c r="AZ160" s="444"/>
      <c r="BA160" s="445"/>
      <c r="BB160" s="444"/>
      <c r="BC160" s="353"/>
      <c r="BD160" s="444"/>
      <c r="BE160" s="353"/>
      <c r="BF160" s="232"/>
      <c r="BH160" s="418"/>
      <c r="BI160" s="419"/>
      <c r="BJ160" s="202"/>
      <c r="BK160" s="419"/>
      <c r="BL160" s="213"/>
    </row>
    <row r="161" spans="33:64">
      <c r="AG161" s="370"/>
      <c r="AH161" s="370"/>
      <c r="AI161" s="364"/>
      <c r="AJ161" s="425"/>
      <c r="AK161" s="364"/>
      <c r="AL161" s="370"/>
      <c r="AM161" s="459"/>
      <c r="AN161" s="376"/>
      <c r="AO161" s="353" t="str">
        <f>IF(AO159=" "," ", IF(AO159&lt;SUM(AN$9:AN$168),AO159+1, " "))</f>
        <v xml:space="preserve"> </v>
      </c>
      <c r="AP161" s="353" t="str">
        <f>IF(AO161&lt;&gt;" ",AM$109/COUNT(AO$109:AO$128), " ")</f>
        <v xml:space="preserve"> </v>
      </c>
      <c r="AQ161" s="183" t="str">
        <f>IF(AP161&lt;&gt;" ",SUM($AP$9:AP159)," ")</f>
        <v xml:space="preserve"> </v>
      </c>
      <c r="AR161" s="183" t="str">
        <f>IF(AP161&lt;&gt;" ",MAX($AR$9:AR160)," ")</f>
        <v xml:space="preserve"> </v>
      </c>
      <c r="AS161" s="86" t="str">
        <f t="shared" si="391"/>
        <v xml:space="preserve"> </v>
      </c>
      <c r="AT161" s="264" t="str" cm="1">
        <f t="array" ref="AT161">IF(AS161&lt;&gt;" ",Interpol(31,8,Служебный!$H$54:$H$84,Служебный!$I$53:$P$53,Служебный!$I$54:$P$84,'Осадка поля'!$AS161,'Осадка поля'!$B$6)," ")</f>
        <v xml:space="preserve"> </v>
      </c>
      <c r="AU161" s="183" t="str">
        <f t="shared" si="415"/>
        <v xml:space="preserve"> </v>
      </c>
      <c r="AV161" s="183" t="str">
        <f>IF(AP161&lt;&gt;" ",AR161*0.5," ")</f>
        <v xml:space="preserve"> </v>
      </c>
      <c r="AW161" s="353" t="str">
        <f>IF(AO161&lt;&gt;" ",(AU161+AU162)/2," ")</f>
        <v xml:space="preserve"> </v>
      </c>
      <c r="AX161" s="353"/>
      <c r="AY161" s="445" t="str">
        <f t="shared" ref="AY161" si="482">IF(AP161&lt;&gt;" ",IF(AQ161&gt;$B$15,"Нет","Да")," ")</f>
        <v xml:space="preserve"> </v>
      </c>
      <c r="AZ161" s="441" t="str">
        <f t="shared" ref="AZ161" si="483">IF(AP161&lt;&gt;" ",IF(AW161&gt;0.5*(AV161+AV162),"Да","Нет")," ")</f>
        <v xml:space="preserve"> </v>
      </c>
      <c r="BA161" s="441" t="str">
        <f t="shared" ref="BA161" si="484">IF(AP161&lt;&gt;" ",IF(OR($AX$149&lt;7,$AX$149=7),"Да","Нет")," ")</f>
        <v xml:space="preserve"> </v>
      </c>
      <c r="BB161" s="441" t="str">
        <f t="shared" ref="BB161" si="485">IF(AP161&lt;&gt;" ",IF(AW161&gt;0.2*0.5*(AR161+AR162),"Да","Нет")," ")</f>
        <v xml:space="preserve"> </v>
      </c>
      <c r="BC161" s="353">
        <f t="shared" si="385"/>
        <v>0</v>
      </c>
      <c r="BD161" s="443" t="str">
        <f t="shared" ref="BD161" si="486">IF(AP161&lt;&gt;" ",IF(OR(AU161&lt;AR161,AU161=AR161),0.8*AW161*AP161/(5*$AX$149*10),0.8*AW161*AP161/($AX$149*10))," ")</f>
        <v xml:space="preserve"> </v>
      </c>
      <c r="BE161" s="353">
        <f t="shared" si="366"/>
        <v>0</v>
      </c>
      <c r="BF161" s="232"/>
      <c r="BH161" s="418"/>
      <c r="BI161" s="419"/>
      <c r="BJ161" s="202"/>
      <c r="BK161" s="419"/>
      <c r="BL161" s="213"/>
    </row>
    <row r="162" spans="33:64" ht="15.75" thickBot="1">
      <c r="AG162" s="370"/>
      <c r="AH162" s="370"/>
      <c r="AI162" s="364"/>
      <c r="AJ162" s="425"/>
      <c r="AK162" s="364"/>
      <c r="AL162" s="370"/>
      <c r="AM162" s="459"/>
      <c r="AN162" s="376"/>
      <c r="AO162" s="353"/>
      <c r="AP162" s="353"/>
      <c r="AQ162" s="183" t="str">
        <f>IF(AP161&lt;&gt;" ",MAX($AQ$9:AQ161)+AP161," ")</f>
        <v xml:space="preserve"> </v>
      </c>
      <c r="AR162" s="183" t="str">
        <f>IF(AP161&lt;&gt;" ",MAX($AR$9:AR161)+$AJ$29*AP161," ")</f>
        <v xml:space="preserve"> </v>
      </c>
      <c r="AS162" s="86" t="str">
        <f t="shared" si="391"/>
        <v xml:space="preserve"> </v>
      </c>
      <c r="AT162" s="264" t="str" cm="1">
        <f t="array" ref="AT162">IF(AS162&lt;&gt;" ",Interpol(31,8,Служебный!$H$54:$H$84,Служебный!$I$53:$P$53,Служебный!$I$54:$P$84,'Осадка поля'!$AS162,'Осадка поля'!$B$6)," ")</f>
        <v xml:space="preserve"> </v>
      </c>
      <c r="AU162" s="183" t="str">
        <f t="shared" si="415"/>
        <v xml:space="preserve"> </v>
      </c>
      <c r="AV162" s="183" t="str">
        <f>IF(AP161&lt;&gt;" ",AR162*0.5," ")</f>
        <v xml:space="preserve"> </v>
      </c>
      <c r="AW162" s="353"/>
      <c r="AX162" s="353"/>
      <c r="AY162" s="444"/>
      <c r="AZ162" s="444"/>
      <c r="BA162" s="445"/>
      <c r="BB162" s="444"/>
      <c r="BC162" s="353"/>
      <c r="BD162" s="444"/>
      <c r="BE162" s="353"/>
      <c r="BF162" s="232"/>
      <c r="BH162" s="418"/>
      <c r="BI162" s="419"/>
      <c r="BJ162" s="202"/>
      <c r="BK162" s="419"/>
      <c r="BL162" s="213"/>
    </row>
    <row r="163" spans="33:64">
      <c r="AG163" s="370"/>
      <c r="AH163" s="370"/>
      <c r="AI163" s="364"/>
      <c r="AJ163" s="425"/>
      <c r="AK163" s="364"/>
      <c r="AL163" s="370"/>
      <c r="AM163" s="459"/>
      <c r="AN163" s="376"/>
      <c r="AO163" s="353" t="str">
        <f>IF(AO161=" "," ", IF(AO161&lt;SUM(AN$9:AN$168),AO161+1, " "))</f>
        <v xml:space="preserve"> </v>
      </c>
      <c r="AP163" s="353" t="str">
        <f>IF(AO163&lt;&gt;" ",AM$109/COUNT(AO$109:AO$128), " ")</f>
        <v xml:space="preserve"> </v>
      </c>
      <c r="AQ163" s="183" t="str">
        <f>IF(AP163&lt;&gt;" ",SUM($AP$9:AP161)," ")</f>
        <v xml:space="preserve"> </v>
      </c>
      <c r="AR163" s="183" t="str">
        <f>IF(AP163&lt;&gt;" ",MAX($AR$9:AR162)," ")</f>
        <v xml:space="preserve"> </v>
      </c>
      <c r="AS163" s="86" t="str">
        <f t="shared" si="391"/>
        <v xml:space="preserve"> </v>
      </c>
      <c r="AT163" s="264" t="str" cm="1">
        <f t="array" ref="AT163">IF(AS163&lt;&gt;" ",Interpol(31,8,Служебный!$H$54:$H$84,Служебный!$I$53:$P$53,Служебный!$I$54:$P$84,'Осадка поля'!$AS163,'Осадка поля'!$B$6)," ")</f>
        <v xml:space="preserve"> </v>
      </c>
      <c r="AU163" s="183" t="str">
        <f t="shared" si="415"/>
        <v xml:space="preserve"> </v>
      </c>
      <c r="AV163" s="183" t="str">
        <f>IF(AP163&lt;&gt;" ",AR163*0.5," ")</f>
        <v xml:space="preserve"> </v>
      </c>
      <c r="AW163" s="353" t="str">
        <f>IF(AO163&lt;&gt;" ",(AU163+AU164)/2," ")</f>
        <v xml:space="preserve"> </v>
      </c>
      <c r="AX163" s="353"/>
      <c r="AY163" s="445" t="str">
        <f t="shared" ref="AY163" si="487">IF(AP163&lt;&gt;" ",IF(AQ163&gt;$B$15,"Нет","Да")," ")</f>
        <v xml:space="preserve"> </v>
      </c>
      <c r="AZ163" s="441" t="str">
        <f t="shared" ref="AZ163" si="488">IF(AP163&lt;&gt;" ",IF(AW163&gt;0.5*(AV163+AV164),"Да","Нет")," ")</f>
        <v xml:space="preserve"> </v>
      </c>
      <c r="BA163" s="441" t="str">
        <f t="shared" ref="BA163" si="489">IF(AP163&lt;&gt;" ",IF(OR($AX$149&lt;7,$AX$149=7),"Да","Нет")," ")</f>
        <v xml:space="preserve"> </v>
      </c>
      <c r="BB163" s="441" t="str">
        <f t="shared" ref="BB163" si="490">IF(AP163&lt;&gt;" ",IF(AW163&gt;0.2*0.5*(AR163+AR164),"Да","Нет")," ")</f>
        <v xml:space="preserve"> </v>
      </c>
      <c r="BC163" s="353">
        <f t="shared" si="395"/>
        <v>0</v>
      </c>
      <c r="BD163" s="443" t="str">
        <f t="shared" ref="BD163" si="491">IF(AP163&lt;&gt;" ",IF(OR(AU163&lt;AR163,AU163=AR163),0.8*AW163*AP163/(5*$AX$149*10),0.8*AW163*AP163/($AX$149*10))," ")</f>
        <v xml:space="preserve"> </v>
      </c>
      <c r="BE163" s="353">
        <f t="shared" si="373"/>
        <v>0</v>
      </c>
      <c r="BF163" s="232"/>
      <c r="BH163" s="418"/>
      <c r="BI163" s="419"/>
      <c r="BJ163" s="202"/>
      <c r="BK163" s="419"/>
      <c r="BL163" s="213"/>
    </row>
    <row r="164" spans="33:64" ht="15.75" thickBot="1">
      <c r="AG164" s="370"/>
      <c r="AH164" s="370"/>
      <c r="AI164" s="364"/>
      <c r="AJ164" s="425"/>
      <c r="AK164" s="364"/>
      <c r="AL164" s="370"/>
      <c r="AM164" s="459"/>
      <c r="AN164" s="376"/>
      <c r="AO164" s="353"/>
      <c r="AP164" s="353"/>
      <c r="AQ164" s="183" t="str">
        <f>IF(AP163&lt;&gt;" ",MAX($AQ$9:AQ163)+AP163," ")</f>
        <v xml:space="preserve"> </v>
      </c>
      <c r="AR164" s="183" t="str">
        <f>IF(AP163&lt;&gt;" ",MAX($AR$9:AR163)+$AJ$29*AP163," ")</f>
        <v xml:space="preserve"> </v>
      </c>
      <c r="AS164" s="86" t="str">
        <f t="shared" si="391"/>
        <v xml:space="preserve"> </v>
      </c>
      <c r="AT164" s="264" t="str" cm="1">
        <f t="array" ref="AT164">IF(AS164&lt;&gt;" ",Interpol(31,8,Служебный!$H$54:$H$84,Служебный!$I$53:$P$53,Служебный!$I$54:$P$84,'Осадка поля'!$AS164,'Осадка поля'!$B$6)," ")</f>
        <v xml:space="preserve"> </v>
      </c>
      <c r="AU164" s="183" t="str">
        <f t="shared" si="415"/>
        <v xml:space="preserve"> </v>
      </c>
      <c r="AV164" s="183" t="str">
        <f>IF(AP163&lt;&gt;" ",AR164*0.5," ")</f>
        <v xml:space="preserve"> </v>
      </c>
      <c r="AW164" s="353"/>
      <c r="AX164" s="353"/>
      <c r="AY164" s="444"/>
      <c r="AZ164" s="444"/>
      <c r="BA164" s="445"/>
      <c r="BB164" s="444"/>
      <c r="BC164" s="353"/>
      <c r="BD164" s="444"/>
      <c r="BE164" s="353"/>
      <c r="BF164" s="232"/>
      <c r="BH164" s="418"/>
      <c r="BI164" s="419"/>
      <c r="BJ164" s="202"/>
      <c r="BK164" s="419"/>
      <c r="BL164" s="213"/>
    </row>
    <row r="165" spans="33:64">
      <c r="AG165" s="370"/>
      <c r="AH165" s="370"/>
      <c r="AI165" s="364"/>
      <c r="AJ165" s="425"/>
      <c r="AK165" s="364"/>
      <c r="AL165" s="370"/>
      <c r="AM165" s="459"/>
      <c r="AN165" s="376"/>
      <c r="AO165" s="353" t="str">
        <f>IF(AO163=" "," ", IF(AO163&lt;SUM(AN$9:AN$168),AO163+1, " "))</f>
        <v xml:space="preserve"> </v>
      </c>
      <c r="AP165" s="353" t="str">
        <f>IF(AO165&lt;&gt;" ",AM$109/COUNT(AO$109:AO$128), " ")</f>
        <v xml:space="preserve"> </v>
      </c>
      <c r="AQ165" s="183" t="str">
        <f>IF(AP165&lt;&gt;" ",SUM($AP$9:AP163)," ")</f>
        <v xml:space="preserve"> </v>
      </c>
      <c r="AR165" s="183" t="str">
        <f>IF(AP165&lt;&gt;" ",MAX($AR$9:AR164)," ")</f>
        <v xml:space="preserve"> </v>
      </c>
      <c r="AS165" s="86" t="str">
        <f t="shared" si="391"/>
        <v xml:space="preserve"> </v>
      </c>
      <c r="AT165" s="264" t="str" cm="1">
        <f t="array" ref="AT165">IF(AS165&lt;&gt;" ",Interpol(31,8,Служебный!$H$54:$H$84,Служебный!$I$53:$P$53,Служебный!$I$54:$P$84,'Осадка поля'!$AS165,'Осадка поля'!$B$6)," ")</f>
        <v xml:space="preserve"> </v>
      </c>
      <c r="AU165" s="183" t="str">
        <f t="shared" si="415"/>
        <v xml:space="preserve"> </v>
      </c>
      <c r="AV165" s="183" t="str">
        <f>IF(AP165&lt;&gt;" ",AR165*0.5," ")</f>
        <v xml:space="preserve"> </v>
      </c>
      <c r="AW165" s="353" t="str">
        <f>IF(AO165&lt;&gt;" ",(AU165+AU166)/2," ")</f>
        <v xml:space="preserve"> </v>
      </c>
      <c r="AX165" s="353"/>
      <c r="AY165" s="445" t="str">
        <f t="shared" ref="AY165" si="492">IF(AP165&lt;&gt;" ",IF(AQ165&gt;$B$15,"Нет","Да")," ")</f>
        <v xml:space="preserve"> </v>
      </c>
      <c r="AZ165" s="441" t="str">
        <f t="shared" ref="AZ165" si="493">IF(AP165&lt;&gt;" ",IF(AW165&gt;0.5*(AV165+AV166),"Да","Нет")," ")</f>
        <v xml:space="preserve"> </v>
      </c>
      <c r="BA165" s="441" t="str">
        <f t="shared" ref="BA165" si="494">IF(AP165&lt;&gt;" ",IF(OR($AX$149&lt;7,$AX$149=7),"Да","Нет")," ")</f>
        <v xml:space="preserve"> </v>
      </c>
      <c r="BB165" s="441" t="str">
        <f t="shared" ref="BB165" si="495">IF(AP165&lt;&gt;" ",IF(AW165&gt;0.2*0.5*(AR165+AR166),"Да","Нет")," ")</f>
        <v xml:space="preserve"> </v>
      </c>
      <c r="BC165" s="353">
        <f t="shared" si="401"/>
        <v>0</v>
      </c>
      <c r="BD165" s="443" t="str">
        <f t="shared" ref="BD165" si="496">IF(AP165&lt;&gt;" ",IF(OR(AU165&lt;AR165,AU165=AR165),0.8*AW165*AP165/(5*$AX$149*10),0.8*AW165*AP165/($AX$149*10))," ")</f>
        <v xml:space="preserve"> </v>
      </c>
      <c r="BE165" s="353">
        <f t="shared" si="380"/>
        <v>0</v>
      </c>
      <c r="BF165" s="232"/>
      <c r="BH165" s="418"/>
      <c r="BI165" s="419"/>
      <c r="BJ165" s="202"/>
      <c r="BK165" s="419"/>
      <c r="BL165" s="213"/>
    </row>
    <row r="166" spans="33:64" ht="15.75" thickBot="1">
      <c r="AG166" s="370"/>
      <c r="AH166" s="370"/>
      <c r="AI166" s="364"/>
      <c r="AJ166" s="425"/>
      <c r="AK166" s="364"/>
      <c r="AL166" s="370"/>
      <c r="AM166" s="459"/>
      <c r="AN166" s="376"/>
      <c r="AO166" s="353"/>
      <c r="AP166" s="353"/>
      <c r="AQ166" s="183" t="str">
        <f>IF(AP165&lt;&gt;" ",MAX($AQ$9:AQ165)+AP165," ")</f>
        <v xml:space="preserve"> </v>
      </c>
      <c r="AR166" s="183" t="str">
        <f>IF(AP165&lt;&gt;" ",MAX($AR$9:AR165)+$AJ$29*AP165," ")</f>
        <v xml:space="preserve"> </v>
      </c>
      <c r="AS166" s="86" t="str">
        <f t="shared" si="391"/>
        <v xml:space="preserve"> </v>
      </c>
      <c r="AT166" s="264" t="str" cm="1">
        <f t="array" ref="AT166">IF(AS166&lt;&gt;" ",Interpol(31,8,Служебный!$H$54:$H$84,Служебный!$I$53:$P$53,Служебный!$I$54:$P$84,'Осадка поля'!$AS166,'Осадка поля'!$B$6)," ")</f>
        <v xml:space="preserve"> </v>
      </c>
      <c r="AU166" s="183" t="str">
        <f t="shared" si="415"/>
        <v xml:space="preserve"> </v>
      </c>
      <c r="AV166" s="183" t="str">
        <f>IF(AP165&lt;&gt;" ",AR166*0.5," ")</f>
        <v xml:space="preserve"> </v>
      </c>
      <c r="AW166" s="353"/>
      <c r="AX166" s="353"/>
      <c r="AY166" s="444"/>
      <c r="AZ166" s="444"/>
      <c r="BA166" s="445"/>
      <c r="BB166" s="444"/>
      <c r="BC166" s="353"/>
      <c r="BD166" s="444"/>
      <c r="BE166" s="353"/>
      <c r="BF166" s="232"/>
      <c r="BH166" s="418"/>
      <c r="BI166" s="419"/>
      <c r="BJ166" s="202"/>
      <c r="BK166" s="419"/>
      <c r="BL166" s="213"/>
    </row>
    <row r="167" spans="33:64">
      <c r="AG167" s="370"/>
      <c r="AH167" s="370"/>
      <c r="AI167" s="364"/>
      <c r="AJ167" s="425"/>
      <c r="AK167" s="364"/>
      <c r="AL167" s="370"/>
      <c r="AM167" s="459"/>
      <c r="AN167" s="376"/>
      <c r="AO167" s="353" t="str">
        <f>IF(AO165=" "," ", IF(AO165&lt;SUM(AN$9:AN$168),AO165+1, " "))</f>
        <v xml:space="preserve"> </v>
      </c>
      <c r="AP167" s="353" t="str">
        <f>IF(AO167&lt;&gt;" ",AM$109/COUNT(AO$109:AO$128), " ")</f>
        <v xml:space="preserve"> </v>
      </c>
      <c r="AQ167" s="183" t="str">
        <f>IF(AP167&lt;&gt;" ",SUM($AP$9:AP165)," ")</f>
        <v xml:space="preserve"> </v>
      </c>
      <c r="AR167" s="183" t="str">
        <f>IF(AP167&lt;&gt;" ",MAX($AR$9:AR166)," ")</f>
        <v xml:space="preserve"> </v>
      </c>
      <c r="AS167" s="86" t="str">
        <f t="shared" si="391"/>
        <v xml:space="preserve"> </v>
      </c>
      <c r="AT167" s="264" t="str" cm="1">
        <f t="array" ref="AT167">IF(AS167&lt;&gt;" ",Interpol(31,8,Служебный!$H$54:$H$84,Служебный!$I$53:$P$53,Служебный!$I$54:$P$84,'Осадка поля'!$AS167,'Осадка поля'!$B$6)," ")</f>
        <v xml:space="preserve"> </v>
      </c>
      <c r="AU167" s="183" t="str">
        <f t="shared" si="415"/>
        <v xml:space="preserve"> </v>
      </c>
      <c r="AV167" s="183" t="str">
        <f>IF(AP167&lt;&gt;" ",AR167*0.5," ")</f>
        <v xml:space="preserve"> </v>
      </c>
      <c r="AW167" s="353" t="str">
        <f>IF(AO167&lt;&gt;" ",(AU167+AU168)/2," ")</f>
        <v xml:space="preserve"> </v>
      </c>
      <c r="AX167" s="353"/>
      <c r="AY167" s="445" t="str">
        <f t="shared" ref="AY167" si="497">IF(AP167&lt;&gt;" ",IF(AQ167&gt;$B$15,"Нет","Да")," ")</f>
        <v xml:space="preserve"> </v>
      </c>
      <c r="AZ167" s="441" t="str">
        <f t="shared" ref="AZ167" si="498">IF(AP167&lt;&gt;" ",IF(AW167&gt;0.5*(AV167+AV168),"Да","Нет")," ")</f>
        <v xml:space="preserve"> </v>
      </c>
      <c r="BA167" s="441" t="str">
        <f t="shared" ref="BA167" si="499">IF(AP167&lt;&gt;" ",IF(OR($AX$149&lt;7,$AX$149=7),"Да","Нет")," ")</f>
        <v xml:space="preserve"> </v>
      </c>
      <c r="BB167" s="441" t="str">
        <f t="shared" ref="BB167" si="500">IF(AP167&lt;&gt;" ",IF(AW167&gt;0.2*0.5*(AR167+AR168),"Да","Нет")," ")</f>
        <v xml:space="preserve"> </v>
      </c>
      <c r="BC167" s="353">
        <f t="shared" si="407"/>
        <v>0</v>
      </c>
      <c r="BD167" s="443" t="str">
        <f t="shared" ref="BD167" si="501">IF(AP167&lt;&gt;" ",IF(OR(AU167&lt;AR167,AU167=AR167),0.8*AW167*AP167/(5*$AX$149*10),0.8*AW167*AP167/($AX$149*10))," ")</f>
        <v xml:space="preserve"> </v>
      </c>
      <c r="BE167" s="353">
        <f t="shared" si="387"/>
        <v>0</v>
      </c>
      <c r="BF167" s="232"/>
      <c r="BH167" s="418"/>
      <c r="BI167" s="419"/>
      <c r="BJ167" s="202"/>
      <c r="BK167" s="419"/>
      <c r="BL167" s="213"/>
    </row>
    <row r="168" spans="33:64" ht="15.75" thickBot="1">
      <c r="AG168" s="370"/>
      <c r="AH168" s="370"/>
      <c r="AI168" s="364"/>
      <c r="AJ168" s="425"/>
      <c r="AK168" s="364"/>
      <c r="AL168" s="370"/>
      <c r="AM168" s="459"/>
      <c r="AN168" s="376"/>
      <c r="AO168" s="353"/>
      <c r="AP168" s="353"/>
      <c r="AQ168" s="183" t="str">
        <f>IF(AP167&lt;&gt;" ",MAX($AQ$9:AQ167)+AP167," ")</f>
        <v xml:space="preserve"> </v>
      </c>
      <c r="AR168" s="183" t="str">
        <f>IF(AP167&lt;&gt;" ",MAX($AR$9:AR167)+$AJ$29*AP167," ")</f>
        <v xml:space="preserve"> </v>
      </c>
      <c r="AS168" s="86" t="str">
        <f t="shared" si="391"/>
        <v xml:space="preserve"> </v>
      </c>
      <c r="AT168" s="264" t="str" cm="1">
        <f t="array" ref="AT168">IF(AS168&lt;&gt;" ",Interpol(31,8,Служебный!$H$54:$H$84,Служебный!$I$53:$P$53,Служебный!$I$54:$P$84,'Осадка поля'!$AS168,'Осадка поля'!$B$6)," ")</f>
        <v xml:space="preserve"> </v>
      </c>
      <c r="AU168" s="183" t="str">
        <f t="shared" si="415"/>
        <v xml:space="preserve"> </v>
      </c>
      <c r="AV168" s="183" t="str">
        <f>IF(AP167&lt;&gt;" ",AR168*0.5," ")</f>
        <v xml:space="preserve"> </v>
      </c>
      <c r="AW168" s="353"/>
      <c r="AX168" s="353"/>
      <c r="AY168" s="444"/>
      <c r="AZ168" s="444"/>
      <c r="BA168" s="445"/>
      <c r="BB168" s="444"/>
      <c r="BC168" s="353"/>
      <c r="BD168" s="444"/>
      <c r="BE168" s="353"/>
      <c r="BF168" s="232"/>
      <c r="BH168" s="458"/>
      <c r="BI168" s="457"/>
      <c r="BJ168" s="203"/>
      <c r="BK168" s="457"/>
      <c r="BL168" s="214"/>
    </row>
    <row r="169" spans="33:64">
      <c r="AG169" s="370">
        <f t="shared" si="388"/>
        <v>18</v>
      </c>
      <c r="AH169" s="390">
        <f>IF(AG169&gt;20,0,VLOOKUP(AG169,Скважина!$E$8:$K$27,2,FALSE))</f>
        <v>0</v>
      </c>
      <c r="AI169" s="388">
        <f>IF(OR(AH169=0,AG169&gt;20),0,VLOOKUP(AH169,Геология!$D$7:$BO$993,7,FALSE))</f>
        <v>0</v>
      </c>
      <c r="AJ169" s="425" t="e">
        <f>VLOOKUP(AH169,Геология!$D$7:$BO$993,23,FALSE)</f>
        <v>#N/A</v>
      </c>
      <c r="AK169" s="364">
        <f t="shared" ref="AK169" si="502">IF(AM149&lt;&gt;0,AL149,AK149)</f>
        <v>111.73</v>
      </c>
      <c r="AL169" s="390">
        <f>VLOOKUP(AG169,Скважина!$E$8:$K$27,5,FALSE)</f>
        <v>-5.27</v>
      </c>
      <c r="AM169" s="459">
        <f t="shared" ref="AM169" si="503">IF(IF(AH169&lt;&gt;0,AK169-AL169,0)&lt;0,0,IF(AH169&lt;&gt;0,AK169-AL169,0))</f>
        <v>0</v>
      </c>
      <c r="AN169" s="376"/>
      <c r="AO169" s="353" t="str">
        <f>IF(AN169&lt;&gt;0,MAX(AO$9:AO$168)+1," ")</f>
        <v xml:space="preserve"> </v>
      </c>
      <c r="AP169" s="353" t="str">
        <f>IF(AO169&lt;&gt;" ",AM$109/COUNT(AO$109:AO$128), " ")</f>
        <v xml:space="preserve"> </v>
      </c>
      <c r="AQ169" s="183" t="str">
        <f>IF(AP169&lt;&gt;" ",SUM($AP$9:AP167)," ")</f>
        <v xml:space="preserve"> </v>
      </c>
      <c r="AR169" s="183" t="str">
        <f>IF(AP169&lt;&gt;" ",MAX($AR$9:AR168)," ")</f>
        <v xml:space="preserve"> </v>
      </c>
      <c r="AS169" s="86" t="str">
        <f t="shared" si="391"/>
        <v xml:space="preserve"> </v>
      </c>
      <c r="AT169" s="264" t="str" cm="1">
        <f t="array" ref="AT169">IF(AS169&lt;&gt;" ",Interpol(31,8,Служебный!$H$54:$H$84,Служебный!$I$53:$P$53,Служебный!$I$54:$P$84,'Осадка поля'!$AS169,'Осадка поля'!$B$6)," ")</f>
        <v xml:space="preserve"> </v>
      </c>
      <c r="AU169" s="183" t="str">
        <f t="shared" si="415"/>
        <v xml:space="preserve"> </v>
      </c>
      <c r="AV169" s="183" t="str">
        <f>IF(AP169&lt;&gt;" ",AR169*0.5," ")</f>
        <v xml:space="preserve"> </v>
      </c>
      <c r="AW169" s="353" t="str">
        <f>IF(AO169&lt;&gt;" ",(AU169+AU170)/2," ")</f>
        <v xml:space="preserve"> </v>
      </c>
      <c r="AX169" s="444" t="str">
        <f>IF(AH169&lt;&gt;0,VLOOKUP(AH169,Геология!$D$7:$BO$993,21,FALSE)," ")</f>
        <v xml:space="preserve"> </v>
      </c>
      <c r="AY169" s="445" t="str">
        <f t="shared" ref="AY169" si="504">IF(AP169&lt;&gt;" ",IF(AQ169&gt;$B$15,"Нет","Да")," ")</f>
        <v xml:space="preserve"> </v>
      </c>
      <c r="AZ169" s="441" t="str">
        <f t="shared" ref="AZ169" si="505">IF(AP169&lt;&gt;" ",IF(AW169&gt;0.5*(AV169+AV170),"Да","Нет")," ")</f>
        <v xml:space="preserve"> </v>
      </c>
      <c r="BA169" s="441" t="str">
        <f>IF(AP169&lt;&gt;" ",IF(OR($AX$169&lt;7,$AX$169=7),"Да","Нет")," ")</f>
        <v xml:space="preserve"> </v>
      </c>
      <c r="BB169" s="441" t="str">
        <f t="shared" ref="BB169" si="506">IF(AP169&lt;&gt;" ",IF(AW169&gt;0.2*0.5*(AR169+AR170),"Да","Нет")," ")</f>
        <v xml:space="preserve"> </v>
      </c>
      <c r="BC169" s="353">
        <f t="shared" si="413"/>
        <v>0</v>
      </c>
      <c r="BD169" s="443" t="str">
        <f>IF(AP169&lt;&gt;" ",IF(OR(AU169&lt;AR169,AU169=AR169),0.8*AW169*AP169/(5*$AX$169*10),0.8*AW169*AP169/($AX$169*10))," ")</f>
        <v xml:space="preserve"> </v>
      </c>
      <c r="BE169" s="353">
        <f t="shared" ref="BE169" si="507">IF(AP169&lt;&gt;" ",IF(AND(AY169="Нет",AZ169="Нет",BA169="Нет"),0,IF(AY169="Да",BD169,IF(AZ169="Да",BD169,IF(BA169="Да",BD169)))),0)</f>
        <v>0</v>
      </c>
      <c r="BF169" s="232"/>
      <c r="BH169" s="448" t="str">
        <f>IF(AH169&lt;&gt;0,VLOOKUP(AH169,Геология!$D$7:$BO$993,24,FALSE)," ")</f>
        <v xml:space="preserve"> </v>
      </c>
      <c r="BI169" s="449" t="str">
        <f>IF(BH169&lt;&gt;" ",BH169*AM169," ")</f>
        <v xml:space="preserve"> </v>
      </c>
      <c r="BJ169" s="202"/>
      <c r="BK169" s="456" t="str">
        <f>IF(AM169&lt;&gt;0,AX169*AM169," ")</f>
        <v xml:space="preserve"> </v>
      </c>
      <c r="BL169" s="213"/>
    </row>
    <row r="170" spans="33:64" ht="15.75" thickBot="1">
      <c r="AG170" s="370"/>
      <c r="AH170" s="370"/>
      <c r="AI170" s="364"/>
      <c r="AJ170" s="425"/>
      <c r="AK170" s="364"/>
      <c r="AL170" s="370"/>
      <c r="AM170" s="459"/>
      <c r="AN170" s="376"/>
      <c r="AO170" s="353"/>
      <c r="AP170" s="353"/>
      <c r="AQ170" s="183" t="str">
        <f>IF(AP169&lt;&gt;" ",MAX($AQ$9:AQ169)+AP169," ")</f>
        <v xml:space="preserve"> </v>
      </c>
      <c r="AR170" s="183" t="str">
        <f>IF(AP169&lt;&gt;" ",MAX($AR$9:AR169)+$AJ$29*AP169," ")</f>
        <v xml:space="preserve"> </v>
      </c>
      <c r="AS170" s="86" t="str">
        <f t="shared" si="391"/>
        <v xml:space="preserve"> </v>
      </c>
      <c r="AT170" s="264" t="str" cm="1">
        <f t="array" ref="AT170">IF(AS170&lt;&gt;" ",Interpol(31,8,Служебный!$H$54:$H$84,Служебный!$I$53:$P$53,Служебный!$I$54:$P$84,'Осадка поля'!$AS170,'Осадка поля'!$B$6)," ")</f>
        <v xml:space="preserve"> </v>
      </c>
      <c r="AU170" s="183" t="str">
        <f t="shared" si="415"/>
        <v xml:space="preserve"> </v>
      </c>
      <c r="AV170" s="183" t="str">
        <f>IF(AP169&lt;&gt;" ",AR170*0.5," ")</f>
        <v xml:space="preserve"> </v>
      </c>
      <c r="AW170" s="353"/>
      <c r="AX170" s="353"/>
      <c r="AY170" s="444"/>
      <c r="AZ170" s="444"/>
      <c r="BA170" s="445"/>
      <c r="BB170" s="444"/>
      <c r="BC170" s="353"/>
      <c r="BD170" s="444"/>
      <c r="BE170" s="353"/>
      <c r="BF170" s="232"/>
      <c r="BH170" s="418"/>
      <c r="BI170" s="419"/>
      <c r="BJ170" s="202"/>
      <c r="BK170" s="419"/>
      <c r="BL170" s="213"/>
    </row>
    <row r="171" spans="33:64">
      <c r="AG171" s="370"/>
      <c r="AH171" s="370"/>
      <c r="AI171" s="364"/>
      <c r="AJ171" s="425"/>
      <c r="AK171" s="364"/>
      <c r="AL171" s="370"/>
      <c r="AM171" s="459"/>
      <c r="AN171" s="376"/>
      <c r="AO171" s="353" t="str">
        <f>IF(AO169=" "," ", IF(AO169&lt;SUM(AN$9:AN$188),AO169+1, " "))</f>
        <v xml:space="preserve"> </v>
      </c>
      <c r="AP171" s="353" t="str">
        <f>IF(AO171&lt;&gt;" ",AM$109/COUNT(AO$109:AO$128), " ")</f>
        <v xml:space="preserve"> </v>
      </c>
      <c r="AQ171" s="183" t="str">
        <f>IF(AP171&lt;&gt;" ",SUM($AP$9:AP169)," ")</f>
        <v xml:space="preserve"> </v>
      </c>
      <c r="AR171" s="183" t="str">
        <f>IF(AP171&lt;&gt;" ",MAX($AR$9:AR170)," ")</f>
        <v xml:space="preserve"> </v>
      </c>
      <c r="AS171" s="86" t="str">
        <f t="shared" si="391"/>
        <v xml:space="preserve"> </v>
      </c>
      <c r="AT171" s="264" t="str" cm="1">
        <f t="array" ref="AT171">IF(AS171&lt;&gt;" ",Interpol(31,8,Служебный!$H$54:$H$84,Служебный!$I$53:$P$53,Служебный!$I$54:$P$84,'Осадка поля'!$AS171,'Осадка поля'!$B$6)," ")</f>
        <v xml:space="preserve"> </v>
      </c>
      <c r="AU171" s="183" t="str">
        <f t="shared" si="415"/>
        <v xml:space="preserve"> </v>
      </c>
      <c r="AV171" s="183" t="str">
        <f>IF(AP171&lt;&gt;" ",AR171*0.5," ")</f>
        <v xml:space="preserve"> </v>
      </c>
      <c r="AW171" s="353" t="str">
        <f>IF(AO171&lt;&gt;" ",(AU171+AU172)/2," ")</f>
        <v xml:space="preserve"> </v>
      </c>
      <c r="AX171" s="353"/>
      <c r="AY171" s="445" t="str">
        <f t="shared" ref="AY171" si="508">IF(AP171&lt;&gt;" ",IF(AQ171&gt;$B$15,"Нет","Да")," ")</f>
        <v xml:space="preserve"> </v>
      </c>
      <c r="AZ171" s="441" t="str">
        <f t="shared" ref="AZ171" si="509">IF(AP171&lt;&gt;" ",IF(AW171&gt;0.5*(AV171+AV172),"Да","Нет")," ")</f>
        <v xml:space="preserve"> </v>
      </c>
      <c r="BA171" s="441" t="str">
        <f t="shared" ref="BA171" si="510">IF(AP171&lt;&gt;" ",IF(OR($AX$169&lt;7,$AX$169=7),"Да","Нет")," ")</f>
        <v xml:space="preserve"> </v>
      </c>
      <c r="BB171" s="441" t="str">
        <f t="shared" ref="BB171" si="511">IF(AP171&lt;&gt;" ",IF(AW171&gt;0.2*0.5*(AR171+AR172),"Да","Нет")," ")</f>
        <v xml:space="preserve"> </v>
      </c>
      <c r="BC171" s="353">
        <f t="shared" si="420"/>
        <v>0</v>
      </c>
      <c r="BD171" s="443" t="str">
        <f t="shared" ref="BD171" si="512">IF(AP171&lt;&gt;" ",IF(OR(AU171&lt;AR171,AU171=AR171),0.8*AW171*AP171/(5*$AX$169*10),0.8*AW171*AP171/($AX$169*10))," ")</f>
        <v xml:space="preserve"> </v>
      </c>
      <c r="BE171" s="353">
        <f t="shared" si="331"/>
        <v>0</v>
      </c>
      <c r="BF171" s="232"/>
      <c r="BH171" s="418"/>
      <c r="BI171" s="419"/>
      <c r="BJ171" s="202"/>
      <c r="BK171" s="419"/>
      <c r="BL171" s="213"/>
    </row>
    <row r="172" spans="33:64" ht="15.75" thickBot="1">
      <c r="AG172" s="370"/>
      <c r="AH172" s="370"/>
      <c r="AI172" s="364"/>
      <c r="AJ172" s="425"/>
      <c r="AK172" s="364"/>
      <c r="AL172" s="370"/>
      <c r="AM172" s="459"/>
      <c r="AN172" s="376"/>
      <c r="AO172" s="353"/>
      <c r="AP172" s="353"/>
      <c r="AQ172" s="183" t="str">
        <f>IF(AP171&lt;&gt;" ",MAX($AQ$9:AQ171)+AP171," ")</f>
        <v xml:space="preserve"> </v>
      </c>
      <c r="AR172" s="183" t="str">
        <f>IF(AP171&lt;&gt;" ",MAX($AR$9:AR171)+$AJ$29*AP171," ")</f>
        <v xml:space="preserve"> </v>
      </c>
      <c r="AS172" s="86" t="str">
        <f t="shared" si="391"/>
        <v xml:space="preserve"> </v>
      </c>
      <c r="AT172" s="264" t="str" cm="1">
        <f t="array" ref="AT172">IF(AS172&lt;&gt;" ",Interpol(31,8,Служебный!$H$54:$H$84,Служебный!$I$53:$P$53,Служебный!$I$54:$P$84,'Осадка поля'!$AS172,'Осадка поля'!$B$6)," ")</f>
        <v xml:space="preserve"> </v>
      </c>
      <c r="AU172" s="183" t="str">
        <f t="shared" si="415"/>
        <v xml:space="preserve"> </v>
      </c>
      <c r="AV172" s="183" t="str">
        <f>IF(AP171&lt;&gt;" ",AR172*0.5," ")</f>
        <v xml:space="preserve"> </v>
      </c>
      <c r="AW172" s="353"/>
      <c r="AX172" s="353"/>
      <c r="AY172" s="444"/>
      <c r="AZ172" s="444"/>
      <c r="BA172" s="445"/>
      <c r="BB172" s="444"/>
      <c r="BC172" s="353"/>
      <c r="BD172" s="444"/>
      <c r="BE172" s="353"/>
      <c r="BF172" s="232"/>
      <c r="BH172" s="418"/>
      <c r="BI172" s="419"/>
      <c r="BJ172" s="202"/>
      <c r="BK172" s="419"/>
      <c r="BL172" s="213"/>
    </row>
    <row r="173" spans="33:64">
      <c r="AG173" s="370"/>
      <c r="AH173" s="370"/>
      <c r="AI173" s="364"/>
      <c r="AJ173" s="425"/>
      <c r="AK173" s="364"/>
      <c r="AL173" s="370"/>
      <c r="AM173" s="459"/>
      <c r="AN173" s="376"/>
      <c r="AO173" s="353" t="str">
        <f>IF(AO171=" "," ", IF(AO171&lt;SUM(AN$9:AN$188),AO171+1, " "))</f>
        <v xml:space="preserve"> </v>
      </c>
      <c r="AP173" s="353" t="str">
        <f>IF(AO173&lt;&gt;" ",AM$109/COUNT(AO$109:AO$128), " ")</f>
        <v xml:space="preserve"> </v>
      </c>
      <c r="AQ173" s="183" t="str">
        <f>IF(AP173&lt;&gt;" ",SUM($AP$9:AP171)," ")</f>
        <v xml:space="preserve"> </v>
      </c>
      <c r="AR173" s="183" t="str">
        <f>IF(AP173&lt;&gt;" ",MAX($AR$9:AR172)," ")</f>
        <v xml:space="preserve"> </v>
      </c>
      <c r="AS173" s="86" t="str">
        <f t="shared" si="391"/>
        <v xml:space="preserve"> </v>
      </c>
      <c r="AT173" s="264" t="str" cm="1">
        <f t="array" ref="AT173">IF(AS173&lt;&gt;" ",Interpol(31,8,Служебный!$H$54:$H$84,Служебный!$I$53:$P$53,Служебный!$I$54:$P$84,'Осадка поля'!$AS173,'Осадка поля'!$B$6)," ")</f>
        <v xml:space="preserve"> </v>
      </c>
      <c r="AU173" s="183" t="str">
        <f t="shared" si="415"/>
        <v xml:space="preserve"> </v>
      </c>
      <c r="AV173" s="183" t="str">
        <f>IF(AP173&lt;&gt;" ",AR173*0.5," ")</f>
        <v xml:space="preserve"> </v>
      </c>
      <c r="AW173" s="353" t="str">
        <f>IF(AO173&lt;&gt;" ",(AU173+AU174)/2," ")</f>
        <v xml:space="preserve"> </v>
      </c>
      <c r="AX173" s="353"/>
      <c r="AY173" s="445" t="str">
        <f t="shared" ref="AY173" si="513">IF(AP173&lt;&gt;" ",IF(AQ173&gt;$B$15,"Нет","Да")," ")</f>
        <v xml:space="preserve"> </v>
      </c>
      <c r="AZ173" s="441" t="str">
        <f t="shared" ref="AZ173" si="514">IF(AP173&lt;&gt;" ",IF(AW173&gt;0.5*(AV173+AV174),"Да","Нет")," ")</f>
        <v xml:space="preserve"> </v>
      </c>
      <c r="BA173" s="441" t="str">
        <f t="shared" ref="BA173" si="515">IF(AP173&lt;&gt;" ",IF(OR($AX$169&lt;7,$AX$169=7),"Да","Нет")," ")</f>
        <v xml:space="preserve"> </v>
      </c>
      <c r="BB173" s="441" t="str">
        <f t="shared" ref="BB173" si="516">IF(AP173&lt;&gt;" ",IF(AW173&gt;0.2*0.5*(AR173+AR174),"Да","Нет")," ")</f>
        <v xml:space="preserve"> </v>
      </c>
      <c r="BC173" s="353">
        <f t="shared" si="426"/>
        <v>0</v>
      </c>
      <c r="BD173" s="443" t="str">
        <f t="shared" ref="BD173" si="517">IF(AP173&lt;&gt;" ",IF(OR(AU173&lt;AR173,AU173=AR173),0.8*AW173*AP173/(5*$AX$169*10),0.8*AW173*AP173/($AX$169*10))," ")</f>
        <v xml:space="preserve"> </v>
      </c>
      <c r="BE173" s="353">
        <f t="shared" si="338"/>
        <v>0</v>
      </c>
      <c r="BF173" s="232"/>
      <c r="BH173" s="418"/>
      <c r="BI173" s="419"/>
      <c r="BJ173" s="202"/>
      <c r="BK173" s="419"/>
      <c r="BL173" s="213"/>
    </row>
    <row r="174" spans="33:64" ht="15.75" thickBot="1">
      <c r="AG174" s="370"/>
      <c r="AH174" s="370"/>
      <c r="AI174" s="364"/>
      <c r="AJ174" s="425"/>
      <c r="AK174" s="364"/>
      <c r="AL174" s="370"/>
      <c r="AM174" s="459"/>
      <c r="AN174" s="376"/>
      <c r="AO174" s="353"/>
      <c r="AP174" s="353"/>
      <c r="AQ174" s="183" t="str">
        <f>IF(AP173&lt;&gt;" ",MAX($AQ$9:AQ173)+AP173," ")</f>
        <v xml:space="preserve"> </v>
      </c>
      <c r="AR174" s="183" t="str">
        <f>IF(AP173&lt;&gt;" ",MAX($AR$9:AR173)+$AJ$29*AP173," ")</f>
        <v xml:space="preserve"> </v>
      </c>
      <c r="AS174" s="86" t="str">
        <f t="shared" si="391"/>
        <v xml:space="preserve"> </v>
      </c>
      <c r="AT174" s="264" t="str" cm="1">
        <f t="array" ref="AT174">IF(AS174&lt;&gt;" ",Interpol(31,8,Служебный!$H$54:$H$84,Служебный!$I$53:$P$53,Служебный!$I$54:$P$84,'Осадка поля'!$AS174,'Осадка поля'!$B$6)," ")</f>
        <v xml:space="preserve"> </v>
      </c>
      <c r="AU174" s="183" t="str">
        <f t="shared" si="415"/>
        <v xml:space="preserve"> </v>
      </c>
      <c r="AV174" s="183" t="str">
        <f>IF(AP173&lt;&gt;" ",AR174*0.5," ")</f>
        <v xml:space="preserve"> </v>
      </c>
      <c r="AW174" s="353"/>
      <c r="AX174" s="353"/>
      <c r="AY174" s="444"/>
      <c r="AZ174" s="444"/>
      <c r="BA174" s="445"/>
      <c r="BB174" s="444"/>
      <c r="BC174" s="353"/>
      <c r="BD174" s="444"/>
      <c r="BE174" s="353"/>
      <c r="BF174" s="232"/>
      <c r="BH174" s="418"/>
      <c r="BI174" s="419"/>
      <c r="BJ174" s="202"/>
      <c r="BK174" s="419"/>
      <c r="BL174" s="213"/>
    </row>
    <row r="175" spans="33:64">
      <c r="AG175" s="370"/>
      <c r="AH175" s="370"/>
      <c r="AI175" s="364"/>
      <c r="AJ175" s="425"/>
      <c r="AK175" s="364"/>
      <c r="AL175" s="370"/>
      <c r="AM175" s="459"/>
      <c r="AN175" s="376"/>
      <c r="AO175" s="353" t="str">
        <f>IF(AO173=" "," ", IF(AO173&lt;SUM(AN$9:AN$188),AO173+1, " "))</f>
        <v xml:space="preserve"> </v>
      </c>
      <c r="AP175" s="353" t="str">
        <f>IF(AO175&lt;&gt;" ",AM$109/COUNT(AO$109:AO$128), " ")</f>
        <v xml:space="preserve"> </v>
      </c>
      <c r="AQ175" s="183" t="str">
        <f>IF(AP175&lt;&gt;" ",SUM($AP$9:AP173)," ")</f>
        <v xml:space="preserve"> </v>
      </c>
      <c r="AR175" s="183" t="str">
        <f>IF(AP175&lt;&gt;" ",MAX($AR$9:AR174)," ")</f>
        <v xml:space="preserve"> </v>
      </c>
      <c r="AS175" s="86" t="str">
        <f t="shared" si="391"/>
        <v xml:space="preserve"> </v>
      </c>
      <c r="AT175" s="264" t="str" cm="1">
        <f t="array" ref="AT175">IF(AS175&lt;&gt;" ",Interpol(31,8,Служебный!$H$54:$H$84,Служебный!$I$53:$P$53,Служебный!$I$54:$P$84,'Осадка поля'!$AS175,'Осадка поля'!$B$6)," ")</f>
        <v xml:space="preserve"> </v>
      </c>
      <c r="AU175" s="183" t="str">
        <f t="shared" si="415"/>
        <v xml:space="preserve"> </v>
      </c>
      <c r="AV175" s="183" t="str">
        <f>IF(AP175&lt;&gt;" ",AR175*0.5," ")</f>
        <v xml:space="preserve"> </v>
      </c>
      <c r="AW175" s="353" t="str">
        <f>IF(AO175&lt;&gt;" ",(AU175+AU176)/2," ")</f>
        <v xml:space="preserve"> </v>
      </c>
      <c r="AX175" s="353"/>
      <c r="AY175" s="445" t="str">
        <f t="shared" ref="AY175" si="518">IF(AP175&lt;&gt;" ",IF(AQ175&gt;$B$15,"Нет","Да")," ")</f>
        <v xml:space="preserve"> </v>
      </c>
      <c r="AZ175" s="441" t="str">
        <f t="shared" ref="AZ175" si="519">IF(AP175&lt;&gt;" ",IF(AW175&gt;0.5*(AV175+AV176),"Да","Нет")," ")</f>
        <v xml:space="preserve"> </v>
      </c>
      <c r="BA175" s="441" t="str">
        <f t="shared" ref="BA175" si="520">IF(AP175&lt;&gt;" ",IF(OR($AX$169&lt;7,$AX$169=7),"Да","Нет")," ")</f>
        <v xml:space="preserve"> </v>
      </c>
      <c r="BB175" s="441" t="str">
        <f t="shared" ref="BB175" si="521">IF(AP175&lt;&gt;" ",IF(AW175&gt;0.2*0.5*(AR175+AR176),"Да","Нет")," ")</f>
        <v xml:space="preserve"> </v>
      </c>
      <c r="BC175" s="353">
        <f t="shared" si="432"/>
        <v>0</v>
      </c>
      <c r="BD175" s="443" t="str">
        <f t="shared" ref="BD175" si="522">IF(AP175&lt;&gt;" ",IF(OR(AU175&lt;AR175,AU175=AR175),0.8*AW175*AP175/(5*$AX$169*10),0.8*AW175*AP175/($AX$169*10))," ")</f>
        <v xml:space="preserve"> </v>
      </c>
      <c r="BE175" s="353">
        <f t="shared" si="345"/>
        <v>0</v>
      </c>
      <c r="BF175" s="232"/>
      <c r="BH175" s="418"/>
      <c r="BI175" s="419"/>
      <c r="BJ175" s="202"/>
      <c r="BK175" s="419"/>
      <c r="BL175" s="213"/>
    </row>
    <row r="176" spans="33:64" ht="15.75" thickBot="1">
      <c r="AG176" s="370"/>
      <c r="AH176" s="370"/>
      <c r="AI176" s="364"/>
      <c r="AJ176" s="425"/>
      <c r="AK176" s="364"/>
      <c r="AL176" s="370"/>
      <c r="AM176" s="459"/>
      <c r="AN176" s="376"/>
      <c r="AO176" s="353"/>
      <c r="AP176" s="353"/>
      <c r="AQ176" s="183" t="str">
        <f>IF(AP175&lt;&gt;" ",MAX($AQ$9:AQ175)+AP175," ")</f>
        <v xml:space="preserve"> </v>
      </c>
      <c r="AR176" s="183" t="str">
        <f>IF(AP175&lt;&gt;" ",MAX($AR$9:AR175)+$AJ$29*AP175," ")</f>
        <v xml:space="preserve"> </v>
      </c>
      <c r="AS176" s="86" t="str">
        <f t="shared" si="391"/>
        <v xml:space="preserve"> </v>
      </c>
      <c r="AT176" s="264" t="str" cm="1">
        <f t="array" ref="AT176">IF(AS176&lt;&gt;" ",Interpol(31,8,Служебный!$H$54:$H$84,Служебный!$I$53:$P$53,Служебный!$I$54:$P$84,'Осадка поля'!$AS176,'Осадка поля'!$B$6)," ")</f>
        <v xml:space="preserve"> </v>
      </c>
      <c r="AU176" s="183" t="str">
        <f t="shared" si="415"/>
        <v xml:space="preserve"> </v>
      </c>
      <c r="AV176" s="183" t="str">
        <f>IF(AP175&lt;&gt;" ",AR176*0.5," ")</f>
        <v xml:space="preserve"> </v>
      </c>
      <c r="AW176" s="353"/>
      <c r="AX176" s="353"/>
      <c r="AY176" s="444"/>
      <c r="AZ176" s="444"/>
      <c r="BA176" s="445"/>
      <c r="BB176" s="444"/>
      <c r="BC176" s="353"/>
      <c r="BD176" s="444"/>
      <c r="BE176" s="353"/>
      <c r="BF176" s="232"/>
      <c r="BH176" s="418"/>
      <c r="BI176" s="419"/>
      <c r="BJ176" s="202"/>
      <c r="BK176" s="419"/>
      <c r="BL176" s="213"/>
    </row>
    <row r="177" spans="33:64">
      <c r="AG177" s="370"/>
      <c r="AH177" s="370"/>
      <c r="AI177" s="364"/>
      <c r="AJ177" s="425"/>
      <c r="AK177" s="364"/>
      <c r="AL177" s="370"/>
      <c r="AM177" s="459"/>
      <c r="AN177" s="376"/>
      <c r="AO177" s="353" t="str">
        <f>IF(AO175=" "," ", IF(AO175&lt;SUM(AN$9:AN$188),AO175+1, " "))</f>
        <v xml:space="preserve"> </v>
      </c>
      <c r="AP177" s="353" t="str">
        <f>IF(AO177&lt;&gt;" ",AM$109/COUNT(AO$109:AO$128), " ")</f>
        <v xml:space="preserve"> </v>
      </c>
      <c r="AQ177" s="183" t="str">
        <f>IF(AP177&lt;&gt;" ",SUM($AP$9:AP175)," ")</f>
        <v xml:space="preserve"> </v>
      </c>
      <c r="AR177" s="183" t="str">
        <f>IF(AP177&lt;&gt;" ",MAX($AR$9:AR176)," ")</f>
        <v xml:space="preserve"> </v>
      </c>
      <c r="AS177" s="86" t="str">
        <f t="shared" si="391"/>
        <v xml:space="preserve"> </v>
      </c>
      <c r="AT177" s="264" t="str" cm="1">
        <f t="array" ref="AT177">IF(AS177&lt;&gt;" ",Interpol(31,8,Служебный!$H$54:$H$84,Служебный!$I$53:$P$53,Служебный!$I$54:$P$84,'Осадка поля'!$AS177,'Осадка поля'!$B$6)," ")</f>
        <v xml:space="preserve"> </v>
      </c>
      <c r="AU177" s="183" t="str">
        <f t="shared" si="415"/>
        <v xml:space="preserve"> </v>
      </c>
      <c r="AV177" s="183" t="str">
        <f>IF(AP177&lt;&gt;" ",AR177*0.5," ")</f>
        <v xml:space="preserve"> </v>
      </c>
      <c r="AW177" s="353" t="str">
        <f>IF(AO177&lt;&gt;" ",(AU177+AU178)/2," ")</f>
        <v xml:space="preserve"> </v>
      </c>
      <c r="AX177" s="353"/>
      <c r="AY177" s="445" t="str">
        <f t="shared" ref="AY177" si="523">IF(AP177&lt;&gt;" ",IF(AQ177&gt;$B$15,"Нет","Да")," ")</f>
        <v xml:space="preserve"> </v>
      </c>
      <c r="AZ177" s="441" t="str">
        <f t="shared" ref="AZ177" si="524">IF(AP177&lt;&gt;" ",IF(AW177&gt;0.5*(AV177+AV178),"Да","Нет")," ")</f>
        <v xml:space="preserve"> </v>
      </c>
      <c r="BA177" s="441" t="str">
        <f t="shared" ref="BA177" si="525">IF(AP177&lt;&gt;" ",IF(OR($AX$169&lt;7,$AX$169=7),"Да","Нет")," ")</f>
        <v xml:space="preserve"> </v>
      </c>
      <c r="BB177" s="441" t="str">
        <f t="shared" ref="BB177" si="526">IF(AP177&lt;&gt;" ",IF(AW177&gt;0.2*0.5*(AR177+AR178),"Да","Нет")," ")</f>
        <v xml:space="preserve"> </v>
      </c>
      <c r="BC177" s="353">
        <f t="shared" si="438"/>
        <v>0</v>
      </c>
      <c r="BD177" s="443" t="str">
        <f t="shared" ref="BD177" si="527">IF(AP177&lt;&gt;" ",IF(OR(AU177&lt;AR177,AU177=AR177),0.8*AW177*AP177/(5*$AX$169*10),0.8*AW177*AP177/($AX$169*10))," ")</f>
        <v xml:space="preserve"> </v>
      </c>
      <c r="BE177" s="353">
        <f t="shared" si="352"/>
        <v>0</v>
      </c>
      <c r="BF177" s="232"/>
      <c r="BH177" s="418"/>
      <c r="BI177" s="419"/>
      <c r="BJ177" s="202"/>
      <c r="BK177" s="419"/>
      <c r="BL177" s="213"/>
    </row>
    <row r="178" spans="33:64" ht="15.75" thickBot="1">
      <c r="AG178" s="370"/>
      <c r="AH178" s="370"/>
      <c r="AI178" s="364"/>
      <c r="AJ178" s="425"/>
      <c r="AK178" s="364"/>
      <c r="AL178" s="370"/>
      <c r="AM178" s="459"/>
      <c r="AN178" s="376"/>
      <c r="AO178" s="353"/>
      <c r="AP178" s="353"/>
      <c r="AQ178" s="183" t="str">
        <f>IF(AP177&lt;&gt;" ",MAX($AQ$9:AQ177)+AP177," ")</f>
        <v xml:space="preserve"> </v>
      </c>
      <c r="AR178" s="183" t="str">
        <f>IF(AP177&lt;&gt;" ",MAX($AR$9:AR177)+$AJ$29*AP177," ")</f>
        <v xml:space="preserve"> </v>
      </c>
      <c r="AS178" s="86" t="str">
        <f t="shared" si="391"/>
        <v xml:space="preserve"> </v>
      </c>
      <c r="AT178" s="264" t="str" cm="1">
        <f t="array" ref="AT178">IF(AS178&lt;&gt;" ",Interpol(31,8,Служебный!$H$54:$H$84,Служебный!$I$53:$P$53,Служебный!$I$54:$P$84,'Осадка поля'!$AS178,'Осадка поля'!$B$6)," ")</f>
        <v xml:space="preserve"> </v>
      </c>
      <c r="AU178" s="183" t="str">
        <f t="shared" si="415"/>
        <v xml:space="preserve"> </v>
      </c>
      <c r="AV178" s="183" t="str">
        <f>IF(AP177&lt;&gt;" ",AR178*0.5," ")</f>
        <v xml:space="preserve"> </v>
      </c>
      <c r="AW178" s="353"/>
      <c r="AX178" s="353"/>
      <c r="AY178" s="444"/>
      <c r="AZ178" s="444"/>
      <c r="BA178" s="445"/>
      <c r="BB178" s="444"/>
      <c r="BC178" s="353"/>
      <c r="BD178" s="444"/>
      <c r="BE178" s="353"/>
      <c r="BF178" s="232"/>
      <c r="BH178" s="418"/>
      <c r="BI178" s="419"/>
      <c r="BJ178" s="202"/>
      <c r="BK178" s="419"/>
      <c r="BL178" s="213"/>
    </row>
    <row r="179" spans="33:64">
      <c r="AG179" s="370"/>
      <c r="AH179" s="370"/>
      <c r="AI179" s="364"/>
      <c r="AJ179" s="425"/>
      <c r="AK179" s="364"/>
      <c r="AL179" s="370"/>
      <c r="AM179" s="459"/>
      <c r="AN179" s="376"/>
      <c r="AO179" s="353" t="str">
        <f>IF(AO177=" "," ", IF(AO177&lt;SUM(AN$9:AN$188),AO177+1, " "))</f>
        <v xml:space="preserve"> </v>
      </c>
      <c r="AP179" s="353" t="str">
        <f>IF(AO179&lt;&gt;" ",AM$109/COUNT(AO$109:AO$128), " ")</f>
        <v xml:space="preserve"> </v>
      </c>
      <c r="AQ179" s="183" t="str">
        <f>IF(AP179&lt;&gt;" ",SUM($AP$9:AP177)," ")</f>
        <v xml:space="preserve"> </v>
      </c>
      <c r="AR179" s="183" t="str">
        <f>IF(AP179&lt;&gt;" ",MAX($AR$9:AR178)," ")</f>
        <v xml:space="preserve"> </v>
      </c>
      <c r="AS179" s="86" t="str">
        <f t="shared" si="391"/>
        <v xml:space="preserve"> </v>
      </c>
      <c r="AT179" s="264" t="str" cm="1">
        <f t="array" ref="AT179">IF(AS179&lt;&gt;" ",Interpol(31,8,Служебный!$H$54:$H$84,Служебный!$I$53:$P$53,Служебный!$I$54:$P$84,'Осадка поля'!$AS179,'Осадка поля'!$B$6)," ")</f>
        <v xml:space="preserve"> </v>
      </c>
      <c r="AU179" s="183" t="str">
        <f t="shared" si="415"/>
        <v xml:space="preserve"> </v>
      </c>
      <c r="AV179" s="183" t="str">
        <f>IF(AP179&lt;&gt;" ",AR179*0.5," ")</f>
        <v xml:space="preserve"> </v>
      </c>
      <c r="AW179" s="353" t="str">
        <f>IF(AO179&lt;&gt;" ",(AU179+AU180)/2," ")</f>
        <v xml:space="preserve"> </v>
      </c>
      <c r="AX179" s="353"/>
      <c r="AY179" s="445" t="str">
        <f t="shared" ref="AY179" si="528">IF(AP179&lt;&gt;" ",IF(AQ179&gt;$B$15,"Нет","Да")," ")</f>
        <v xml:space="preserve"> </v>
      </c>
      <c r="AZ179" s="441" t="str">
        <f t="shared" ref="AZ179" si="529">IF(AP179&lt;&gt;" ",IF(AW179&gt;0.5*(AV179+AV180),"Да","Нет")," ")</f>
        <v xml:space="preserve"> </v>
      </c>
      <c r="BA179" s="441" t="str">
        <f t="shared" ref="BA179" si="530">IF(AP179&lt;&gt;" ",IF(OR($AX$169&lt;7,$AX$169=7),"Да","Нет")," ")</f>
        <v xml:space="preserve"> </v>
      </c>
      <c r="BB179" s="441" t="str">
        <f t="shared" ref="BB179" si="531">IF(AP179&lt;&gt;" ",IF(AW179&gt;0.2*0.5*(AR179+AR180),"Да","Нет")," ")</f>
        <v xml:space="preserve"> </v>
      </c>
      <c r="BC179" s="353">
        <f t="shared" ref="BC179" si="532">IF(AND(BE179&lt;&gt;0,BE179&lt;&gt;" "),AP179,0)</f>
        <v>0</v>
      </c>
      <c r="BD179" s="443" t="str">
        <f t="shared" ref="BD179" si="533">IF(AP179&lt;&gt;" ",IF(OR(AU179&lt;AR179,AU179=AR179),0.8*AW179*AP179/(5*$AX$169*10),0.8*AW179*AP179/($AX$169*10))," ")</f>
        <v xml:space="preserve"> </v>
      </c>
      <c r="BE179" s="353">
        <f t="shared" si="359"/>
        <v>0</v>
      </c>
      <c r="BF179" s="232"/>
      <c r="BH179" s="418"/>
      <c r="BI179" s="419"/>
      <c r="BJ179" s="202"/>
      <c r="BK179" s="419"/>
      <c r="BL179" s="213"/>
    </row>
    <row r="180" spans="33:64" ht="15.75" thickBot="1">
      <c r="AG180" s="370"/>
      <c r="AH180" s="370"/>
      <c r="AI180" s="364"/>
      <c r="AJ180" s="425"/>
      <c r="AK180" s="364"/>
      <c r="AL180" s="370"/>
      <c r="AM180" s="459"/>
      <c r="AN180" s="376"/>
      <c r="AO180" s="353"/>
      <c r="AP180" s="353"/>
      <c r="AQ180" s="183" t="str">
        <f>IF(AP179&lt;&gt;" ",MAX($AQ$9:AQ179)+AP179," ")</f>
        <v xml:space="preserve"> </v>
      </c>
      <c r="AR180" s="183" t="str">
        <f>IF(AP179&lt;&gt;" ",MAX($AR$9:AR179)+$AJ$29*AP179," ")</f>
        <v xml:space="preserve"> </v>
      </c>
      <c r="AS180" s="86" t="str">
        <f t="shared" si="391"/>
        <v xml:space="preserve"> </v>
      </c>
      <c r="AT180" s="264" t="str" cm="1">
        <f t="array" ref="AT180">IF(AS180&lt;&gt;" ",Interpol(31,8,Служебный!$H$54:$H$84,Служебный!$I$53:$P$53,Служебный!$I$54:$P$84,'Осадка поля'!$AS180,'Осадка поля'!$B$6)," ")</f>
        <v xml:space="preserve"> </v>
      </c>
      <c r="AU180" s="183" t="str">
        <f t="shared" si="415"/>
        <v xml:space="preserve"> </v>
      </c>
      <c r="AV180" s="183" t="str">
        <f>IF(AP179&lt;&gt;" ",AR180*0.5," ")</f>
        <v xml:space="preserve"> </v>
      </c>
      <c r="AW180" s="353"/>
      <c r="AX180" s="353"/>
      <c r="AY180" s="444"/>
      <c r="AZ180" s="444"/>
      <c r="BA180" s="445"/>
      <c r="BB180" s="444"/>
      <c r="BC180" s="353"/>
      <c r="BD180" s="444"/>
      <c r="BE180" s="353"/>
      <c r="BF180" s="232"/>
      <c r="BH180" s="418"/>
      <c r="BI180" s="419"/>
      <c r="BJ180" s="202"/>
      <c r="BK180" s="419"/>
      <c r="BL180" s="213"/>
    </row>
    <row r="181" spans="33:64">
      <c r="AG181" s="370"/>
      <c r="AH181" s="370"/>
      <c r="AI181" s="364"/>
      <c r="AJ181" s="425"/>
      <c r="AK181" s="364"/>
      <c r="AL181" s="370"/>
      <c r="AM181" s="459"/>
      <c r="AN181" s="376"/>
      <c r="AO181" s="353" t="str">
        <f>IF(AO179=" "," ", IF(AO179&lt;SUM(AN$9:AN$188),AO179+1, " "))</f>
        <v xml:space="preserve"> </v>
      </c>
      <c r="AP181" s="353" t="str">
        <f>IF(AO181&lt;&gt;" ",AM$109/COUNT(AO$109:AO$128), " ")</f>
        <v xml:space="preserve"> </v>
      </c>
      <c r="AQ181" s="183" t="str">
        <f>IF(AP181&lt;&gt;" ",SUM($AP$9:AP179)," ")</f>
        <v xml:space="preserve"> </v>
      </c>
      <c r="AR181" s="183" t="str">
        <f>IF(AP181&lt;&gt;" ",MAX($AR$9:AR180)," ")</f>
        <v xml:space="preserve"> </v>
      </c>
      <c r="AS181" s="86" t="str">
        <f t="shared" si="391"/>
        <v xml:space="preserve"> </v>
      </c>
      <c r="AT181" s="264" t="str" cm="1">
        <f t="array" ref="AT181">IF(AS181&lt;&gt;" ",Interpol(31,8,Служебный!$H$54:$H$84,Служебный!$I$53:$P$53,Служебный!$I$54:$P$84,'Осадка поля'!$AS181,'Осадка поля'!$B$6)," ")</f>
        <v xml:space="preserve"> </v>
      </c>
      <c r="AU181" s="183" t="str">
        <f t="shared" si="415"/>
        <v xml:space="preserve"> </v>
      </c>
      <c r="AV181" s="183" t="str">
        <f>IF(AP181&lt;&gt;" ",AR181*0.5," ")</f>
        <v xml:space="preserve"> </v>
      </c>
      <c r="AW181" s="353" t="str">
        <f>IF(AO181&lt;&gt;" ",(AU181+AU182)/2," ")</f>
        <v xml:space="preserve"> </v>
      </c>
      <c r="AX181" s="353"/>
      <c r="AY181" s="445" t="str">
        <f t="shared" ref="AY181" si="534">IF(AP181&lt;&gt;" ",IF(AQ181&gt;$B$15,"Нет","Да")," ")</f>
        <v xml:space="preserve"> </v>
      </c>
      <c r="AZ181" s="441" t="str">
        <f t="shared" ref="AZ181" si="535">IF(AP181&lt;&gt;" ",IF(AW181&gt;0.5*(AV181+AV182),"Да","Нет")," ")</f>
        <v xml:space="preserve"> </v>
      </c>
      <c r="BA181" s="441" t="str">
        <f t="shared" ref="BA181" si="536">IF(AP181&lt;&gt;" ",IF(OR($AX$169&lt;7,$AX$169=7),"Да","Нет")," ")</f>
        <v xml:space="preserve"> </v>
      </c>
      <c r="BB181" s="441" t="str">
        <f t="shared" ref="BB181" si="537">IF(AP181&lt;&gt;" ",IF(AW181&gt;0.2*0.5*(AR181+AR182),"Да","Нет")," ")</f>
        <v xml:space="preserve"> </v>
      </c>
      <c r="BC181" s="353">
        <f t="shared" ref="BC181:BC215" si="538">IF(AND(BE181&lt;&gt;0,BE181&lt;&gt;" "),AP181,0)</f>
        <v>0</v>
      </c>
      <c r="BD181" s="443" t="str">
        <f t="shared" ref="BD181" si="539">IF(AP181&lt;&gt;" ",IF(OR(AU181&lt;AR181,AU181=AR181),0.8*AW181*AP181/(5*$AX$169*10),0.8*AW181*AP181/($AX$169*10))," ")</f>
        <v xml:space="preserve"> </v>
      </c>
      <c r="BE181" s="353">
        <f t="shared" si="366"/>
        <v>0</v>
      </c>
      <c r="BF181" s="232"/>
      <c r="BH181" s="418"/>
      <c r="BI181" s="419"/>
      <c r="BJ181" s="202"/>
      <c r="BK181" s="419"/>
      <c r="BL181" s="213"/>
    </row>
    <row r="182" spans="33:64" ht="15.75" thickBot="1">
      <c r="AG182" s="370"/>
      <c r="AH182" s="370"/>
      <c r="AI182" s="364"/>
      <c r="AJ182" s="425"/>
      <c r="AK182" s="364"/>
      <c r="AL182" s="370"/>
      <c r="AM182" s="459"/>
      <c r="AN182" s="376"/>
      <c r="AO182" s="353"/>
      <c r="AP182" s="353"/>
      <c r="AQ182" s="183" t="str">
        <f>IF(AP181&lt;&gt;" ",MAX($AQ$9:AQ181)+AP181," ")</f>
        <v xml:space="preserve"> </v>
      </c>
      <c r="AR182" s="183" t="str">
        <f>IF(AP181&lt;&gt;" ",MAX($AR$9:AR181)+$AJ$29*AP181," ")</f>
        <v xml:space="preserve"> </v>
      </c>
      <c r="AS182" s="86" t="str">
        <f t="shared" si="391"/>
        <v xml:space="preserve"> </v>
      </c>
      <c r="AT182" s="264" t="str" cm="1">
        <f t="array" ref="AT182">IF(AS182&lt;&gt;" ",Interpol(31,8,Служебный!$H$54:$H$84,Служебный!$I$53:$P$53,Служебный!$I$54:$P$84,'Осадка поля'!$AS182,'Осадка поля'!$B$6)," ")</f>
        <v xml:space="preserve"> </v>
      </c>
      <c r="AU182" s="183" t="str">
        <f t="shared" si="415"/>
        <v xml:space="preserve"> </v>
      </c>
      <c r="AV182" s="183" t="str">
        <f>IF(AP181&lt;&gt;" ",AR182*0.5," ")</f>
        <v xml:space="preserve"> </v>
      </c>
      <c r="AW182" s="353"/>
      <c r="AX182" s="353"/>
      <c r="AY182" s="444"/>
      <c r="AZ182" s="444"/>
      <c r="BA182" s="445"/>
      <c r="BB182" s="444"/>
      <c r="BC182" s="353"/>
      <c r="BD182" s="444"/>
      <c r="BE182" s="353"/>
      <c r="BF182" s="232"/>
      <c r="BH182" s="418"/>
      <c r="BI182" s="419"/>
      <c r="BJ182" s="202"/>
      <c r="BK182" s="419"/>
      <c r="BL182" s="213"/>
    </row>
    <row r="183" spans="33:64">
      <c r="AG183" s="370"/>
      <c r="AH183" s="370"/>
      <c r="AI183" s="364"/>
      <c r="AJ183" s="425"/>
      <c r="AK183" s="364"/>
      <c r="AL183" s="370"/>
      <c r="AM183" s="459"/>
      <c r="AN183" s="376"/>
      <c r="AO183" s="353" t="str">
        <f>IF(AO181=" "," ", IF(AO181&lt;SUM(AN$9:AN$188),AO181+1, " "))</f>
        <v xml:space="preserve"> </v>
      </c>
      <c r="AP183" s="353" t="str">
        <f>IF(AO183&lt;&gt;" ",AM$109/COUNT(AO$109:AO$128), " ")</f>
        <v xml:space="preserve"> </v>
      </c>
      <c r="AQ183" s="183" t="str">
        <f>IF(AP183&lt;&gt;" ",SUM($AP$9:AP181)," ")</f>
        <v xml:space="preserve"> </v>
      </c>
      <c r="AR183" s="183" t="str">
        <f>IF(AP183&lt;&gt;" ",MAX($AR$9:AR182)," ")</f>
        <v xml:space="preserve"> </v>
      </c>
      <c r="AS183" s="86" t="str">
        <f t="shared" si="391"/>
        <v xml:space="preserve"> </v>
      </c>
      <c r="AT183" s="264" t="str" cm="1">
        <f t="array" ref="AT183">IF(AS183&lt;&gt;" ",Interpol(31,8,Служебный!$H$54:$H$84,Служебный!$I$53:$P$53,Служебный!$I$54:$P$84,'Осадка поля'!$AS183,'Осадка поля'!$B$6)," ")</f>
        <v xml:space="preserve"> </v>
      </c>
      <c r="AU183" s="183" t="str">
        <f t="shared" si="415"/>
        <v xml:space="preserve"> </v>
      </c>
      <c r="AV183" s="183" t="str">
        <f>IF(AP183&lt;&gt;" ",AR183*0.5," ")</f>
        <v xml:space="preserve"> </v>
      </c>
      <c r="AW183" s="353" t="str">
        <f>IF(AO183&lt;&gt;" ",(AU183+AU184)/2," ")</f>
        <v xml:space="preserve"> </v>
      </c>
      <c r="AX183" s="353"/>
      <c r="AY183" s="445" t="str">
        <f t="shared" ref="AY183" si="540">IF(AP183&lt;&gt;" ",IF(AQ183&gt;$B$15,"Нет","Да")," ")</f>
        <v xml:space="preserve"> </v>
      </c>
      <c r="AZ183" s="441" t="str">
        <f t="shared" ref="AZ183" si="541">IF(AP183&lt;&gt;" ",IF(AW183&gt;0.5*(AV183+AV184),"Да","Нет")," ")</f>
        <v xml:space="preserve"> </v>
      </c>
      <c r="BA183" s="441" t="str">
        <f t="shared" ref="BA183" si="542">IF(AP183&lt;&gt;" ",IF(OR($AX$169&lt;7,$AX$169=7),"Да","Нет")," ")</f>
        <v xml:space="preserve"> </v>
      </c>
      <c r="BB183" s="441" t="str">
        <f t="shared" ref="BB183" si="543">IF(AP183&lt;&gt;" ",IF(AW183&gt;0.2*0.5*(AR183+AR184),"Да","Нет")," ")</f>
        <v xml:space="preserve"> </v>
      </c>
      <c r="BC183" s="353">
        <f t="shared" ref="BC183:BC217" si="544">IF(AND(BE183&lt;&gt;0,BE183&lt;&gt;" "),AP183,0)</f>
        <v>0</v>
      </c>
      <c r="BD183" s="443" t="str">
        <f t="shared" ref="BD183" si="545">IF(AP183&lt;&gt;" ",IF(OR(AU183&lt;AR183,AU183=AR183),0.8*AW183*AP183/(5*$AX$169*10),0.8*AW183*AP183/($AX$169*10))," ")</f>
        <v xml:space="preserve"> </v>
      </c>
      <c r="BE183" s="353">
        <f t="shared" si="373"/>
        <v>0</v>
      </c>
      <c r="BF183" s="232"/>
      <c r="BH183" s="418"/>
      <c r="BI183" s="419"/>
      <c r="BJ183" s="202"/>
      <c r="BK183" s="419"/>
      <c r="BL183" s="213"/>
    </row>
    <row r="184" spans="33:64" ht="15.75" thickBot="1">
      <c r="AG184" s="370"/>
      <c r="AH184" s="370"/>
      <c r="AI184" s="364"/>
      <c r="AJ184" s="425"/>
      <c r="AK184" s="364"/>
      <c r="AL184" s="370"/>
      <c r="AM184" s="459"/>
      <c r="AN184" s="376"/>
      <c r="AO184" s="353"/>
      <c r="AP184" s="353"/>
      <c r="AQ184" s="183" t="str">
        <f>IF(AP183&lt;&gt;" ",MAX($AQ$9:AQ183)+AP183," ")</f>
        <v xml:space="preserve"> </v>
      </c>
      <c r="AR184" s="183" t="str">
        <f>IF(AP183&lt;&gt;" ",MAX($AR$9:AR183)+$AJ$29*AP183," ")</f>
        <v xml:space="preserve"> </v>
      </c>
      <c r="AS184" s="86" t="str">
        <f t="shared" si="391"/>
        <v xml:space="preserve"> </v>
      </c>
      <c r="AT184" s="264" t="str" cm="1">
        <f t="array" ref="AT184">IF(AS184&lt;&gt;" ",Interpol(31,8,Служебный!$H$54:$H$84,Служебный!$I$53:$P$53,Служебный!$I$54:$P$84,'Осадка поля'!$AS184,'Осадка поля'!$B$6)," ")</f>
        <v xml:space="preserve"> </v>
      </c>
      <c r="AU184" s="183" t="str">
        <f t="shared" si="415"/>
        <v xml:space="preserve"> </v>
      </c>
      <c r="AV184" s="183" t="str">
        <f>IF(AP183&lt;&gt;" ",AR184*0.5," ")</f>
        <v xml:space="preserve"> </v>
      </c>
      <c r="AW184" s="353"/>
      <c r="AX184" s="353"/>
      <c r="AY184" s="444"/>
      <c r="AZ184" s="444"/>
      <c r="BA184" s="445"/>
      <c r="BB184" s="444"/>
      <c r="BC184" s="353"/>
      <c r="BD184" s="444"/>
      <c r="BE184" s="353"/>
      <c r="BF184" s="232"/>
      <c r="BH184" s="418"/>
      <c r="BI184" s="419"/>
      <c r="BJ184" s="202"/>
      <c r="BK184" s="419"/>
      <c r="BL184" s="213"/>
    </row>
    <row r="185" spans="33:64">
      <c r="AG185" s="370"/>
      <c r="AH185" s="370"/>
      <c r="AI185" s="364"/>
      <c r="AJ185" s="425"/>
      <c r="AK185" s="364"/>
      <c r="AL185" s="370"/>
      <c r="AM185" s="459"/>
      <c r="AN185" s="376"/>
      <c r="AO185" s="353" t="str">
        <f>IF(AO183=" "," ", IF(AO183&lt;SUM(AN$9:AN$188),AO183+1, " "))</f>
        <v xml:space="preserve"> </v>
      </c>
      <c r="AP185" s="353" t="str">
        <f>IF(AO185&lt;&gt;" ",AM$109/COUNT(AO$109:AO$128), " ")</f>
        <v xml:space="preserve"> </v>
      </c>
      <c r="AQ185" s="183" t="str">
        <f>IF(AP185&lt;&gt;" ",SUM($AP$9:AP183)," ")</f>
        <v xml:space="preserve"> </v>
      </c>
      <c r="AR185" s="183" t="str">
        <f>IF(AP185&lt;&gt;" ",MAX($AR$9:AR184)," ")</f>
        <v xml:space="preserve"> </v>
      </c>
      <c r="AS185" s="86" t="str">
        <f t="shared" si="391"/>
        <v xml:space="preserve"> </v>
      </c>
      <c r="AT185" s="264" t="str" cm="1">
        <f t="array" ref="AT185">IF(AS185&lt;&gt;" ",Interpol(31,8,Служебный!$H$54:$H$84,Служебный!$I$53:$P$53,Служебный!$I$54:$P$84,'Осадка поля'!$AS185,'Осадка поля'!$B$6)," ")</f>
        <v xml:space="preserve"> </v>
      </c>
      <c r="AU185" s="183" t="str">
        <f t="shared" si="415"/>
        <v xml:space="preserve"> </v>
      </c>
      <c r="AV185" s="183" t="str">
        <f>IF(AP185&lt;&gt;" ",AR185*0.5," ")</f>
        <v xml:space="preserve"> </v>
      </c>
      <c r="AW185" s="353" t="str">
        <f>IF(AO185&lt;&gt;" ",(AU185+AU186)/2," ")</f>
        <v xml:space="preserve"> </v>
      </c>
      <c r="AX185" s="353"/>
      <c r="AY185" s="445" t="str">
        <f t="shared" ref="AY185" si="546">IF(AP185&lt;&gt;" ",IF(AQ185&gt;$B$15,"Нет","Да")," ")</f>
        <v xml:space="preserve"> </v>
      </c>
      <c r="AZ185" s="441" t="str">
        <f t="shared" ref="AZ185" si="547">IF(AP185&lt;&gt;" ",IF(AW185&gt;0.5*(AV185+AV186),"Да","Нет")," ")</f>
        <v xml:space="preserve"> </v>
      </c>
      <c r="BA185" s="441" t="str">
        <f t="shared" ref="BA185" si="548">IF(AP185&lt;&gt;" ",IF(OR($AX$169&lt;7,$AX$169=7),"Да","Нет")," ")</f>
        <v xml:space="preserve"> </v>
      </c>
      <c r="BB185" s="441" t="str">
        <f t="shared" ref="BB185" si="549">IF(AP185&lt;&gt;" ",IF(AW185&gt;0.2*0.5*(AR185+AR186),"Да","Нет")," ")</f>
        <v xml:space="preserve"> </v>
      </c>
      <c r="BC185" s="353">
        <f t="shared" ref="BC185:BC219" si="550">IF(AND(BE185&lt;&gt;0,BE185&lt;&gt;" "),AP185,0)</f>
        <v>0</v>
      </c>
      <c r="BD185" s="443" t="str">
        <f t="shared" ref="BD185" si="551">IF(AP185&lt;&gt;" ",IF(OR(AU185&lt;AR185,AU185=AR185),0.8*AW185*AP185/(5*$AX$169*10),0.8*AW185*AP185/($AX$169*10))," ")</f>
        <v xml:space="preserve"> </v>
      </c>
      <c r="BE185" s="353">
        <f t="shared" si="380"/>
        <v>0</v>
      </c>
      <c r="BF185" s="232"/>
      <c r="BH185" s="418"/>
      <c r="BI185" s="419"/>
      <c r="BJ185" s="202"/>
      <c r="BK185" s="419"/>
      <c r="BL185" s="213"/>
    </row>
    <row r="186" spans="33:64" ht="15.75" thickBot="1">
      <c r="AG186" s="370"/>
      <c r="AH186" s="370"/>
      <c r="AI186" s="364"/>
      <c r="AJ186" s="425"/>
      <c r="AK186" s="364"/>
      <c r="AL186" s="370"/>
      <c r="AM186" s="459"/>
      <c r="AN186" s="376"/>
      <c r="AO186" s="353"/>
      <c r="AP186" s="353"/>
      <c r="AQ186" s="183" t="str">
        <f>IF(AP185&lt;&gt;" ",MAX($AQ$9:AQ185)+AP185," ")</f>
        <v xml:space="preserve"> </v>
      </c>
      <c r="AR186" s="183" t="str">
        <f>IF(AP185&lt;&gt;" ",MAX($AR$9:AR185)+$AJ$29*AP185," ")</f>
        <v xml:space="preserve"> </v>
      </c>
      <c r="AS186" s="86" t="str">
        <f t="shared" si="391"/>
        <v xml:space="preserve"> </v>
      </c>
      <c r="AT186" s="264" t="str" cm="1">
        <f t="array" ref="AT186">IF(AS186&lt;&gt;" ",Interpol(31,8,Служебный!$H$54:$H$84,Служебный!$I$53:$P$53,Служебный!$I$54:$P$84,'Осадка поля'!$AS186,'Осадка поля'!$B$6)," ")</f>
        <v xml:space="preserve"> </v>
      </c>
      <c r="AU186" s="183" t="str">
        <f t="shared" si="415"/>
        <v xml:space="preserve"> </v>
      </c>
      <c r="AV186" s="183" t="str">
        <f>IF(AP185&lt;&gt;" ",AR186*0.5," ")</f>
        <v xml:space="preserve"> </v>
      </c>
      <c r="AW186" s="353"/>
      <c r="AX186" s="353"/>
      <c r="AY186" s="444"/>
      <c r="AZ186" s="444"/>
      <c r="BA186" s="445"/>
      <c r="BB186" s="444"/>
      <c r="BC186" s="353"/>
      <c r="BD186" s="444"/>
      <c r="BE186" s="353"/>
      <c r="BF186" s="232"/>
      <c r="BH186" s="418"/>
      <c r="BI186" s="419"/>
      <c r="BJ186" s="202"/>
      <c r="BK186" s="419"/>
      <c r="BL186" s="213"/>
    </row>
    <row r="187" spans="33:64">
      <c r="AG187" s="370"/>
      <c r="AH187" s="370"/>
      <c r="AI187" s="364"/>
      <c r="AJ187" s="425"/>
      <c r="AK187" s="364"/>
      <c r="AL187" s="370"/>
      <c r="AM187" s="459"/>
      <c r="AN187" s="376"/>
      <c r="AO187" s="353" t="str">
        <f>IF(AO185=" "," ", IF(AO185&lt;SUM(AN$9:AN$188),AO185+1, " "))</f>
        <v xml:space="preserve"> </v>
      </c>
      <c r="AP187" s="353" t="str">
        <f>IF(AO187&lt;&gt;" ",AM$109/COUNT(AO$109:AO$128), " ")</f>
        <v xml:space="preserve"> </v>
      </c>
      <c r="AQ187" s="183" t="str">
        <f>IF(AP187&lt;&gt;" ",SUM($AP$9:AP185)," ")</f>
        <v xml:space="preserve"> </v>
      </c>
      <c r="AR187" s="183" t="str">
        <f>IF(AP187&lt;&gt;" ",MAX($AR$9:AR186)," ")</f>
        <v xml:space="preserve"> </v>
      </c>
      <c r="AS187" s="86" t="str">
        <f t="shared" si="391"/>
        <v xml:space="preserve"> </v>
      </c>
      <c r="AT187" s="264" t="str" cm="1">
        <f t="array" ref="AT187">IF(AS187&lt;&gt;" ",Interpol(31,8,Служебный!$H$54:$H$84,Служебный!$I$53:$P$53,Служебный!$I$54:$P$84,'Осадка поля'!$AS187,'Осадка поля'!$B$6)," ")</f>
        <v xml:space="preserve"> </v>
      </c>
      <c r="AU187" s="183" t="str">
        <f t="shared" si="415"/>
        <v xml:space="preserve"> </v>
      </c>
      <c r="AV187" s="183" t="str">
        <f>IF(AP187&lt;&gt;" ",AR187*0.5," ")</f>
        <v xml:space="preserve"> </v>
      </c>
      <c r="AW187" s="353" t="str">
        <f>IF(AO187&lt;&gt;" ",(AU187+AU188)/2," ")</f>
        <v xml:space="preserve"> </v>
      </c>
      <c r="AX187" s="353"/>
      <c r="AY187" s="445" t="str">
        <f t="shared" ref="AY187" si="552">IF(AP187&lt;&gt;" ",IF(AQ187&gt;$B$15,"Нет","Да")," ")</f>
        <v xml:space="preserve"> </v>
      </c>
      <c r="AZ187" s="441" t="str">
        <f t="shared" ref="AZ187" si="553">IF(AP187&lt;&gt;" ",IF(AW187&gt;0.5*(AV187+AV188),"Да","Нет")," ")</f>
        <v xml:space="preserve"> </v>
      </c>
      <c r="BA187" s="441" t="str">
        <f t="shared" ref="BA187" si="554">IF(AP187&lt;&gt;" ",IF(OR($AX$169&lt;7,$AX$169=7),"Да","Нет")," ")</f>
        <v xml:space="preserve"> </v>
      </c>
      <c r="BB187" s="441" t="str">
        <f t="shared" ref="BB187" si="555">IF(AP187&lt;&gt;" ",IF(AW187&gt;0.2*0.5*(AR187+AR188),"Да","Нет")," ")</f>
        <v xml:space="preserve"> </v>
      </c>
      <c r="BC187" s="353">
        <f t="shared" ref="BC187:BC221" si="556">IF(AND(BE187&lt;&gt;0,BE187&lt;&gt;" "),AP187,0)</f>
        <v>0</v>
      </c>
      <c r="BD187" s="443" t="str">
        <f t="shared" ref="BD187" si="557">IF(AP187&lt;&gt;" ",IF(OR(AU187&lt;AR187,AU187=AR187),0.8*AW187*AP187/(5*$AX$169*10),0.8*AW187*AP187/($AX$169*10))," ")</f>
        <v xml:space="preserve"> </v>
      </c>
      <c r="BE187" s="353">
        <f t="shared" si="387"/>
        <v>0</v>
      </c>
      <c r="BF187" s="232"/>
      <c r="BH187" s="418"/>
      <c r="BI187" s="419"/>
      <c r="BJ187" s="202"/>
      <c r="BK187" s="419"/>
      <c r="BL187" s="213"/>
    </row>
    <row r="188" spans="33:64" ht="15.75" thickBot="1">
      <c r="AG188" s="370"/>
      <c r="AH188" s="370"/>
      <c r="AI188" s="364"/>
      <c r="AJ188" s="425"/>
      <c r="AK188" s="364"/>
      <c r="AL188" s="370"/>
      <c r="AM188" s="459"/>
      <c r="AN188" s="376"/>
      <c r="AO188" s="353"/>
      <c r="AP188" s="353"/>
      <c r="AQ188" s="183" t="str">
        <f>IF(AP187&lt;&gt;" ",MAX($AQ$9:AQ187)+AP187," ")</f>
        <v xml:space="preserve"> </v>
      </c>
      <c r="AR188" s="183" t="str">
        <f>IF(AP187&lt;&gt;" ",MAX($AR$9:AR187)+$AJ$29*AP187," ")</f>
        <v xml:space="preserve"> </v>
      </c>
      <c r="AS188" s="86" t="str">
        <f t="shared" si="391"/>
        <v xml:space="preserve"> </v>
      </c>
      <c r="AT188" s="264" t="str" cm="1">
        <f t="array" ref="AT188">IF(AS188&lt;&gt;" ",Interpol(31,8,Служебный!$H$54:$H$84,Служебный!$I$53:$P$53,Служебный!$I$54:$P$84,'Осадка поля'!$AS188,'Осадка поля'!$B$6)," ")</f>
        <v xml:space="preserve"> </v>
      </c>
      <c r="AU188" s="183" t="str">
        <f t="shared" si="415"/>
        <v xml:space="preserve"> </v>
      </c>
      <c r="AV188" s="183" t="str">
        <f>IF(AP187&lt;&gt;" ",AR188*0.5," ")</f>
        <v xml:space="preserve"> </v>
      </c>
      <c r="AW188" s="353"/>
      <c r="AX188" s="353"/>
      <c r="AY188" s="444"/>
      <c r="AZ188" s="444"/>
      <c r="BA188" s="445"/>
      <c r="BB188" s="444"/>
      <c r="BC188" s="353"/>
      <c r="BD188" s="444"/>
      <c r="BE188" s="353"/>
      <c r="BF188" s="232"/>
      <c r="BH188" s="458"/>
      <c r="BI188" s="457"/>
      <c r="BJ188" s="203"/>
      <c r="BK188" s="457"/>
      <c r="BL188" s="214"/>
    </row>
    <row r="189" spans="33:64">
      <c r="AG189" s="370">
        <f t="shared" si="388"/>
        <v>19</v>
      </c>
      <c r="AH189" s="390">
        <f>IF(AG189&gt;20,0,VLOOKUP(AG189,Скважина!$E$8:$K$27,2,FALSE))</f>
        <v>0</v>
      </c>
      <c r="AI189" s="388">
        <f>IF(OR(AH189=0,AG189&gt;20),0,VLOOKUP(AH189,Геология!$D$7:$BO$993,7,FALSE))</f>
        <v>0</v>
      </c>
      <c r="AJ189" s="425" t="e">
        <f>VLOOKUP(AH189,Геология!$D$7:$BO$993,23,FALSE)</f>
        <v>#N/A</v>
      </c>
      <c r="AK189" s="364">
        <f t="shared" ref="AK189" si="558">IF(AM169&lt;&gt;0,AL169,AK169)</f>
        <v>111.73</v>
      </c>
      <c r="AL189" s="390">
        <f>VLOOKUP(AG189,Скважина!$E$8:$K$27,5,FALSE)</f>
        <v>-5.27</v>
      </c>
      <c r="AM189" s="459">
        <f t="shared" ref="AM189" si="559">IF(IF(AH189&lt;&gt;0,AK189-AL189,0)&lt;0,0,IF(AH189&lt;&gt;0,AK189-AL189,0))</f>
        <v>0</v>
      </c>
      <c r="AN189" s="376"/>
      <c r="AO189" s="353" t="str">
        <f>IF(AN189&lt;&gt;0,MAX(AO$9:AO$188)+1," ")</f>
        <v xml:space="preserve"> </v>
      </c>
      <c r="AP189" s="353" t="str">
        <f>IF(AO189&lt;&gt;" ",AM$109/COUNT(AO$109:AO$128), " ")</f>
        <v xml:space="preserve"> </v>
      </c>
      <c r="AQ189" s="183" t="str">
        <f>IF(AP189&lt;&gt;" ",SUM($AP$9:AP187)," ")</f>
        <v xml:space="preserve"> </v>
      </c>
      <c r="AR189" s="183" t="str">
        <f>IF(AP189&lt;&gt;" ",MAX($AR$9:AR188)," ")</f>
        <v xml:space="preserve"> </v>
      </c>
      <c r="AS189" s="86" t="str">
        <f t="shared" si="391"/>
        <v xml:space="preserve"> </v>
      </c>
      <c r="AT189" s="264" t="str" cm="1">
        <f t="array" ref="AT189">IF(AS189&lt;&gt;" ",Interpol(31,8,Служебный!$H$54:$H$84,Служебный!$I$53:$P$53,Служебный!$I$54:$P$84,'Осадка поля'!$AS189,'Осадка поля'!$B$6)," ")</f>
        <v xml:space="preserve"> </v>
      </c>
      <c r="AU189" s="183" t="str">
        <f t="shared" si="415"/>
        <v xml:space="preserve"> </v>
      </c>
      <c r="AV189" s="183" t="str">
        <f>IF(AP189&lt;&gt;" ",AR189*0.5," ")</f>
        <v xml:space="preserve"> </v>
      </c>
      <c r="AW189" s="353" t="str">
        <f>IF(AO189&lt;&gt;" ",(AU189+AU190)/2," ")</f>
        <v xml:space="preserve"> </v>
      </c>
      <c r="AX189" s="444" t="str">
        <f>IF(AH189&lt;&gt;0,VLOOKUP(AH189,Геология!$D$7:$BO$993,21,FALSE)," ")</f>
        <v xml:space="preserve"> </v>
      </c>
      <c r="AY189" s="445" t="str">
        <f t="shared" ref="AY189" si="560">IF(AP189&lt;&gt;" ",IF(AQ189&gt;$B$15,"Нет","Да")," ")</f>
        <v xml:space="preserve"> </v>
      </c>
      <c r="AZ189" s="441" t="str">
        <f t="shared" ref="AZ189" si="561">IF(AP189&lt;&gt;" ",IF(AW189&gt;0.5*(AV189+AV190),"Да","Нет")," ")</f>
        <v xml:space="preserve"> </v>
      </c>
      <c r="BA189" s="441" t="str">
        <f>IF(AP189&lt;&gt;" ",IF(OR($AX$189&lt;7,$AX$189=7),"Да","Нет")," ")</f>
        <v xml:space="preserve"> </v>
      </c>
      <c r="BB189" s="441" t="str">
        <f t="shared" ref="BB189" si="562">IF(AP189&lt;&gt;" ",IF(AW189&gt;0.2*0.5*(AR189+AR190),"Да","Нет")," ")</f>
        <v xml:space="preserve"> </v>
      </c>
      <c r="BC189" s="353">
        <f t="shared" ref="BC189:BC223" si="563">IF(AND(BE189&lt;&gt;0,BE189&lt;&gt;" "),AP189,0)</f>
        <v>0</v>
      </c>
      <c r="BD189" s="443" t="str">
        <f>IF(AP189&lt;&gt;" ",IF(OR(AU189&lt;AR189,AU189=AR189),0.8*AW189*AP189/(5*$AX$189*10),0.8*AW189*AP189/($AX$189*10))," ")</f>
        <v xml:space="preserve"> </v>
      </c>
      <c r="BE189" s="353">
        <f t="shared" ref="BE189" si="564">IF(AP189&lt;&gt;" ",IF(AND(AY189="Нет",AZ189="Нет",BA189="Нет"),0,IF(AY189="Да",BD189,IF(AZ189="Да",BD189,IF(BA189="Да",BD189)))),0)</f>
        <v>0</v>
      </c>
      <c r="BF189" s="232"/>
      <c r="BH189" s="448" t="str">
        <f>IF(AH189&lt;&gt;0,VLOOKUP(AH189,Геология!$D$7:$BO$993,24,FALSE)," ")</f>
        <v xml:space="preserve"> </v>
      </c>
      <c r="BI189" s="449" t="str">
        <f>IF(BH189&lt;&gt;" ",BH189*AM189," ")</f>
        <v xml:space="preserve"> </v>
      </c>
      <c r="BJ189" s="202"/>
      <c r="BK189" s="456" t="str">
        <f>IF(AM189&lt;&gt;0,AX189*AM189," ")</f>
        <v xml:space="preserve"> </v>
      </c>
      <c r="BL189" s="213"/>
    </row>
    <row r="190" spans="33:64" ht="15.75" thickBot="1">
      <c r="AG190" s="370"/>
      <c r="AH190" s="370"/>
      <c r="AI190" s="364"/>
      <c r="AJ190" s="425"/>
      <c r="AK190" s="364"/>
      <c r="AL190" s="370"/>
      <c r="AM190" s="459"/>
      <c r="AN190" s="376"/>
      <c r="AO190" s="353"/>
      <c r="AP190" s="353"/>
      <c r="AQ190" s="183" t="str">
        <f>IF(AP189&lt;&gt;" ",MAX($AQ$9:AQ189)+AP189," ")</f>
        <v xml:space="preserve"> </v>
      </c>
      <c r="AR190" s="183" t="str">
        <f>IF(AP189&lt;&gt;" ",MAX($AR$9:AR189)+$AJ$29*AP189," ")</f>
        <v xml:space="preserve"> </v>
      </c>
      <c r="AS190" s="86" t="str">
        <f t="shared" si="391"/>
        <v xml:space="preserve"> </v>
      </c>
      <c r="AT190" s="264" t="str" cm="1">
        <f t="array" ref="AT190">IF(AS190&lt;&gt;" ",Interpol(31,8,Служебный!$H$54:$H$84,Служебный!$I$53:$P$53,Служебный!$I$54:$P$84,'Осадка поля'!$AS190,'Осадка поля'!$B$6)," ")</f>
        <v xml:space="preserve"> </v>
      </c>
      <c r="AU190" s="183" t="str">
        <f t="shared" si="415"/>
        <v xml:space="preserve"> </v>
      </c>
      <c r="AV190" s="183" t="str">
        <f>IF(AP189&lt;&gt;" ",AR190*0.5," ")</f>
        <v xml:space="preserve"> </v>
      </c>
      <c r="AW190" s="353"/>
      <c r="AX190" s="353"/>
      <c r="AY190" s="444"/>
      <c r="AZ190" s="444"/>
      <c r="BA190" s="445"/>
      <c r="BB190" s="444"/>
      <c r="BC190" s="353"/>
      <c r="BD190" s="444"/>
      <c r="BE190" s="353"/>
      <c r="BF190" s="232"/>
      <c r="BH190" s="418"/>
      <c r="BI190" s="419"/>
      <c r="BJ190" s="202"/>
      <c r="BK190" s="419"/>
      <c r="BL190" s="213"/>
    </row>
    <row r="191" spans="33:64">
      <c r="AG191" s="370"/>
      <c r="AH191" s="370"/>
      <c r="AI191" s="364"/>
      <c r="AJ191" s="425"/>
      <c r="AK191" s="364"/>
      <c r="AL191" s="370"/>
      <c r="AM191" s="459"/>
      <c r="AN191" s="376"/>
      <c r="AO191" s="353" t="str">
        <f>IF(AO189=" "," ", IF(AO189&lt;SUM(AN$9:AN$208),AO189+1, " "))</f>
        <v xml:space="preserve"> </v>
      </c>
      <c r="AP191" s="353" t="str">
        <f>IF(AO191&lt;&gt;" ",AM$109/COUNT(AO$109:AO$128), " ")</f>
        <v xml:space="preserve"> </v>
      </c>
      <c r="AQ191" s="183" t="str">
        <f>IF(AP191&lt;&gt;" ",SUM($AP$9:AP189)," ")</f>
        <v xml:space="preserve"> </v>
      </c>
      <c r="AR191" s="183" t="str">
        <f>IF(AP191&lt;&gt;" ",MAX($AR$9:AR190)," ")</f>
        <v xml:space="preserve"> </v>
      </c>
      <c r="AS191" s="86" t="str">
        <f t="shared" si="391"/>
        <v xml:space="preserve"> </v>
      </c>
      <c r="AT191" s="264" t="str" cm="1">
        <f t="array" ref="AT191">IF(AS191&lt;&gt;" ",Interpol(31,8,Служебный!$H$54:$H$84,Служебный!$I$53:$P$53,Служебный!$I$54:$P$84,'Осадка поля'!$AS191,'Осадка поля'!$B$6)," ")</f>
        <v xml:space="preserve"> </v>
      </c>
      <c r="AU191" s="183" t="str">
        <f t="shared" si="415"/>
        <v xml:space="preserve"> </v>
      </c>
      <c r="AV191" s="183" t="str">
        <f>IF(AP191&lt;&gt;" ",AR191*0.5," ")</f>
        <v xml:space="preserve"> </v>
      </c>
      <c r="AW191" s="353" t="str">
        <f>IF(AO191&lt;&gt;" ",(AU191+AU192)/2," ")</f>
        <v xml:space="preserve"> </v>
      </c>
      <c r="AX191" s="353"/>
      <c r="AY191" s="445" t="str">
        <f t="shared" ref="AY191" si="565">IF(AP191&lt;&gt;" ",IF(AQ191&gt;$B$15,"Нет","Да")," ")</f>
        <v xml:space="preserve"> </v>
      </c>
      <c r="AZ191" s="441" t="str">
        <f t="shared" ref="AZ191" si="566">IF(AP191&lt;&gt;" ",IF(AW191&gt;0.5*(AV191+AV192),"Да","Нет")," ")</f>
        <v xml:space="preserve"> </v>
      </c>
      <c r="BA191" s="441" t="str">
        <f t="shared" ref="BA191" si="567">IF(AP191&lt;&gt;" ",IF(OR($AX$189&lt;7,$AX$189=7),"Да","Нет")," ")</f>
        <v xml:space="preserve"> </v>
      </c>
      <c r="BB191" s="441" t="str">
        <f t="shared" ref="BB191" si="568">IF(AP191&lt;&gt;" ",IF(AW191&gt;0.2*0.5*(AR191+AR192),"Да","Нет")," ")</f>
        <v xml:space="preserve"> </v>
      </c>
      <c r="BC191" s="353">
        <f t="shared" ref="BC191:BC225" si="569">IF(AND(BE191&lt;&gt;0,BE191&lt;&gt;" "),AP191,0)</f>
        <v>0</v>
      </c>
      <c r="BD191" s="443" t="str">
        <f t="shared" ref="BD191" si="570">IF(AP191&lt;&gt;" ",IF(OR(AU191&lt;AR191,AU191=AR191),0.8*AW191*AP191/(5*$AX$189*10),0.8*AW191*AP191/($AX$189*10))," ")</f>
        <v xml:space="preserve"> </v>
      </c>
      <c r="BE191" s="353">
        <f t="shared" ref="BE191:BE251" si="571">IF(AP191&lt;&gt;" ",IF(AND(AY191="Нет",AZ191="Нет",BA191="Нет"),0,IF(AY191="Да",BD191,IF(AZ191="Да",BD191,IF(BA191="Да",BD191)))),0)</f>
        <v>0</v>
      </c>
      <c r="BF191" s="232"/>
      <c r="BH191" s="418"/>
      <c r="BI191" s="419"/>
      <c r="BJ191" s="202"/>
      <c r="BK191" s="419"/>
      <c r="BL191" s="213"/>
    </row>
    <row r="192" spans="33:64" ht="15.75" thickBot="1">
      <c r="AG192" s="370"/>
      <c r="AH192" s="370"/>
      <c r="AI192" s="364"/>
      <c r="AJ192" s="425"/>
      <c r="AK192" s="364"/>
      <c r="AL192" s="370"/>
      <c r="AM192" s="459"/>
      <c r="AN192" s="376"/>
      <c r="AO192" s="353"/>
      <c r="AP192" s="353"/>
      <c r="AQ192" s="183" t="str">
        <f>IF(AP191&lt;&gt;" ",MAX($AQ$9:AQ191)+AP191," ")</f>
        <v xml:space="preserve"> </v>
      </c>
      <c r="AR192" s="183" t="str">
        <f>IF(AP191&lt;&gt;" ",MAX($AR$9:AR191)+$AJ$29*AP191," ")</f>
        <v xml:space="preserve"> </v>
      </c>
      <c r="AS192" s="86" t="str">
        <f t="shared" si="391"/>
        <v xml:space="preserve"> </v>
      </c>
      <c r="AT192" s="264" t="str" cm="1">
        <f t="array" ref="AT192">IF(AS192&lt;&gt;" ",Interpol(31,8,Служебный!$H$54:$H$84,Служебный!$I$53:$P$53,Служебный!$I$54:$P$84,'Осадка поля'!$AS192,'Осадка поля'!$B$6)," ")</f>
        <v xml:space="preserve"> </v>
      </c>
      <c r="AU192" s="183" t="str">
        <f t="shared" si="415"/>
        <v xml:space="preserve"> </v>
      </c>
      <c r="AV192" s="183" t="str">
        <f>IF(AP191&lt;&gt;" ",AR192*0.5," ")</f>
        <v xml:space="preserve"> </v>
      </c>
      <c r="AW192" s="353"/>
      <c r="AX192" s="353"/>
      <c r="AY192" s="444"/>
      <c r="AZ192" s="444"/>
      <c r="BA192" s="445"/>
      <c r="BB192" s="444"/>
      <c r="BC192" s="353"/>
      <c r="BD192" s="444"/>
      <c r="BE192" s="353"/>
      <c r="BF192" s="232"/>
      <c r="BH192" s="418"/>
      <c r="BI192" s="419"/>
      <c r="BJ192" s="202"/>
      <c r="BK192" s="419"/>
      <c r="BL192" s="213"/>
    </row>
    <row r="193" spans="33:64">
      <c r="AG193" s="370"/>
      <c r="AH193" s="370"/>
      <c r="AI193" s="364"/>
      <c r="AJ193" s="425"/>
      <c r="AK193" s="364"/>
      <c r="AL193" s="370"/>
      <c r="AM193" s="459"/>
      <c r="AN193" s="376"/>
      <c r="AO193" s="353" t="str">
        <f>IF(AO191=" "," ", IF(AO191&lt;SUM(AN$9:AN$208),AO191+1, " "))</f>
        <v xml:space="preserve"> </v>
      </c>
      <c r="AP193" s="353" t="str">
        <f>IF(AO193&lt;&gt;" ",AM$109/COUNT(AO$109:AO$128), " ")</f>
        <v xml:space="preserve"> </v>
      </c>
      <c r="AQ193" s="183" t="str">
        <f>IF(AP193&lt;&gt;" ",SUM($AP$9:AP191)," ")</f>
        <v xml:space="preserve"> </v>
      </c>
      <c r="AR193" s="183" t="str">
        <f>IF(AP193&lt;&gt;" ",MAX($AR$9:AR192)," ")</f>
        <v xml:space="preserve"> </v>
      </c>
      <c r="AS193" s="86" t="str">
        <f t="shared" ref="AS193:AS256" si="572">IF(AQ193&lt;&gt;" ",2*AQ193/$B$10," ")</f>
        <v xml:space="preserve"> </v>
      </c>
      <c r="AT193" s="264" t="str" cm="1">
        <f t="array" ref="AT193">IF(AS193&lt;&gt;" ",Interpol(31,8,Служебный!$H$54:$H$84,Служебный!$I$53:$P$53,Служебный!$I$54:$P$84,'Осадка поля'!$AS193,'Осадка поля'!$B$6)," ")</f>
        <v xml:space="preserve"> </v>
      </c>
      <c r="AU193" s="183" t="str">
        <f t="shared" si="415"/>
        <v xml:space="preserve"> </v>
      </c>
      <c r="AV193" s="183" t="str">
        <f>IF(AP193&lt;&gt;" ",AR193*0.5," ")</f>
        <v xml:space="preserve"> </v>
      </c>
      <c r="AW193" s="353" t="str">
        <f>IF(AO193&lt;&gt;" ",(AU193+AU194)/2," ")</f>
        <v xml:space="preserve"> </v>
      </c>
      <c r="AX193" s="353"/>
      <c r="AY193" s="445" t="str">
        <f t="shared" ref="AY193" si="573">IF(AP193&lt;&gt;" ",IF(AQ193&gt;$B$15,"Нет","Да")," ")</f>
        <v xml:space="preserve"> </v>
      </c>
      <c r="AZ193" s="441" t="str">
        <f t="shared" ref="AZ193" si="574">IF(AP193&lt;&gt;" ",IF(AW193&gt;0.5*(AV193+AV194),"Да","Нет")," ")</f>
        <v xml:space="preserve"> </v>
      </c>
      <c r="BA193" s="441" t="str">
        <f t="shared" ref="BA193" si="575">IF(AP193&lt;&gt;" ",IF(OR($AX$189&lt;7,$AX$189=7),"Да","Нет")," ")</f>
        <v xml:space="preserve"> </v>
      </c>
      <c r="BB193" s="441" t="str">
        <f t="shared" ref="BB193" si="576">IF(AP193&lt;&gt;" ",IF(AW193&gt;0.2*0.5*(AR193+AR194),"Да","Нет")," ")</f>
        <v xml:space="preserve"> </v>
      </c>
      <c r="BC193" s="353">
        <f t="shared" ref="BC193:BC227" si="577">IF(AND(BE193&lt;&gt;0,BE193&lt;&gt;" "),AP193,0)</f>
        <v>0</v>
      </c>
      <c r="BD193" s="443" t="str">
        <f t="shared" ref="BD193" si="578">IF(AP193&lt;&gt;" ",IF(OR(AU193&lt;AR193,AU193=AR193),0.8*AW193*AP193/(5*$AX$189*10),0.8*AW193*AP193/($AX$189*10))," ")</f>
        <v xml:space="preserve"> </v>
      </c>
      <c r="BE193" s="353">
        <f t="shared" ref="BE193:BE253" si="579">IF(AP193&lt;&gt;" ",IF(AND(AY193="Нет",AZ193="Нет",BA193="Нет"),0,IF(AY193="Да",BD193,IF(AZ193="Да",BD193,IF(BA193="Да",BD193)))),0)</f>
        <v>0</v>
      </c>
      <c r="BF193" s="232"/>
      <c r="BH193" s="418"/>
      <c r="BI193" s="419"/>
      <c r="BJ193" s="202"/>
      <c r="BK193" s="419"/>
      <c r="BL193" s="213"/>
    </row>
    <row r="194" spans="33:64" ht="15.75" thickBot="1">
      <c r="AG194" s="370"/>
      <c r="AH194" s="370"/>
      <c r="AI194" s="364"/>
      <c r="AJ194" s="425"/>
      <c r="AK194" s="364"/>
      <c r="AL194" s="370"/>
      <c r="AM194" s="459"/>
      <c r="AN194" s="376"/>
      <c r="AO194" s="353"/>
      <c r="AP194" s="353"/>
      <c r="AQ194" s="183" t="str">
        <f>IF(AP193&lt;&gt;" ",MAX($AQ$9:AQ193)+AP193," ")</f>
        <v xml:space="preserve"> </v>
      </c>
      <c r="AR194" s="183" t="str">
        <f>IF(AP193&lt;&gt;" ",MAX($AR$9:AR193)+$AJ$29*AP193," ")</f>
        <v xml:space="preserve"> </v>
      </c>
      <c r="AS194" s="86" t="str">
        <f t="shared" si="572"/>
        <v xml:space="preserve"> </v>
      </c>
      <c r="AT194" s="264" t="str" cm="1">
        <f t="array" ref="AT194">IF(AS194&lt;&gt;" ",Interpol(31,8,Служебный!$H$54:$H$84,Служебный!$I$53:$P$53,Служебный!$I$54:$P$84,'Осадка поля'!$AS194,'Осадка поля'!$B$6)," ")</f>
        <v xml:space="preserve"> </v>
      </c>
      <c r="AU194" s="183" t="str">
        <f t="shared" si="415"/>
        <v xml:space="preserve"> </v>
      </c>
      <c r="AV194" s="183" t="str">
        <f>IF(AP193&lt;&gt;" ",AR194*0.5," ")</f>
        <v xml:space="preserve"> </v>
      </c>
      <c r="AW194" s="353"/>
      <c r="AX194" s="353"/>
      <c r="AY194" s="444"/>
      <c r="AZ194" s="444"/>
      <c r="BA194" s="445"/>
      <c r="BB194" s="444"/>
      <c r="BC194" s="353"/>
      <c r="BD194" s="444"/>
      <c r="BE194" s="353"/>
      <c r="BF194" s="232"/>
      <c r="BH194" s="418"/>
      <c r="BI194" s="419"/>
      <c r="BJ194" s="202"/>
      <c r="BK194" s="419"/>
      <c r="BL194" s="213"/>
    </row>
    <row r="195" spans="33:64">
      <c r="AG195" s="370"/>
      <c r="AH195" s="370"/>
      <c r="AI195" s="364"/>
      <c r="AJ195" s="425"/>
      <c r="AK195" s="364"/>
      <c r="AL195" s="370"/>
      <c r="AM195" s="459"/>
      <c r="AN195" s="376"/>
      <c r="AO195" s="353" t="str">
        <f>IF(AO193=" "," ", IF(AO193&lt;SUM(AN$9:AN$208),AO193+1, " "))</f>
        <v xml:space="preserve"> </v>
      </c>
      <c r="AP195" s="353" t="str">
        <f>IF(AO195&lt;&gt;" ",AM$109/COUNT(AO$109:AO$128), " ")</f>
        <v xml:space="preserve"> </v>
      </c>
      <c r="AQ195" s="183" t="str">
        <f>IF(AP195&lt;&gt;" ",SUM($AP$9:AP193)," ")</f>
        <v xml:space="preserve"> </v>
      </c>
      <c r="AR195" s="183" t="str">
        <f>IF(AP195&lt;&gt;" ",MAX($AR$9:AR194)," ")</f>
        <v xml:space="preserve"> </v>
      </c>
      <c r="AS195" s="86" t="str">
        <f t="shared" si="572"/>
        <v xml:space="preserve"> </v>
      </c>
      <c r="AT195" s="264" t="str" cm="1">
        <f t="array" ref="AT195">IF(AS195&lt;&gt;" ",Interpol(31,8,Служебный!$H$54:$H$84,Служебный!$I$53:$P$53,Служебный!$I$54:$P$84,'Осадка поля'!$AS195,'Осадка поля'!$B$6)," ")</f>
        <v xml:space="preserve"> </v>
      </c>
      <c r="AU195" s="183" t="str">
        <f t="shared" si="415"/>
        <v xml:space="preserve"> </v>
      </c>
      <c r="AV195" s="183" t="str">
        <f>IF(AP195&lt;&gt;" ",AR195*0.5," ")</f>
        <v xml:space="preserve"> </v>
      </c>
      <c r="AW195" s="353" t="str">
        <f>IF(AO195&lt;&gt;" ",(AU195+AU196)/2," ")</f>
        <v xml:space="preserve"> </v>
      </c>
      <c r="AX195" s="353"/>
      <c r="AY195" s="445" t="str">
        <f t="shared" ref="AY195" si="580">IF(AP195&lt;&gt;" ",IF(AQ195&gt;$B$15,"Нет","Да")," ")</f>
        <v xml:space="preserve"> </v>
      </c>
      <c r="AZ195" s="441" t="str">
        <f t="shared" ref="AZ195" si="581">IF(AP195&lt;&gt;" ",IF(AW195&gt;0.5*(AV195+AV196),"Да","Нет")," ")</f>
        <v xml:space="preserve"> </v>
      </c>
      <c r="BA195" s="441" t="str">
        <f t="shared" ref="BA195" si="582">IF(AP195&lt;&gt;" ",IF(OR($AX$189&lt;7,$AX$189=7),"Да","Нет")," ")</f>
        <v xml:space="preserve"> </v>
      </c>
      <c r="BB195" s="441" t="str">
        <f t="shared" ref="BB195" si="583">IF(AP195&lt;&gt;" ",IF(AW195&gt;0.2*0.5*(AR195+AR196),"Да","Нет")," ")</f>
        <v xml:space="preserve"> </v>
      </c>
      <c r="BC195" s="353">
        <f t="shared" ref="BC195:BC229" si="584">IF(AND(BE195&lt;&gt;0,BE195&lt;&gt;" "),AP195,0)</f>
        <v>0</v>
      </c>
      <c r="BD195" s="443" t="str">
        <f t="shared" ref="BD195" si="585">IF(AP195&lt;&gt;" ",IF(OR(AU195&lt;AR195,AU195=AR195),0.8*AW195*AP195/(5*$AX$189*10),0.8*AW195*AP195/($AX$189*10))," ")</f>
        <v xml:space="preserve"> </v>
      </c>
      <c r="BE195" s="353">
        <f t="shared" ref="BE195:BE255" si="586">IF(AP195&lt;&gt;" ",IF(AND(AY195="Нет",AZ195="Нет",BA195="Нет"),0,IF(AY195="Да",BD195,IF(AZ195="Да",BD195,IF(BA195="Да",BD195)))),0)</f>
        <v>0</v>
      </c>
      <c r="BF195" s="232"/>
      <c r="BH195" s="418"/>
      <c r="BI195" s="419"/>
      <c r="BJ195" s="202"/>
      <c r="BK195" s="419"/>
      <c r="BL195" s="213"/>
    </row>
    <row r="196" spans="33:64" ht="15.75" thickBot="1">
      <c r="AG196" s="370"/>
      <c r="AH196" s="370"/>
      <c r="AI196" s="364"/>
      <c r="AJ196" s="425"/>
      <c r="AK196" s="364"/>
      <c r="AL196" s="370"/>
      <c r="AM196" s="459"/>
      <c r="AN196" s="376"/>
      <c r="AO196" s="353"/>
      <c r="AP196" s="353"/>
      <c r="AQ196" s="183" t="str">
        <f>IF(AP195&lt;&gt;" ",MAX($AQ$9:AQ195)+AP195," ")</f>
        <v xml:space="preserve"> </v>
      </c>
      <c r="AR196" s="183" t="str">
        <f>IF(AP195&lt;&gt;" ",MAX($AR$9:AR195)+$AJ$29*AP195," ")</f>
        <v xml:space="preserve"> </v>
      </c>
      <c r="AS196" s="86" t="str">
        <f t="shared" si="572"/>
        <v xml:space="preserve"> </v>
      </c>
      <c r="AT196" s="264" t="str" cm="1">
        <f t="array" ref="AT196">IF(AS196&lt;&gt;" ",Interpol(31,8,Служебный!$H$54:$H$84,Служебный!$I$53:$P$53,Служебный!$I$54:$P$84,'Осадка поля'!$AS196,'Осадка поля'!$B$6)," ")</f>
        <v xml:space="preserve"> </v>
      </c>
      <c r="AU196" s="183" t="str">
        <f t="shared" si="415"/>
        <v xml:space="preserve"> </v>
      </c>
      <c r="AV196" s="183" t="str">
        <f>IF(AP195&lt;&gt;" ",AR196*0.5," ")</f>
        <v xml:space="preserve"> </v>
      </c>
      <c r="AW196" s="353"/>
      <c r="AX196" s="353"/>
      <c r="AY196" s="444"/>
      <c r="AZ196" s="444"/>
      <c r="BA196" s="445"/>
      <c r="BB196" s="444"/>
      <c r="BC196" s="353"/>
      <c r="BD196" s="444"/>
      <c r="BE196" s="353"/>
      <c r="BF196" s="232"/>
      <c r="BH196" s="418"/>
      <c r="BI196" s="419"/>
      <c r="BJ196" s="202"/>
      <c r="BK196" s="419"/>
      <c r="BL196" s="213"/>
    </row>
    <row r="197" spans="33:64">
      <c r="AG197" s="370"/>
      <c r="AH197" s="370"/>
      <c r="AI197" s="364"/>
      <c r="AJ197" s="425"/>
      <c r="AK197" s="364"/>
      <c r="AL197" s="370"/>
      <c r="AM197" s="459"/>
      <c r="AN197" s="376"/>
      <c r="AO197" s="353" t="str">
        <f>IF(AO195=" "," ", IF(AO195&lt;SUM(AN$9:AN$208),AO195+1, " "))</f>
        <v xml:space="preserve"> </v>
      </c>
      <c r="AP197" s="353" t="str">
        <f>IF(AO197&lt;&gt;" ",AM$109/COUNT(AO$109:AO$128), " ")</f>
        <v xml:space="preserve"> </v>
      </c>
      <c r="AQ197" s="183" t="str">
        <f>IF(AP197&lt;&gt;" ",SUM($AP$9:AP195)," ")</f>
        <v xml:space="preserve"> </v>
      </c>
      <c r="AR197" s="183" t="str">
        <f>IF(AP197&lt;&gt;" ",MAX($AR$9:AR196)," ")</f>
        <v xml:space="preserve"> </v>
      </c>
      <c r="AS197" s="86" t="str">
        <f t="shared" si="572"/>
        <v xml:space="preserve"> </v>
      </c>
      <c r="AT197" s="264" t="str" cm="1">
        <f t="array" ref="AT197">IF(AS197&lt;&gt;" ",Interpol(31,8,Служебный!$H$54:$H$84,Служебный!$I$53:$P$53,Служебный!$I$54:$P$84,'Осадка поля'!$AS197,'Осадка поля'!$B$6)," ")</f>
        <v xml:space="preserve"> </v>
      </c>
      <c r="AU197" s="183" t="str">
        <f t="shared" si="415"/>
        <v xml:space="preserve"> </v>
      </c>
      <c r="AV197" s="183" t="str">
        <f>IF(AP197&lt;&gt;" ",AR197*0.5," ")</f>
        <v xml:space="preserve"> </v>
      </c>
      <c r="AW197" s="353" t="str">
        <f>IF(AO197&lt;&gt;" ",(AU197+AU198)/2," ")</f>
        <v xml:space="preserve"> </v>
      </c>
      <c r="AX197" s="353"/>
      <c r="AY197" s="445" t="str">
        <f t="shared" ref="AY197" si="587">IF(AP197&lt;&gt;" ",IF(AQ197&gt;$B$15,"Нет","Да")," ")</f>
        <v xml:space="preserve"> </v>
      </c>
      <c r="AZ197" s="441" t="str">
        <f t="shared" ref="AZ197" si="588">IF(AP197&lt;&gt;" ",IF(AW197&gt;0.5*(AV197+AV198),"Да","Нет")," ")</f>
        <v xml:space="preserve"> </v>
      </c>
      <c r="BA197" s="441" t="str">
        <f t="shared" ref="BA197" si="589">IF(AP197&lt;&gt;" ",IF(OR($AX$189&lt;7,$AX$189=7),"Да","Нет")," ")</f>
        <v xml:space="preserve"> </v>
      </c>
      <c r="BB197" s="441" t="str">
        <f t="shared" ref="BB197" si="590">IF(AP197&lt;&gt;" ",IF(AW197&gt;0.2*0.5*(AR197+AR198),"Да","Нет")," ")</f>
        <v xml:space="preserve"> </v>
      </c>
      <c r="BC197" s="353">
        <f t="shared" ref="BC197:BC231" si="591">IF(AND(BE197&lt;&gt;0,BE197&lt;&gt;" "),AP197,0)</f>
        <v>0</v>
      </c>
      <c r="BD197" s="443" t="str">
        <f t="shared" ref="BD197" si="592">IF(AP197&lt;&gt;" ",IF(OR(AU197&lt;AR197,AU197=AR197),0.8*AW197*AP197/(5*$AX$189*10),0.8*AW197*AP197/($AX$189*10))," ")</f>
        <v xml:space="preserve"> </v>
      </c>
      <c r="BE197" s="353">
        <f t="shared" ref="BE197:BE257" si="593">IF(AP197&lt;&gt;" ",IF(AND(AY197="Нет",AZ197="Нет",BA197="Нет"),0,IF(AY197="Да",BD197,IF(AZ197="Да",BD197,IF(BA197="Да",BD197)))),0)</f>
        <v>0</v>
      </c>
      <c r="BF197" s="232"/>
      <c r="BH197" s="418"/>
      <c r="BI197" s="419"/>
      <c r="BJ197" s="202"/>
      <c r="BK197" s="419"/>
      <c r="BL197" s="213"/>
    </row>
    <row r="198" spans="33:64" ht="15.75" thickBot="1">
      <c r="AG198" s="370"/>
      <c r="AH198" s="370"/>
      <c r="AI198" s="364"/>
      <c r="AJ198" s="425"/>
      <c r="AK198" s="364"/>
      <c r="AL198" s="370"/>
      <c r="AM198" s="459"/>
      <c r="AN198" s="376"/>
      <c r="AO198" s="353"/>
      <c r="AP198" s="353"/>
      <c r="AQ198" s="183" t="str">
        <f>IF(AP197&lt;&gt;" ",MAX($AQ$9:AQ197)+AP197," ")</f>
        <v xml:space="preserve"> </v>
      </c>
      <c r="AR198" s="183" t="str">
        <f>IF(AP197&lt;&gt;" ",MAX($AR$9:AR197)+$AJ$29*AP197," ")</f>
        <v xml:space="preserve"> </v>
      </c>
      <c r="AS198" s="86" t="str">
        <f t="shared" si="572"/>
        <v xml:space="preserve"> </v>
      </c>
      <c r="AT198" s="264" t="str" cm="1">
        <f t="array" ref="AT198">IF(AS198&lt;&gt;" ",Interpol(31,8,Служебный!$H$54:$H$84,Служебный!$I$53:$P$53,Служебный!$I$54:$P$84,'Осадка поля'!$AS198,'Осадка поля'!$B$6)," ")</f>
        <v xml:space="preserve"> </v>
      </c>
      <c r="AU198" s="183" t="str">
        <f t="shared" si="415"/>
        <v xml:space="preserve"> </v>
      </c>
      <c r="AV198" s="183" t="str">
        <f>IF(AP197&lt;&gt;" ",AR198*0.5," ")</f>
        <v xml:space="preserve"> </v>
      </c>
      <c r="AW198" s="353"/>
      <c r="AX198" s="353"/>
      <c r="AY198" s="444"/>
      <c r="AZ198" s="444"/>
      <c r="BA198" s="445"/>
      <c r="BB198" s="444"/>
      <c r="BC198" s="353"/>
      <c r="BD198" s="444"/>
      <c r="BE198" s="353"/>
      <c r="BF198" s="232"/>
      <c r="BH198" s="418"/>
      <c r="BI198" s="419"/>
      <c r="BJ198" s="202"/>
      <c r="BK198" s="419"/>
      <c r="BL198" s="213"/>
    </row>
    <row r="199" spans="33:64">
      <c r="AG199" s="370"/>
      <c r="AH199" s="370"/>
      <c r="AI199" s="364"/>
      <c r="AJ199" s="425"/>
      <c r="AK199" s="364"/>
      <c r="AL199" s="370"/>
      <c r="AM199" s="459"/>
      <c r="AN199" s="376"/>
      <c r="AO199" s="353" t="str">
        <f>IF(AO197=" "," ", IF(AO197&lt;SUM(AN$9:AN$208),AO197+1, " "))</f>
        <v xml:space="preserve"> </v>
      </c>
      <c r="AP199" s="353" t="str">
        <f>IF(AO199&lt;&gt;" ",AM$109/COUNT(AO$109:AO$128), " ")</f>
        <v xml:space="preserve"> </v>
      </c>
      <c r="AQ199" s="183" t="str">
        <f>IF(AP199&lt;&gt;" ",SUM($AP$9:AP197)," ")</f>
        <v xml:space="preserve"> </v>
      </c>
      <c r="AR199" s="183" t="str">
        <f>IF(AP199&lt;&gt;" ",MAX($AR$9:AR198)," ")</f>
        <v xml:space="preserve"> </v>
      </c>
      <c r="AS199" s="86" t="str">
        <f t="shared" si="572"/>
        <v xml:space="preserve"> </v>
      </c>
      <c r="AT199" s="264" t="str" cm="1">
        <f t="array" ref="AT199">IF(AS199&lt;&gt;" ",Interpol(31,8,Служебный!$H$54:$H$84,Служебный!$I$53:$P$53,Служебный!$I$54:$P$84,'Осадка поля'!$AS199,'Осадка поля'!$B$6)," ")</f>
        <v xml:space="preserve"> </v>
      </c>
      <c r="AU199" s="183" t="str">
        <f t="shared" si="415"/>
        <v xml:space="preserve"> </v>
      </c>
      <c r="AV199" s="183" t="str">
        <f>IF(AP199&lt;&gt;" ",AR199*0.5," ")</f>
        <v xml:space="preserve"> </v>
      </c>
      <c r="AW199" s="353" t="str">
        <f>IF(AO199&lt;&gt;" ",(AU199+AU200)/2," ")</f>
        <v xml:space="preserve"> </v>
      </c>
      <c r="AX199" s="353"/>
      <c r="AY199" s="445" t="str">
        <f t="shared" ref="AY199" si="594">IF(AP199&lt;&gt;" ",IF(AQ199&gt;$B$15,"Нет","Да")," ")</f>
        <v xml:space="preserve"> </v>
      </c>
      <c r="AZ199" s="441" t="str">
        <f t="shared" ref="AZ199" si="595">IF(AP199&lt;&gt;" ",IF(AW199&gt;0.5*(AV199+AV200),"Да","Нет")," ")</f>
        <v xml:space="preserve"> </v>
      </c>
      <c r="BA199" s="441" t="str">
        <f t="shared" ref="BA199" si="596">IF(AP199&lt;&gt;" ",IF(OR($AX$189&lt;7,$AX$189=7),"Да","Нет")," ")</f>
        <v xml:space="preserve"> </v>
      </c>
      <c r="BB199" s="441" t="str">
        <f t="shared" ref="BB199" si="597">IF(AP199&lt;&gt;" ",IF(AW199&gt;0.2*0.5*(AR199+AR200),"Да","Нет")," ")</f>
        <v xml:space="preserve"> </v>
      </c>
      <c r="BC199" s="353">
        <f t="shared" ref="BC199:BC233" si="598">IF(AND(BE199&lt;&gt;0,BE199&lt;&gt;" "),AP199,0)</f>
        <v>0</v>
      </c>
      <c r="BD199" s="443" t="str">
        <f t="shared" ref="BD199" si="599">IF(AP199&lt;&gt;" ",IF(OR(AU199&lt;AR199,AU199=AR199),0.8*AW199*AP199/(5*$AX$189*10),0.8*AW199*AP199/($AX$189*10))," ")</f>
        <v xml:space="preserve"> </v>
      </c>
      <c r="BE199" s="353">
        <f t="shared" ref="BE199:BE259" si="600">IF(AP199&lt;&gt;" ",IF(AND(AY199="Нет",AZ199="Нет",BA199="Нет"),0,IF(AY199="Да",BD199,IF(AZ199="Да",BD199,IF(BA199="Да",BD199)))),0)</f>
        <v>0</v>
      </c>
      <c r="BF199" s="232"/>
      <c r="BH199" s="418"/>
      <c r="BI199" s="419"/>
      <c r="BJ199" s="202"/>
      <c r="BK199" s="419"/>
      <c r="BL199" s="213"/>
    </row>
    <row r="200" spans="33:64" ht="15.75" thickBot="1">
      <c r="AG200" s="370"/>
      <c r="AH200" s="370"/>
      <c r="AI200" s="364"/>
      <c r="AJ200" s="425"/>
      <c r="AK200" s="364"/>
      <c r="AL200" s="370"/>
      <c r="AM200" s="459"/>
      <c r="AN200" s="376"/>
      <c r="AO200" s="353"/>
      <c r="AP200" s="353"/>
      <c r="AQ200" s="183" t="str">
        <f>IF(AP199&lt;&gt;" ",MAX($AQ$9:AQ199)+AP199," ")</f>
        <v xml:space="preserve"> </v>
      </c>
      <c r="AR200" s="183" t="str">
        <f>IF(AP199&lt;&gt;" ",MAX($AR$9:AR199)+$AJ$29*AP199," ")</f>
        <v xml:space="preserve"> </v>
      </c>
      <c r="AS200" s="86" t="str">
        <f t="shared" si="572"/>
        <v xml:space="preserve"> </v>
      </c>
      <c r="AT200" s="264" t="str" cm="1">
        <f t="array" ref="AT200">IF(AS200&lt;&gt;" ",Interpol(31,8,Служебный!$H$54:$H$84,Служебный!$I$53:$P$53,Служебный!$I$54:$P$84,'Осадка поля'!$AS200,'Осадка поля'!$B$6)," ")</f>
        <v xml:space="preserve"> </v>
      </c>
      <c r="AU200" s="183" t="str">
        <f t="shared" si="415"/>
        <v xml:space="preserve"> </v>
      </c>
      <c r="AV200" s="183" t="str">
        <f>IF(AP199&lt;&gt;" ",AR200*0.5," ")</f>
        <v xml:space="preserve"> </v>
      </c>
      <c r="AW200" s="353"/>
      <c r="AX200" s="353"/>
      <c r="AY200" s="444"/>
      <c r="AZ200" s="444"/>
      <c r="BA200" s="445"/>
      <c r="BB200" s="444"/>
      <c r="BC200" s="353"/>
      <c r="BD200" s="444"/>
      <c r="BE200" s="353"/>
      <c r="BF200" s="232"/>
      <c r="BH200" s="418"/>
      <c r="BI200" s="419"/>
      <c r="BJ200" s="202"/>
      <c r="BK200" s="419"/>
      <c r="BL200" s="213"/>
    </row>
    <row r="201" spans="33:64">
      <c r="AG201" s="370"/>
      <c r="AH201" s="370"/>
      <c r="AI201" s="364"/>
      <c r="AJ201" s="425"/>
      <c r="AK201" s="364"/>
      <c r="AL201" s="370"/>
      <c r="AM201" s="459"/>
      <c r="AN201" s="376"/>
      <c r="AO201" s="353" t="str">
        <f>IF(AO199=" "," ", IF(AO199&lt;SUM(AN$9:AN$208),AO199+1, " "))</f>
        <v xml:space="preserve"> </v>
      </c>
      <c r="AP201" s="353" t="str">
        <f>IF(AO201&lt;&gt;" ",AM$109/COUNT(AO$109:AO$128), " ")</f>
        <v xml:space="preserve"> </v>
      </c>
      <c r="AQ201" s="183" t="str">
        <f>IF(AP201&lt;&gt;" ",SUM($AP$9:AP199)," ")</f>
        <v xml:space="preserve"> </v>
      </c>
      <c r="AR201" s="183" t="str">
        <f>IF(AP201&lt;&gt;" ",MAX($AR$9:AR200)," ")</f>
        <v xml:space="preserve"> </v>
      </c>
      <c r="AS201" s="86" t="str">
        <f t="shared" si="572"/>
        <v xml:space="preserve"> </v>
      </c>
      <c r="AT201" s="264" t="str" cm="1">
        <f t="array" ref="AT201">IF(AS201&lt;&gt;" ",Interpol(31,8,Служебный!$H$54:$H$84,Служебный!$I$53:$P$53,Служебный!$I$54:$P$84,'Осадка поля'!$AS201,'Осадка поля'!$B$6)," ")</f>
        <v xml:space="preserve"> </v>
      </c>
      <c r="AU201" s="183" t="str">
        <f t="shared" ref="AU201:AU264" si="601">IF(AS201&lt;&gt;" ",$B$11*AT201," ")</f>
        <v xml:space="preserve"> </v>
      </c>
      <c r="AV201" s="183" t="str">
        <f>IF(AP201&lt;&gt;" ",AR201*0.5," ")</f>
        <v xml:space="preserve"> </v>
      </c>
      <c r="AW201" s="353" t="str">
        <f>IF(AO201&lt;&gt;" ",(AU201+AU202)/2," ")</f>
        <v xml:space="preserve"> </v>
      </c>
      <c r="AX201" s="353"/>
      <c r="AY201" s="445" t="str">
        <f t="shared" ref="AY201" si="602">IF(AP201&lt;&gt;" ",IF(AQ201&gt;$B$15,"Нет","Да")," ")</f>
        <v xml:space="preserve"> </v>
      </c>
      <c r="AZ201" s="441" t="str">
        <f t="shared" ref="AZ201" si="603">IF(AP201&lt;&gt;" ",IF(AW201&gt;0.5*(AV201+AV202),"Да","Нет")," ")</f>
        <v xml:space="preserve"> </v>
      </c>
      <c r="BA201" s="441" t="str">
        <f t="shared" ref="BA201" si="604">IF(AP201&lt;&gt;" ",IF(OR($AX$189&lt;7,$AX$189=7),"Да","Нет")," ")</f>
        <v xml:space="preserve"> </v>
      </c>
      <c r="BB201" s="441" t="str">
        <f t="shared" ref="BB201" si="605">IF(AP201&lt;&gt;" ",IF(AW201&gt;0.2*0.5*(AR201+AR202),"Да","Нет")," ")</f>
        <v xml:space="preserve"> </v>
      </c>
      <c r="BC201" s="353">
        <f t="shared" ref="BC201:BC235" si="606">IF(AND(BE201&lt;&gt;0,BE201&lt;&gt;" "),AP201,0)</f>
        <v>0</v>
      </c>
      <c r="BD201" s="443" t="str">
        <f t="shared" ref="BD201" si="607">IF(AP201&lt;&gt;" ",IF(OR(AU201&lt;AR201,AU201=AR201),0.8*AW201*AP201/(5*$AX$189*10),0.8*AW201*AP201/($AX$189*10))," ")</f>
        <v xml:space="preserve"> </v>
      </c>
      <c r="BE201" s="353">
        <f t="shared" ref="BE201:BE261" si="608">IF(AP201&lt;&gt;" ",IF(AND(AY201="Нет",AZ201="Нет",BA201="Нет"),0,IF(AY201="Да",BD201,IF(AZ201="Да",BD201,IF(BA201="Да",BD201)))),0)</f>
        <v>0</v>
      </c>
      <c r="BF201" s="232"/>
      <c r="BH201" s="418"/>
      <c r="BI201" s="419"/>
      <c r="BJ201" s="202"/>
      <c r="BK201" s="419"/>
      <c r="BL201" s="213"/>
    </row>
    <row r="202" spans="33:64" ht="15.75" thickBot="1">
      <c r="AG202" s="370"/>
      <c r="AH202" s="370"/>
      <c r="AI202" s="364"/>
      <c r="AJ202" s="425"/>
      <c r="AK202" s="364"/>
      <c r="AL202" s="370"/>
      <c r="AM202" s="459"/>
      <c r="AN202" s="376"/>
      <c r="AO202" s="353"/>
      <c r="AP202" s="353"/>
      <c r="AQ202" s="183" t="str">
        <f>IF(AP201&lt;&gt;" ",MAX($AQ$9:AQ201)+AP201," ")</f>
        <v xml:space="preserve"> </v>
      </c>
      <c r="AR202" s="183" t="str">
        <f>IF(AP201&lt;&gt;" ",MAX($AR$9:AR201)+$AJ$29*AP201," ")</f>
        <v xml:space="preserve"> </v>
      </c>
      <c r="AS202" s="86" t="str">
        <f t="shared" si="572"/>
        <v xml:space="preserve"> </v>
      </c>
      <c r="AT202" s="264" t="str" cm="1">
        <f t="array" ref="AT202">IF(AS202&lt;&gt;" ",Interpol(31,8,Служебный!$H$54:$H$84,Служебный!$I$53:$P$53,Служебный!$I$54:$P$84,'Осадка поля'!$AS202,'Осадка поля'!$B$6)," ")</f>
        <v xml:space="preserve"> </v>
      </c>
      <c r="AU202" s="183" t="str">
        <f t="shared" si="601"/>
        <v xml:space="preserve"> </v>
      </c>
      <c r="AV202" s="183" t="str">
        <f>IF(AP201&lt;&gt;" ",AR202*0.5," ")</f>
        <v xml:space="preserve"> </v>
      </c>
      <c r="AW202" s="353"/>
      <c r="AX202" s="353"/>
      <c r="AY202" s="444"/>
      <c r="AZ202" s="444"/>
      <c r="BA202" s="445"/>
      <c r="BB202" s="444"/>
      <c r="BC202" s="353"/>
      <c r="BD202" s="444"/>
      <c r="BE202" s="353"/>
      <c r="BF202" s="232"/>
      <c r="BH202" s="418"/>
      <c r="BI202" s="419"/>
      <c r="BJ202" s="202"/>
      <c r="BK202" s="419"/>
      <c r="BL202" s="213"/>
    </row>
    <row r="203" spans="33:64">
      <c r="AG203" s="370"/>
      <c r="AH203" s="370"/>
      <c r="AI203" s="364"/>
      <c r="AJ203" s="425"/>
      <c r="AK203" s="364"/>
      <c r="AL203" s="370"/>
      <c r="AM203" s="459"/>
      <c r="AN203" s="376"/>
      <c r="AO203" s="353" t="str">
        <f>IF(AO201=" "," ", IF(AO201&lt;SUM(AN$9:AN$208),AO201+1, " "))</f>
        <v xml:space="preserve"> </v>
      </c>
      <c r="AP203" s="353" t="str">
        <f>IF(AO203&lt;&gt;" ",AM$109/COUNT(AO$109:AO$128), " ")</f>
        <v xml:space="preserve"> </v>
      </c>
      <c r="AQ203" s="183" t="str">
        <f>IF(AP203&lt;&gt;" ",SUM($AP$9:AP201)," ")</f>
        <v xml:space="preserve"> </v>
      </c>
      <c r="AR203" s="183" t="str">
        <f>IF(AP203&lt;&gt;" ",MAX($AR$9:AR202)," ")</f>
        <v xml:space="preserve"> </v>
      </c>
      <c r="AS203" s="86" t="str">
        <f t="shared" si="572"/>
        <v xml:space="preserve"> </v>
      </c>
      <c r="AT203" s="264" t="str" cm="1">
        <f t="array" ref="AT203">IF(AS203&lt;&gt;" ",Interpol(31,8,Служебный!$H$54:$H$84,Служебный!$I$53:$P$53,Служебный!$I$54:$P$84,'Осадка поля'!$AS203,'Осадка поля'!$B$6)," ")</f>
        <v xml:space="preserve"> </v>
      </c>
      <c r="AU203" s="183" t="str">
        <f t="shared" si="601"/>
        <v xml:space="preserve"> </v>
      </c>
      <c r="AV203" s="183" t="str">
        <f>IF(AP203&lt;&gt;" ",AR203*0.5," ")</f>
        <v xml:space="preserve"> </v>
      </c>
      <c r="AW203" s="353" t="str">
        <f>IF(AO203&lt;&gt;" ",(AU203+AU204)/2," ")</f>
        <v xml:space="preserve"> </v>
      </c>
      <c r="AX203" s="353"/>
      <c r="AY203" s="445" t="str">
        <f t="shared" ref="AY203" si="609">IF(AP203&lt;&gt;" ",IF(AQ203&gt;$B$15,"Нет","Да")," ")</f>
        <v xml:space="preserve"> </v>
      </c>
      <c r="AZ203" s="441" t="str">
        <f t="shared" ref="AZ203" si="610">IF(AP203&lt;&gt;" ",IF(AW203&gt;0.5*(AV203+AV204),"Да","Нет")," ")</f>
        <v xml:space="preserve"> </v>
      </c>
      <c r="BA203" s="441" t="str">
        <f t="shared" ref="BA203" si="611">IF(AP203&lt;&gt;" ",IF(OR($AX$189&lt;7,$AX$189=7),"Да","Нет")," ")</f>
        <v xml:space="preserve"> </v>
      </c>
      <c r="BB203" s="441" t="str">
        <f t="shared" ref="BB203" si="612">IF(AP203&lt;&gt;" ",IF(AW203&gt;0.2*0.5*(AR203+AR204),"Да","Нет")," ")</f>
        <v xml:space="preserve"> </v>
      </c>
      <c r="BC203" s="353">
        <f t="shared" ref="BC203:BC237" si="613">IF(AND(BE203&lt;&gt;0,BE203&lt;&gt;" "),AP203,0)</f>
        <v>0</v>
      </c>
      <c r="BD203" s="443" t="str">
        <f t="shared" ref="BD203" si="614">IF(AP203&lt;&gt;" ",IF(OR(AU203&lt;AR203,AU203=AR203),0.8*AW203*AP203/(5*$AX$189*10),0.8*AW203*AP203/($AX$189*10))," ")</f>
        <v xml:space="preserve"> </v>
      </c>
      <c r="BE203" s="353">
        <f t="shared" ref="BE203:BE263" si="615">IF(AP203&lt;&gt;" ",IF(AND(AY203="Нет",AZ203="Нет",BA203="Нет"),0,IF(AY203="Да",BD203,IF(AZ203="Да",BD203,IF(BA203="Да",BD203)))),0)</f>
        <v>0</v>
      </c>
      <c r="BF203" s="232"/>
      <c r="BH203" s="418"/>
      <c r="BI203" s="419"/>
      <c r="BJ203" s="202"/>
      <c r="BK203" s="419"/>
      <c r="BL203" s="213"/>
    </row>
    <row r="204" spans="33:64" ht="15.75" thickBot="1">
      <c r="AG204" s="370"/>
      <c r="AH204" s="370"/>
      <c r="AI204" s="364"/>
      <c r="AJ204" s="425"/>
      <c r="AK204" s="364"/>
      <c r="AL204" s="370"/>
      <c r="AM204" s="459"/>
      <c r="AN204" s="376"/>
      <c r="AO204" s="353"/>
      <c r="AP204" s="353"/>
      <c r="AQ204" s="183" t="str">
        <f>IF(AP203&lt;&gt;" ",MAX($AQ$9:AQ203)+AP203," ")</f>
        <v xml:space="preserve"> </v>
      </c>
      <c r="AR204" s="183" t="str">
        <f>IF(AP203&lt;&gt;" ",MAX($AR$9:AR203)+$AJ$29*AP203," ")</f>
        <v xml:space="preserve"> </v>
      </c>
      <c r="AS204" s="86" t="str">
        <f t="shared" si="572"/>
        <v xml:space="preserve"> </v>
      </c>
      <c r="AT204" s="264" t="str" cm="1">
        <f t="array" ref="AT204">IF(AS204&lt;&gt;" ",Interpol(31,8,Служебный!$H$54:$H$84,Служебный!$I$53:$P$53,Служебный!$I$54:$P$84,'Осадка поля'!$AS204,'Осадка поля'!$B$6)," ")</f>
        <v xml:space="preserve"> </v>
      </c>
      <c r="AU204" s="183" t="str">
        <f t="shared" si="601"/>
        <v xml:space="preserve"> </v>
      </c>
      <c r="AV204" s="183" t="str">
        <f>IF(AP203&lt;&gt;" ",AR204*0.5," ")</f>
        <v xml:space="preserve"> </v>
      </c>
      <c r="AW204" s="353"/>
      <c r="AX204" s="353"/>
      <c r="AY204" s="444"/>
      <c r="AZ204" s="444"/>
      <c r="BA204" s="445"/>
      <c r="BB204" s="444"/>
      <c r="BC204" s="353"/>
      <c r="BD204" s="444"/>
      <c r="BE204" s="353"/>
      <c r="BF204" s="232"/>
      <c r="BH204" s="418"/>
      <c r="BI204" s="419"/>
      <c r="BJ204" s="202"/>
      <c r="BK204" s="419"/>
      <c r="BL204" s="213"/>
    </row>
    <row r="205" spans="33:64">
      <c r="AG205" s="370"/>
      <c r="AH205" s="370"/>
      <c r="AI205" s="364"/>
      <c r="AJ205" s="425"/>
      <c r="AK205" s="364"/>
      <c r="AL205" s="370"/>
      <c r="AM205" s="459"/>
      <c r="AN205" s="376"/>
      <c r="AO205" s="353" t="str">
        <f>IF(AO203=" "," ", IF(AO203&lt;SUM(AN$9:AN$208),AO203+1, " "))</f>
        <v xml:space="preserve"> </v>
      </c>
      <c r="AP205" s="353" t="str">
        <f>IF(AO205&lt;&gt;" ",AM$109/COUNT(AO$109:AO$128), " ")</f>
        <v xml:space="preserve"> </v>
      </c>
      <c r="AQ205" s="183" t="str">
        <f>IF(AP205&lt;&gt;" ",SUM($AP$9:AP203)," ")</f>
        <v xml:space="preserve"> </v>
      </c>
      <c r="AR205" s="183" t="str">
        <f>IF(AP205&lt;&gt;" ",MAX($AR$9:AR204)," ")</f>
        <v xml:space="preserve"> </v>
      </c>
      <c r="AS205" s="86" t="str">
        <f t="shared" si="572"/>
        <v xml:space="preserve"> </v>
      </c>
      <c r="AT205" s="264" t="str" cm="1">
        <f t="array" ref="AT205">IF(AS205&lt;&gt;" ",Interpol(31,8,Служебный!$H$54:$H$84,Служебный!$I$53:$P$53,Служебный!$I$54:$P$84,'Осадка поля'!$AS205,'Осадка поля'!$B$6)," ")</f>
        <v xml:space="preserve"> </v>
      </c>
      <c r="AU205" s="183" t="str">
        <f t="shared" si="601"/>
        <v xml:space="preserve"> </v>
      </c>
      <c r="AV205" s="183" t="str">
        <f>IF(AP205&lt;&gt;" ",AR205*0.5," ")</f>
        <v xml:space="preserve"> </v>
      </c>
      <c r="AW205" s="353" t="str">
        <f>IF(AO205&lt;&gt;" ",(AU205+AU206)/2," ")</f>
        <v xml:space="preserve"> </v>
      </c>
      <c r="AX205" s="353"/>
      <c r="AY205" s="445" t="str">
        <f t="shared" ref="AY205" si="616">IF(AP205&lt;&gt;" ",IF(AQ205&gt;$B$15,"Нет","Да")," ")</f>
        <v xml:space="preserve"> </v>
      </c>
      <c r="AZ205" s="441" t="str">
        <f t="shared" ref="AZ205" si="617">IF(AP205&lt;&gt;" ",IF(AW205&gt;0.5*(AV205+AV206),"Да","Нет")," ")</f>
        <v xml:space="preserve"> </v>
      </c>
      <c r="BA205" s="441" t="str">
        <f t="shared" ref="BA205" si="618">IF(AP205&lt;&gt;" ",IF(OR($AX$189&lt;7,$AX$189=7),"Да","Нет")," ")</f>
        <v xml:space="preserve"> </v>
      </c>
      <c r="BB205" s="441" t="str">
        <f t="shared" ref="BB205" si="619">IF(AP205&lt;&gt;" ",IF(AW205&gt;0.2*0.5*(AR205+AR206),"Да","Нет")," ")</f>
        <v xml:space="preserve"> </v>
      </c>
      <c r="BC205" s="353">
        <f t="shared" ref="BC205:BC239" si="620">IF(AND(BE205&lt;&gt;0,BE205&lt;&gt;" "),AP205,0)</f>
        <v>0</v>
      </c>
      <c r="BD205" s="443" t="str">
        <f t="shared" ref="BD205" si="621">IF(AP205&lt;&gt;" ",IF(OR(AU205&lt;AR205,AU205=AR205),0.8*AW205*AP205/(5*$AX$189*10),0.8*AW205*AP205/($AX$189*10))," ")</f>
        <v xml:space="preserve"> </v>
      </c>
      <c r="BE205" s="353">
        <f t="shared" ref="BE205:BE265" si="622">IF(AP205&lt;&gt;" ",IF(AND(AY205="Нет",AZ205="Нет",BA205="Нет"),0,IF(AY205="Да",BD205,IF(AZ205="Да",BD205,IF(BA205="Да",BD205)))),0)</f>
        <v>0</v>
      </c>
      <c r="BF205" s="232"/>
      <c r="BH205" s="418"/>
      <c r="BI205" s="419"/>
      <c r="BJ205" s="202"/>
      <c r="BK205" s="419"/>
      <c r="BL205" s="213"/>
    </row>
    <row r="206" spans="33:64" ht="15.75" thickBot="1">
      <c r="AG206" s="370"/>
      <c r="AH206" s="370"/>
      <c r="AI206" s="364"/>
      <c r="AJ206" s="425"/>
      <c r="AK206" s="364"/>
      <c r="AL206" s="370"/>
      <c r="AM206" s="459"/>
      <c r="AN206" s="376"/>
      <c r="AO206" s="353"/>
      <c r="AP206" s="353"/>
      <c r="AQ206" s="183" t="str">
        <f>IF(AP205&lt;&gt;" ",MAX($AQ$9:AQ205)+AP205," ")</f>
        <v xml:space="preserve"> </v>
      </c>
      <c r="AR206" s="183" t="str">
        <f>IF(AP205&lt;&gt;" ",MAX($AR$9:AR205)+$AJ$29*AP205," ")</f>
        <v xml:space="preserve"> </v>
      </c>
      <c r="AS206" s="86" t="str">
        <f t="shared" si="572"/>
        <v xml:space="preserve"> </v>
      </c>
      <c r="AT206" s="264" t="str" cm="1">
        <f t="array" ref="AT206">IF(AS206&lt;&gt;" ",Interpol(31,8,Служебный!$H$54:$H$84,Служебный!$I$53:$P$53,Служебный!$I$54:$P$84,'Осадка поля'!$AS206,'Осадка поля'!$B$6)," ")</f>
        <v xml:space="preserve"> </v>
      </c>
      <c r="AU206" s="183" t="str">
        <f t="shared" si="601"/>
        <v xml:space="preserve"> </v>
      </c>
      <c r="AV206" s="183" t="str">
        <f>IF(AP205&lt;&gt;" ",AR206*0.5," ")</f>
        <v xml:space="preserve"> </v>
      </c>
      <c r="AW206" s="353"/>
      <c r="AX206" s="353"/>
      <c r="AY206" s="444"/>
      <c r="AZ206" s="444"/>
      <c r="BA206" s="445"/>
      <c r="BB206" s="444"/>
      <c r="BC206" s="353"/>
      <c r="BD206" s="444"/>
      <c r="BE206" s="353"/>
      <c r="BF206" s="232"/>
      <c r="BH206" s="418"/>
      <c r="BI206" s="419"/>
      <c r="BJ206" s="202"/>
      <c r="BK206" s="419"/>
      <c r="BL206" s="213"/>
    </row>
    <row r="207" spans="33:64">
      <c r="AG207" s="370"/>
      <c r="AH207" s="370"/>
      <c r="AI207" s="364"/>
      <c r="AJ207" s="425"/>
      <c r="AK207" s="364"/>
      <c r="AL207" s="370"/>
      <c r="AM207" s="459"/>
      <c r="AN207" s="376"/>
      <c r="AO207" s="353" t="str">
        <f>IF(AO205=" "," ", IF(AO205&lt;SUM(AN$9:AN$208),AO205+1, " "))</f>
        <v xml:space="preserve"> </v>
      </c>
      <c r="AP207" s="353" t="str">
        <f>IF(AO207&lt;&gt;" ",AM$109/COUNT(AO$109:AO$128), " ")</f>
        <v xml:space="preserve"> </v>
      </c>
      <c r="AQ207" s="183" t="str">
        <f>IF(AP207&lt;&gt;" ",SUM($AP$9:AP205)," ")</f>
        <v xml:space="preserve"> </v>
      </c>
      <c r="AR207" s="183" t="str">
        <f>IF(AP207&lt;&gt;" ",MAX($AR$9:AR206)," ")</f>
        <v xml:space="preserve"> </v>
      </c>
      <c r="AS207" s="86" t="str">
        <f t="shared" si="572"/>
        <v xml:space="preserve"> </v>
      </c>
      <c r="AT207" s="264" t="str" cm="1">
        <f t="array" ref="AT207">IF(AS207&lt;&gt;" ",Interpol(31,8,Служебный!$H$54:$H$84,Служебный!$I$53:$P$53,Служебный!$I$54:$P$84,'Осадка поля'!$AS207,'Осадка поля'!$B$6)," ")</f>
        <v xml:space="preserve"> </v>
      </c>
      <c r="AU207" s="183" t="str">
        <f t="shared" si="601"/>
        <v xml:space="preserve"> </v>
      </c>
      <c r="AV207" s="183" t="str">
        <f>IF(AP207&lt;&gt;" ",AR207*0.5," ")</f>
        <v xml:space="preserve"> </v>
      </c>
      <c r="AW207" s="353" t="str">
        <f>IF(AO207&lt;&gt;" ",(AU207+AU208)/2," ")</f>
        <v xml:space="preserve"> </v>
      </c>
      <c r="AX207" s="353"/>
      <c r="AY207" s="445" t="str">
        <f t="shared" ref="AY207" si="623">IF(AP207&lt;&gt;" ",IF(AQ207&gt;$B$15,"Нет","Да")," ")</f>
        <v xml:space="preserve"> </v>
      </c>
      <c r="AZ207" s="441" t="str">
        <f t="shared" ref="AZ207" si="624">IF(AP207&lt;&gt;" ",IF(AW207&gt;0.5*(AV207+AV208),"Да","Нет")," ")</f>
        <v xml:space="preserve"> </v>
      </c>
      <c r="BA207" s="441" t="str">
        <f t="shared" ref="BA207" si="625">IF(AP207&lt;&gt;" ",IF(OR($AX$189&lt;7,$AX$189=7),"Да","Нет")," ")</f>
        <v xml:space="preserve"> </v>
      </c>
      <c r="BB207" s="441" t="str">
        <f t="shared" ref="BB207" si="626">IF(AP207&lt;&gt;" ",IF(AW207&gt;0.2*0.5*(AR207+AR208),"Да","Нет")," ")</f>
        <v xml:space="preserve"> </v>
      </c>
      <c r="BC207" s="353">
        <f t="shared" ref="BC207:BC241" si="627">IF(AND(BE207&lt;&gt;0,BE207&lt;&gt;" "),AP207,0)</f>
        <v>0</v>
      </c>
      <c r="BD207" s="443" t="str">
        <f t="shared" ref="BD207" si="628">IF(AP207&lt;&gt;" ",IF(OR(AU207&lt;AR207,AU207=AR207),0.8*AW207*AP207/(5*$AX$189*10),0.8*AW207*AP207/($AX$189*10))," ")</f>
        <v xml:space="preserve"> </v>
      </c>
      <c r="BE207" s="353">
        <f t="shared" ref="BE207:BE267" si="629">IF(AP207&lt;&gt;" ",IF(AND(AY207="Нет",AZ207="Нет",BA207="Нет"),0,IF(AY207="Да",BD207,IF(AZ207="Да",BD207,IF(BA207="Да",BD207)))),0)</f>
        <v>0</v>
      </c>
      <c r="BF207" s="232"/>
      <c r="BH207" s="418"/>
      <c r="BI207" s="419"/>
      <c r="BJ207" s="202"/>
      <c r="BK207" s="419"/>
      <c r="BL207" s="213"/>
    </row>
    <row r="208" spans="33:64" ht="15.75" thickBot="1">
      <c r="AG208" s="370"/>
      <c r="AH208" s="370"/>
      <c r="AI208" s="364"/>
      <c r="AJ208" s="425"/>
      <c r="AK208" s="364"/>
      <c r="AL208" s="370"/>
      <c r="AM208" s="459"/>
      <c r="AN208" s="376"/>
      <c r="AO208" s="353"/>
      <c r="AP208" s="353"/>
      <c r="AQ208" s="183" t="str">
        <f>IF(AP207&lt;&gt;" ",MAX($AQ$9:AQ207)+AP207," ")</f>
        <v xml:space="preserve"> </v>
      </c>
      <c r="AR208" s="183" t="str">
        <f>IF(AP207&lt;&gt;" ",MAX($AR$9:AR207)+$AJ$29*AP207," ")</f>
        <v xml:space="preserve"> </v>
      </c>
      <c r="AS208" s="86" t="str">
        <f t="shared" si="572"/>
        <v xml:space="preserve"> </v>
      </c>
      <c r="AT208" s="264" t="str" cm="1">
        <f t="array" ref="AT208">IF(AS208&lt;&gt;" ",Interpol(31,8,Служебный!$H$54:$H$84,Служебный!$I$53:$P$53,Служебный!$I$54:$P$84,'Осадка поля'!$AS208,'Осадка поля'!$B$6)," ")</f>
        <v xml:space="preserve"> </v>
      </c>
      <c r="AU208" s="183" t="str">
        <f t="shared" si="601"/>
        <v xml:space="preserve"> </v>
      </c>
      <c r="AV208" s="183" t="str">
        <f>IF(AP207&lt;&gt;" ",AR208*0.5," ")</f>
        <v xml:space="preserve"> </v>
      </c>
      <c r="AW208" s="353"/>
      <c r="AX208" s="353"/>
      <c r="AY208" s="444"/>
      <c r="AZ208" s="444"/>
      <c r="BA208" s="445"/>
      <c r="BB208" s="444"/>
      <c r="BC208" s="353"/>
      <c r="BD208" s="444"/>
      <c r="BE208" s="353"/>
      <c r="BF208" s="232"/>
      <c r="BH208" s="458"/>
      <c r="BI208" s="457"/>
      <c r="BJ208" s="203"/>
      <c r="BK208" s="457"/>
      <c r="BL208" s="214"/>
    </row>
    <row r="209" spans="33:64">
      <c r="AG209" s="370">
        <f t="shared" ref="AG209:AG269" si="630">AG189+1</f>
        <v>20</v>
      </c>
      <c r="AH209" s="390">
        <f>IF(AG209&gt;20,0,VLOOKUP(AG209,Скважина!$E$8:$K$27,2,FALSE))</f>
        <v>0</v>
      </c>
      <c r="AI209" s="388">
        <f>IF(OR(AH209=0,AG209&gt;20),0,VLOOKUP(AH209,Геология!$D$7:$BO$993,7,FALSE))</f>
        <v>0</v>
      </c>
      <c r="AJ209" s="425" t="e">
        <f>VLOOKUP(AH209,Геология!$D$7:$BO$993,23,FALSE)</f>
        <v>#N/A</v>
      </c>
      <c r="AK209" s="364">
        <f t="shared" ref="AK209" si="631">IF(AM189&lt;&gt;0,AL189,AK189)</f>
        <v>111.73</v>
      </c>
      <c r="AL209" s="390">
        <f>VLOOKUP(AG209,Скважина!$E$8:$K$27,5,FALSE)</f>
        <v>-5.27</v>
      </c>
      <c r="AM209" s="459">
        <f t="shared" ref="AM209" si="632">IF(IF(AH209&lt;&gt;0,AK209-AL209,0)&lt;0,0,IF(AH209&lt;&gt;0,AK209-AL209,0))</f>
        <v>0</v>
      </c>
      <c r="AN209" s="376"/>
      <c r="AO209" s="353" t="str">
        <f>IF(AN209&lt;&gt;0,MAX(AO$9:AO$208)+1," ")</f>
        <v xml:space="preserve"> </v>
      </c>
      <c r="AP209" s="353" t="str">
        <f>IF(AO209&lt;&gt;" ",AM$109/COUNT(AO$109:AO$128), " ")</f>
        <v xml:space="preserve"> </v>
      </c>
      <c r="AQ209" s="183" t="str">
        <f>IF(AP209&lt;&gt;" ",SUM($AP$9:AP207)," ")</f>
        <v xml:space="preserve"> </v>
      </c>
      <c r="AR209" s="183" t="str">
        <f>IF(AP209&lt;&gt;" ",MAX($AR$9:AR208)," ")</f>
        <v xml:space="preserve"> </v>
      </c>
      <c r="AS209" s="86" t="str">
        <f t="shared" si="572"/>
        <v xml:space="preserve"> </v>
      </c>
      <c r="AT209" s="264" t="str" cm="1">
        <f t="array" ref="AT209">IF(AS209&lt;&gt;" ",Interpol(31,8,Служебный!$H$54:$H$84,Служебный!$I$53:$P$53,Служебный!$I$54:$P$84,'Осадка поля'!$AS209,'Осадка поля'!$B$6)," ")</f>
        <v xml:space="preserve"> </v>
      </c>
      <c r="AU209" s="183" t="str">
        <f t="shared" si="601"/>
        <v xml:space="preserve"> </v>
      </c>
      <c r="AV209" s="183" t="str">
        <f>IF(AP209&lt;&gt;" ",AR209*0.5," ")</f>
        <v xml:space="preserve"> </v>
      </c>
      <c r="AW209" s="353" t="str">
        <f>IF(AO209&lt;&gt;" ",(AU209+AU210)/2," ")</f>
        <v xml:space="preserve"> </v>
      </c>
      <c r="AX209" s="444" t="str">
        <f>IF(AH209&lt;&gt;0,VLOOKUP(AH209,Геология!$D$7:$BO$993,21,FALSE)," ")</f>
        <v xml:space="preserve"> </v>
      </c>
      <c r="AY209" s="445" t="str">
        <f t="shared" ref="AY209" si="633">IF(AP209&lt;&gt;" ",IF(AQ209&gt;$B$15,"Нет","Да")," ")</f>
        <v xml:space="preserve"> </v>
      </c>
      <c r="AZ209" s="441" t="str">
        <f t="shared" ref="AZ209" si="634">IF(AP209&lt;&gt;" ",IF(AW209&gt;0.5*(AV209+AV210),"Да","Нет")," ")</f>
        <v xml:space="preserve"> </v>
      </c>
      <c r="BA209" s="441" t="str">
        <f>IF(AP209&lt;&gt;" ",IF(OR($AX$209&lt;7,$AX$209=7),"Да","Нет")," ")</f>
        <v xml:space="preserve"> </v>
      </c>
      <c r="BB209" s="441" t="str">
        <f t="shared" ref="BB209" si="635">IF(AP209&lt;&gt;" ",IF(AW209&gt;0.2*0.5*(AR209+AR210),"Да","Нет")," ")</f>
        <v xml:space="preserve"> </v>
      </c>
      <c r="BC209" s="353">
        <f t="shared" ref="BC209:BC243" si="636">IF(AND(BE209&lt;&gt;0,BE209&lt;&gt;" "),AP209,0)</f>
        <v>0</v>
      </c>
      <c r="BD209" s="443" t="str">
        <f>IF(AP209&lt;&gt;" ",IF(OR(AU209&lt;AR209,AU209=AR209),0.8*AW209*AP209/(5*$AX$209*10),0.8*AW209*AP209/($AX$209*10))," ")</f>
        <v xml:space="preserve"> </v>
      </c>
      <c r="BE209" s="353">
        <f t="shared" ref="BE209" si="637">IF(AP209&lt;&gt;" ",IF(AND(AY209="Нет",AZ209="Нет",BA209="Нет"),0,IF(AY209="Да",BD209,IF(AZ209="Да",BD209,IF(BA209="Да",BD209)))),0)</f>
        <v>0</v>
      </c>
      <c r="BF209" s="232"/>
      <c r="BH209" s="448" t="str">
        <f>IF(AH209&lt;&gt;0,VLOOKUP(AH209,Геология!$D$7:$BO$993,24,FALSE)," ")</f>
        <v xml:space="preserve"> </v>
      </c>
      <c r="BI209" s="449" t="str">
        <f>IF(BH209&lt;&gt;" ",BH209*AM209," ")</f>
        <v xml:space="preserve"> </v>
      </c>
      <c r="BJ209" s="202"/>
      <c r="BK209" s="456" t="str">
        <f>IF(AM209&lt;&gt;0,AX209*AM209," ")</f>
        <v xml:space="preserve"> </v>
      </c>
      <c r="BL209" s="213"/>
    </row>
    <row r="210" spans="33:64" ht="15.75" thickBot="1">
      <c r="AG210" s="370"/>
      <c r="AH210" s="370"/>
      <c r="AI210" s="364"/>
      <c r="AJ210" s="425"/>
      <c r="AK210" s="364"/>
      <c r="AL210" s="370"/>
      <c r="AM210" s="459"/>
      <c r="AN210" s="376"/>
      <c r="AO210" s="353"/>
      <c r="AP210" s="353"/>
      <c r="AQ210" s="183" t="str">
        <f>IF(AP209&lt;&gt;" ",MAX($AQ$9:AQ209)+AP209," ")</f>
        <v xml:space="preserve"> </v>
      </c>
      <c r="AR210" s="183" t="str">
        <f>IF(AP209&lt;&gt;" ",MAX($AR$9:AR209)+$AJ$29*AP209," ")</f>
        <v xml:space="preserve"> </v>
      </c>
      <c r="AS210" s="86" t="str">
        <f t="shared" si="572"/>
        <v xml:space="preserve"> </v>
      </c>
      <c r="AT210" s="264" t="str" cm="1">
        <f t="array" ref="AT210">IF(AS210&lt;&gt;" ",Interpol(31,8,Служебный!$H$54:$H$84,Служебный!$I$53:$P$53,Служебный!$I$54:$P$84,'Осадка поля'!$AS210,'Осадка поля'!$B$6)," ")</f>
        <v xml:space="preserve"> </v>
      </c>
      <c r="AU210" s="183" t="str">
        <f t="shared" si="601"/>
        <v xml:space="preserve"> </v>
      </c>
      <c r="AV210" s="183" t="str">
        <f>IF(AP209&lt;&gt;" ",AR210*0.5," ")</f>
        <v xml:space="preserve"> </v>
      </c>
      <c r="AW210" s="353"/>
      <c r="AX210" s="353"/>
      <c r="AY210" s="444"/>
      <c r="AZ210" s="444"/>
      <c r="BA210" s="445"/>
      <c r="BB210" s="444"/>
      <c r="BC210" s="353"/>
      <c r="BD210" s="444"/>
      <c r="BE210" s="353"/>
      <c r="BF210" s="232"/>
      <c r="BH210" s="418"/>
      <c r="BI210" s="419"/>
      <c r="BJ210" s="202"/>
      <c r="BK210" s="419"/>
      <c r="BL210" s="213"/>
    </row>
    <row r="211" spans="33:64">
      <c r="AG211" s="370"/>
      <c r="AH211" s="370"/>
      <c r="AI211" s="364"/>
      <c r="AJ211" s="425"/>
      <c r="AK211" s="364"/>
      <c r="AL211" s="370"/>
      <c r="AM211" s="459"/>
      <c r="AN211" s="376"/>
      <c r="AO211" s="353" t="str">
        <f>IF(AO209=" "," ", IF(AO209&lt;SUM(AN$9:AN$228),AO209+1, " "))</f>
        <v xml:space="preserve"> </v>
      </c>
      <c r="AP211" s="353" t="str">
        <f>IF(AO211&lt;&gt;" ",AM$109/COUNT(AO$109:AO$128), " ")</f>
        <v xml:space="preserve"> </v>
      </c>
      <c r="AQ211" s="183" t="str">
        <f>IF(AP211&lt;&gt;" ",SUM($AP$9:AP209)," ")</f>
        <v xml:space="preserve"> </v>
      </c>
      <c r="AR211" s="183" t="str">
        <f>IF(AP211&lt;&gt;" ",MAX($AR$9:AR210)," ")</f>
        <v xml:space="preserve"> </v>
      </c>
      <c r="AS211" s="86" t="str">
        <f t="shared" si="572"/>
        <v xml:space="preserve"> </v>
      </c>
      <c r="AT211" s="264" t="str" cm="1">
        <f t="array" ref="AT211">IF(AS211&lt;&gt;" ",Interpol(31,8,Служебный!$H$54:$H$84,Служебный!$I$53:$P$53,Служебный!$I$54:$P$84,'Осадка поля'!$AS211,'Осадка поля'!$B$6)," ")</f>
        <v xml:space="preserve"> </v>
      </c>
      <c r="AU211" s="183" t="str">
        <f t="shared" si="601"/>
        <v xml:space="preserve"> </v>
      </c>
      <c r="AV211" s="183" t="str">
        <f>IF(AP211&lt;&gt;" ",AR211*0.5," ")</f>
        <v xml:space="preserve"> </v>
      </c>
      <c r="AW211" s="353" t="str">
        <f>IF(AO211&lt;&gt;" ",(AU211+AU212)/2," ")</f>
        <v xml:space="preserve"> </v>
      </c>
      <c r="AX211" s="353"/>
      <c r="AY211" s="445" t="str">
        <f t="shared" ref="AY211" si="638">IF(AP211&lt;&gt;" ",IF(AQ211&gt;$B$15,"Нет","Да")," ")</f>
        <v xml:space="preserve"> </v>
      </c>
      <c r="AZ211" s="441" t="str">
        <f t="shared" ref="AZ211" si="639">IF(AP211&lt;&gt;" ",IF(AW211&gt;0.5*(AV211+AV212),"Да","Нет")," ")</f>
        <v xml:space="preserve"> </v>
      </c>
      <c r="BA211" s="441" t="str">
        <f t="shared" ref="BA211" si="640">IF(AP211&lt;&gt;" ",IF(OR($AX$209&lt;7,$AX$209=7),"Да","Нет")," ")</f>
        <v xml:space="preserve"> </v>
      </c>
      <c r="BB211" s="441" t="str">
        <f t="shared" ref="BB211" si="641">IF(AP211&lt;&gt;" ",IF(AW211&gt;0.2*0.5*(AR211+AR212),"Да","Нет")," ")</f>
        <v xml:space="preserve"> </v>
      </c>
      <c r="BC211" s="353">
        <f t="shared" ref="BC211:BC245" si="642">IF(AND(BE211&lt;&gt;0,BE211&lt;&gt;" "),AP211,0)</f>
        <v>0</v>
      </c>
      <c r="BD211" s="443" t="str">
        <f t="shared" ref="BD211" si="643">IF(AP211&lt;&gt;" ",IF(OR(AU211&lt;AR211,AU211=AR211),0.8*AW211*AP211/(5*$AX$209*10),0.8*AW211*AP211/($AX$209*10))," ")</f>
        <v xml:space="preserve"> </v>
      </c>
      <c r="BE211" s="353">
        <f t="shared" si="571"/>
        <v>0</v>
      </c>
      <c r="BF211" s="232"/>
      <c r="BH211" s="418"/>
      <c r="BI211" s="419"/>
      <c r="BJ211" s="202"/>
      <c r="BK211" s="419"/>
      <c r="BL211" s="213"/>
    </row>
    <row r="212" spans="33:64" ht="15.75" thickBot="1">
      <c r="AG212" s="370"/>
      <c r="AH212" s="370"/>
      <c r="AI212" s="364"/>
      <c r="AJ212" s="425"/>
      <c r="AK212" s="364"/>
      <c r="AL212" s="370"/>
      <c r="AM212" s="459"/>
      <c r="AN212" s="376"/>
      <c r="AO212" s="353"/>
      <c r="AP212" s="353"/>
      <c r="AQ212" s="183" t="str">
        <f>IF(AP211&lt;&gt;" ",MAX($AQ$9:AQ211)+AP211," ")</f>
        <v xml:space="preserve"> </v>
      </c>
      <c r="AR212" s="183" t="str">
        <f>IF(AP211&lt;&gt;" ",MAX($AR$9:AR211)+$AJ$29*AP211," ")</f>
        <v xml:space="preserve"> </v>
      </c>
      <c r="AS212" s="86" t="str">
        <f t="shared" si="572"/>
        <v xml:space="preserve"> </v>
      </c>
      <c r="AT212" s="264" t="str" cm="1">
        <f t="array" ref="AT212">IF(AS212&lt;&gt;" ",Interpol(31,8,Служебный!$H$54:$H$84,Служебный!$I$53:$P$53,Служебный!$I$54:$P$84,'Осадка поля'!$AS212,'Осадка поля'!$B$6)," ")</f>
        <v xml:space="preserve"> </v>
      </c>
      <c r="AU212" s="183" t="str">
        <f t="shared" si="601"/>
        <v xml:space="preserve"> </v>
      </c>
      <c r="AV212" s="183" t="str">
        <f>IF(AP211&lt;&gt;" ",AR212*0.5," ")</f>
        <v xml:space="preserve"> </v>
      </c>
      <c r="AW212" s="353"/>
      <c r="AX212" s="353"/>
      <c r="AY212" s="444"/>
      <c r="AZ212" s="444"/>
      <c r="BA212" s="445"/>
      <c r="BB212" s="444"/>
      <c r="BC212" s="353"/>
      <c r="BD212" s="444"/>
      <c r="BE212" s="353"/>
      <c r="BF212" s="232"/>
      <c r="BH212" s="418"/>
      <c r="BI212" s="419"/>
      <c r="BJ212" s="202"/>
      <c r="BK212" s="419"/>
      <c r="BL212" s="213"/>
    </row>
    <row r="213" spans="33:64">
      <c r="AG213" s="370"/>
      <c r="AH213" s="370"/>
      <c r="AI213" s="364"/>
      <c r="AJ213" s="425"/>
      <c r="AK213" s="364"/>
      <c r="AL213" s="370"/>
      <c r="AM213" s="459"/>
      <c r="AN213" s="376"/>
      <c r="AO213" s="353" t="str">
        <f>IF(AO211=" "," ", IF(AO211&lt;SUM(AN$9:AN$128),AO211+1, " "))</f>
        <v xml:space="preserve"> </v>
      </c>
      <c r="AP213" s="353" t="str">
        <f>IF(AO213&lt;&gt;" ",AM$109/COUNT(AO$109:AO$128), " ")</f>
        <v xml:space="preserve"> </v>
      </c>
      <c r="AQ213" s="183" t="str">
        <f>IF(AP213&lt;&gt;" ",SUM($AP$9:AP211)," ")</f>
        <v xml:space="preserve"> </v>
      </c>
      <c r="AR213" s="183" t="str">
        <f>IF(AP213&lt;&gt;" ",MAX($AR$9:AR212)," ")</f>
        <v xml:space="preserve"> </v>
      </c>
      <c r="AS213" s="86" t="str">
        <f t="shared" si="572"/>
        <v xml:space="preserve"> </v>
      </c>
      <c r="AT213" s="264" t="str" cm="1">
        <f t="array" ref="AT213">IF(AS213&lt;&gt;" ",Interpol(31,8,Служебный!$H$54:$H$84,Служебный!$I$53:$P$53,Служебный!$I$54:$P$84,'Осадка поля'!$AS213,'Осадка поля'!$B$6)," ")</f>
        <v xml:space="preserve"> </v>
      </c>
      <c r="AU213" s="183" t="str">
        <f t="shared" si="601"/>
        <v xml:space="preserve"> </v>
      </c>
      <c r="AV213" s="183" t="str">
        <f>IF(AP213&lt;&gt;" ",AR213*0.5," ")</f>
        <v xml:space="preserve"> </v>
      </c>
      <c r="AW213" s="353" t="str">
        <f>IF(AO213&lt;&gt;" ",(AU213+AU214)/2," ")</f>
        <v xml:space="preserve"> </v>
      </c>
      <c r="AX213" s="353"/>
      <c r="AY213" s="445" t="str">
        <f t="shared" ref="AY213" si="644">IF(AP213&lt;&gt;" ",IF(AQ213&gt;$B$15,"Нет","Да")," ")</f>
        <v xml:space="preserve"> </v>
      </c>
      <c r="AZ213" s="441" t="str">
        <f t="shared" ref="AZ213" si="645">IF(AP213&lt;&gt;" ",IF(AW213&gt;0.5*(AV213+AV214),"Да","Нет")," ")</f>
        <v xml:space="preserve"> </v>
      </c>
      <c r="BA213" s="441" t="str">
        <f t="shared" ref="BA213" si="646">IF(AP213&lt;&gt;" ",IF(OR($AX$209&lt;7,$AX$209=7),"Да","Нет")," ")</f>
        <v xml:space="preserve"> </v>
      </c>
      <c r="BB213" s="441" t="str">
        <f t="shared" ref="BB213" si="647">IF(AP213&lt;&gt;" ",IF(AW213&gt;0.2*0.5*(AR213+AR214),"Да","Нет")," ")</f>
        <v xml:space="preserve"> </v>
      </c>
      <c r="BC213" s="353">
        <f t="shared" ref="BC213" si="648">IF(AND(BE213&lt;&gt;0,BE213&lt;&gt;" "),AP213,0)</f>
        <v>0</v>
      </c>
      <c r="BD213" s="443" t="str">
        <f t="shared" ref="BD213" si="649">IF(AP213&lt;&gt;" ",IF(OR(AU213&lt;AR213,AU213=AR213),0.8*AW213*AP213/(5*$AX$209*10),0.8*AW213*AP213/($AX$209*10))," ")</f>
        <v xml:space="preserve"> </v>
      </c>
      <c r="BE213" s="353">
        <f t="shared" si="579"/>
        <v>0</v>
      </c>
      <c r="BF213" s="232"/>
      <c r="BH213" s="418"/>
      <c r="BI213" s="419"/>
      <c r="BJ213" s="202"/>
      <c r="BK213" s="419"/>
      <c r="BL213" s="213"/>
    </row>
    <row r="214" spans="33:64" ht="15.75" thickBot="1">
      <c r="AG214" s="370"/>
      <c r="AH214" s="370"/>
      <c r="AI214" s="364"/>
      <c r="AJ214" s="425"/>
      <c r="AK214" s="364"/>
      <c r="AL214" s="370"/>
      <c r="AM214" s="459"/>
      <c r="AN214" s="376"/>
      <c r="AO214" s="353"/>
      <c r="AP214" s="353"/>
      <c r="AQ214" s="183" t="str">
        <f>IF(AP213&lt;&gt;" ",MAX($AQ$9:AQ213)+AP213," ")</f>
        <v xml:space="preserve"> </v>
      </c>
      <c r="AR214" s="183" t="str">
        <f>IF(AP213&lt;&gt;" ",MAX($AR$9:AR213)+$AJ$29*AP213," ")</f>
        <v xml:space="preserve"> </v>
      </c>
      <c r="AS214" s="86" t="str">
        <f t="shared" si="572"/>
        <v xml:space="preserve"> </v>
      </c>
      <c r="AT214" s="264" t="str" cm="1">
        <f t="array" ref="AT214">IF(AS214&lt;&gt;" ",Interpol(31,8,Служебный!$H$54:$H$84,Служебный!$I$53:$P$53,Служебный!$I$54:$P$84,'Осадка поля'!$AS214,'Осадка поля'!$B$6)," ")</f>
        <v xml:space="preserve"> </v>
      </c>
      <c r="AU214" s="183" t="str">
        <f t="shared" si="601"/>
        <v xml:space="preserve"> </v>
      </c>
      <c r="AV214" s="183" t="str">
        <f>IF(AP213&lt;&gt;" ",AR214*0.5," ")</f>
        <v xml:space="preserve"> </v>
      </c>
      <c r="AW214" s="353"/>
      <c r="AX214" s="353"/>
      <c r="AY214" s="444"/>
      <c r="AZ214" s="444"/>
      <c r="BA214" s="445"/>
      <c r="BB214" s="444"/>
      <c r="BC214" s="353"/>
      <c r="BD214" s="444"/>
      <c r="BE214" s="353"/>
      <c r="BF214" s="232"/>
      <c r="BH214" s="418"/>
      <c r="BI214" s="419"/>
      <c r="BJ214" s="202"/>
      <c r="BK214" s="419"/>
      <c r="BL214" s="213"/>
    </row>
    <row r="215" spans="33:64">
      <c r="AG215" s="370"/>
      <c r="AH215" s="370"/>
      <c r="AI215" s="364"/>
      <c r="AJ215" s="425"/>
      <c r="AK215" s="364"/>
      <c r="AL215" s="370"/>
      <c r="AM215" s="459"/>
      <c r="AN215" s="376"/>
      <c r="AO215" s="353" t="str">
        <f>IF(AO213=" "," ", IF(AO213&lt;SUM(AN$9:AN$228),AO213+1, " "))</f>
        <v xml:space="preserve"> </v>
      </c>
      <c r="AP215" s="353" t="str">
        <f>IF(AO215&lt;&gt;" ",AM$109/COUNT(AO$109:AO$128), " ")</f>
        <v xml:space="preserve"> </v>
      </c>
      <c r="AQ215" s="183" t="str">
        <f>IF(AP215&lt;&gt;" ",SUM($AP$9:AP213)," ")</f>
        <v xml:space="preserve"> </v>
      </c>
      <c r="AR215" s="183" t="str">
        <f>IF(AP215&lt;&gt;" ",MAX($AR$9:AR214)," ")</f>
        <v xml:space="preserve"> </v>
      </c>
      <c r="AS215" s="86" t="str">
        <f t="shared" si="572"/>
        <v xml:space="preserve"> </v>
      </c>
      <c r="AT215" s="264" t="str" cm="1">
        <f t="array" ref="AT215">IF(AS215&lt;&gt;" ",Interpol(31,8,Служебный!$H$54:$H$84,Служебный!$I$53:$P$53,Служебный!$I$54:$P$84,'Осадка поля'!$AS215,'Осадка поля'!$B$6)," ")</f>
        <v xml:space="preserve"> </v>
      </c>
      <c r="AU215" s="183" t="str">
        <f t="shared" si="601"/>
        <v xml:space="preserve"> </v>
      </c>
      <c r="AV215" s="183" t="str">
        <f>IF(AP215&lt;&gt;" ",AR215*0.5," ")</f>
        <v xml:space="preserve"> </v>
      </c>
      <c r="AW215" s="353" t="str">
        <f>IF(AO215&lt;&gt;" ",(AU215+AU216)/2," ")</f>
        <v xml:space="preserve"> </v>
      </c>
      <c r="AX215" s="353"/>
      <c r="AY215" s="445" t="str">
        <f t="shared" ref="AY215" si="650">IF(AP215&lt;&gt;" ",IF(AQ215&gt;$B$15,"Нет","Да")," ")</f>
        <v xml:space="preserve"> </v>
      </c>
      <c r="AZ215" s="441" t="str">
        <f t="shared" ref="AZ215" si="651">IF(AP215&lt;&gt;" ",IF(AW215&gt;0.5*(AV215+AV216),"Да","Нет")," ")</f>
        <v xml:space="preserve"> </v>
      </c>
      <c r="BA215" s="441" t="str">
        <f t="shared" ref="BA215" si="652">IF(AP215&lt;&gt;" ",IF(OR($AX$209&lt;7,$AX$209=7),"Да","Нет")," ")</f>
        <v xml:space="preserve"> </v>
      </c>
      <c r="BB215" s="441" t="str">
        <f t="shared" ref="BB215" si="653">IF(AP215&lt;&gt;" ",IF(AW215&gt;0.2*0.5*(AR215+AR216),"Да","Нет")," ")</f>
        <v xml:space="preserve"> </v>
      </c>
      <c r="BC215" s="353">
        <f t="shared" si="538"/>
        <v>0</v>
      </c>
      <c r="BD215" s="443" t="str">
        <f t="shared" ref="BD215" si="654">IF(AP215&lt;&gt;" ",IF(OR(AU215&lt;AR215,AU215=AR215),0.8*AW215*AP215/(5*$AX$209*10),0.8*AW215*AP215/($AX$209*10))," ")</f>
        <v xml:space="preserve"> </v>
      </c>
      <c r="BE215" s="353">
        <f t="shared" si="586"/>
        <v>0</v>
      </c>
      <c r="BF215" s="232"/>
      <c r="BH215" s="418"/>
      <c r="BI215" s="419"/>
      <c r="BJ215" s="202"/>
      <c r="BK215" s="419"/>
      <c r="BL215" s="213"/>
    </row>
    <row r="216" spans="33:64" ht="15.75" thickBot="1">
      <c r="AG216" s="370"/>
      <c r="AH216" s="370"/>
      <c r="AI216" s="364"/>
      <c r="AJ216" s="425"/>
      <c r="AK216" s="364"/>
      <c r="AL216" s="370"/>
      <c r="AM216" s="459"/>
      <c r="AN216" s="376"/>
      <c r="AO216" s="353"/>
      <c r="AP216" s="353"/>
      <c r="AQ216" s="183" t="str">
        <f>IF(AP215&lt;&gt;" ",MAX($AQ$9:AQ215)+AP215," ")</f>
        <v xml:space="preserve"> </v>
      </c>
      <c r="AR216" s="183" t="str">
        <f>IF(AP215&lt;&gt;" ",MAX($AR$9:AR215)+$AJ$29*AP215," ")</f>
        <v xml:space="preserve"> </v>
      </c>
      <c r="AS216" s="86" t="str">
        <f t="shared" si="572"/>
        <v xml:space="preserve"> </v>
      </c>
      <c r="AT216" s="264" t="str" cm="1">
        <f t="array" ref="AT216">IF(AS216&lt;&gt;" ",Interpol(31,8,Служебный!$H$54:$H$84,Служебный!$I$53:$P$53,Служебный!$I$54:$P$84,'Осадка поля'!$AS216,'Осадка поля'!$B$6)," ")</f>
        <v xml:space="preserve"> </v>
      </c>
      <c r="AU216" s="183" t="str">
        <f t="shared" si="601"/>
        <v xml:space="preserve"> </v>
      </c>
      <c r="AV216" s="183" t="str">
        <f>IF(AP215&lt;&gt;" ",AR216*0.5," ")</f>
        <v xml:space="preserve"> </v>
      </c>
      <c r="AW216" s="353"/>
      <c r="AX216" s="353"/>
      <c r="AY216" s="444"/>
      <c r="AZ216" s="444"/>
      <c r="BA216" s="445"/>
      <c r="BB216" s="444"/>
      <c r="BC216" s="353"/>
      <c r="BD216" s="444"/>
      <c r="BE216" s="353"/>
      <c r="BF216" s="232"/>
      <c r="BH216" s="418"/>
      <c r="BI216" s="419"/>
      <c r="BJ216" s="202"/>
      <c r="BK216" s="419"/>
      <c r="BL216" s="213"/>
    </row>
    <row r="217" spans="33:64">
      <c r="AG217" s="370"/>
      <c r="AH217" s="370"/>
      <c r="AI217" s="364"/>
      <c r="AJ217" s="425"/>
      <c r="AK217" s="364"/>
      <c r="AL217" s="370"/>
      <c r="AM217" s="459"/>
      <c r="AN217" s="376"/>
      <c r="AO217" s="353" t="str">
        <f>IF(AO215=" "," ", IF(AO215&lt;SUM(AN$9:AN$228),AO215+1, " "))</f>
        <v xml:space="preserve"> </v>
      </c>
      <c r="AP217" s="353" t="str">
        <f>IF(AO217&lt;&gt;" ",AM$109/COUNT(AO$109:AO$128), " ")</f>
        <v xml:space="preserve"> </v>
      </c>
      <c r="AQ217" s="183" t="str">
        <f>IF(AP217&lt;&gt;" ",SUM($AP$9:AP215)," ")</f>
        <v xml:space="preserve"> </v>
      </c>
      <c r="AR217" s="183" t="str">
        <f>IF(AP217&lt;&gt;" ",MAX($AR$9:AR216)," ")</f>
        <v xml:space="preserve"> </v>
      </c>
      <c r="AS217" s="86" t="str">
        <f t="shared" si="572"/>
        <v xml:space="preserve"> </v>
      </c>
      <c r="AT217" s="264" t="str" cm="1">
        <f t="array" ref="AT217">IF(AS217&lt;&gt;" ",Interpol(31,8,Служебный!$H$54:$H$84,Служебный!$I$53:$P$53,Служебный!$I$54:$P$84,'Осадка поля'!$AS217,'Осадка поля'!$B$6)," ")</f>
        <v xml:space="preserve"> </v>
      </c>
      <c r="AU217" s="183" t="str">
        <f t="shared" si="601"/>
        <v xml:space="preserve"> </v>
      </c>
      <c r="AV217" s="183" t="str">
        <f>IF(AP217&lt;&gt;" ",AR217*0.5," ")</f>
        <v xml:space="preserve"> </v>
      </c>
      <c r="AW217" s="353" t="str">
        <f>IF(AO217&lt;&gt;" ",(AU217+AU218)/2," ")</f>
        <v xml:space="preserve"> </v>
      </c>
      <c r="AX217" s="353"/>
      <c r="AY217" s="445" t="str">
        <f t="shared" ref="AY217" si="655">IF(AP217&lt;&gt;" ",IF(AQ217&gt;$B$15,"Нет","Да")," ")</f>
        <v xml:space="preserve"> </v>
      </c>
      <c r="AZ217" s="441" t="str">
        <f t="shared" ref="AZ217" si="656">IF(AP217&lt;&gt;" ",IF(AW217&gt;0.5*(AV217+AV218),"Да","Нет")," ")</f>
        <v xml:space="preserve"> </v>
      </c>
      <c r="BA217" s="441" t="str">
        <f t="shared" ref="BA217" si="657">IF(AP217&lt;&gt;" ",IF(OR($AX$209&lt;7,$AX$209=7),"Да","Нет")," ")</f>
        <v xml:space="preserve"> </v>
      </c>
      <c r="BB217" s="441" t="str">
        <f t="shared" ref="BB217" si="658">IF(AP217&lt;&gt;" ",IF(AW217&gt;0.2*0.5*(AR217+AR218),"Да","Нет")," ")</f>
        <v xml:space="preserve"> </v>
      </c>
      <c r="BC217" s="353">
        <f t="shared" si="544"/>
        <v>0</v>
      </c>
      <c r="BD217" s="443" t="str">
        <f t="shared" ref="BD217" si="659">IF(AP217&lt;&gt;" ",IF(OR(AU217&lt;AR217,AU217=AR217),0.8*AW217*AP217/(5*$AX$209*10),0.8*AW217*AP217/($AX$209*10))," ")</f>
        <v xml:space="preserve"> </v>
      </c>
      <c r="BE217" s="353">
        <f t="shared" si="593"/>
        <v>0</v>
      </c>
      <c r="BF217" s="232"/>
      <c r="BH217" s="418"/>
      <c r="BI217" s="419"/>
      <c r="BJ217" s="202"/>
      <c r="BK217" s="419"/>
      <c r="BL217" s="213"/>
    </row>
    <row r="218" spans="33:64" ht="15.75" thickBot="1">
      <c r="AG218" s="370"/>
      <c r="AH218" s="370"/>
      <c r="AI218" s="364"/>
      <c r="AJ218" s="425"/>
      <c r="AK218" s="364"/>
      <c r="AL218" s="370"/>
      <c r="AM218" s="459"/>
      <c r="AN218" s="376"/>
      <c r="AO218" s="353"/>
      <c r="AP218" s="353"/>
      <c r="AQ218" s="183" t="str">
        <f>IF(AP217&lt;&gt;" ",MAX($AQ$9:AQ217)+AP217," ")</f>
        <v xml:space="preserve"> </v>
      </c>
      <c r="AR218" s="183" t="str">
        <f>IF(AP217&lt;&gt;" ",MAX($AR$9:AR217)+$AJ$29*AP217," ")</f>
        <v xml:space="preserve"> </v>
      </c>
      <c r="AS218" s="86" t="str">
        <f t="shared" si="572"/>
        <v xml:space="preserve"> </v>
      </c>
      <c r="AT218" s="264" t="str" cm="1">
        <f t="array" ref="AT218">IF(AS218&lt;&gt;" ",Interpol(31,8,Служебный!$H$54:$H$84,Служебный!$I$53:$P$53,Служебный!$I$54:$P$84,'Осадка поля'!$AS218,'Осадка поля'!$B$6)," ")</f>
        <v xml:space="preserve"> </v>
      </c>
      <c r="AU218" s="183" t="str">
        <f t="shared" si="601"/>
        <v xml:space="preserve"> </v>
      </c>
      <c r="AV218" s="183" t="str">
        <f>IF(AP217&lt;&gt;" ",AR218*0.5," ")</f>
        <v xml:space="preserve"> </v>
      </c>
      <c r="AW218" s="353"/>
      <c r="AX218" s="353"/>
      <c r="AY218" s="444"/>
      <c r="AZ218" s="444"/>
      <c r="BA218" s="445"/>
      <c r="BB218" s="444"/>
      <c r="BC218" s="353"/>
      <c r="BD218" s="444"/>
      <c r="BE218" s="353"/>
      <c r="BF218" s="232"/>
      <c r="BH218" s="418"/>
      <c r="BI218" s="419"/>
      <c r="BJ218" s="202"/>
      <c r="BK218" s="419"/>
      <c r="BL218" s="213"/>
    </row>
    <row r="219" spans="33:64">
      <c r="AG219" s="370"/>
      <c r="AH219" s="370"/>
      <c r="AI219" s="364"/>
      <c r="AJ219" s="425"/>
      <c r="AK219" s="364"/>
      <c r="AL219" s="370"/>
      <c r="AM219" s="459"/>
      <c r="AN219" s="376"/>
      <c r="AO219" s="353" t="str">
        <f>IF(AO217=" "," ", IF(AO217&lt;SUM(AN$9:AN$228),AO217+1, " "))</f>
        <v xml:space="preserve"> </v>
      </c>
      <c r="AP219" s="353" t="str">
        <f>IF(AO219&lt;&gt;" ",AM$109/COUNT(AO$109:AO$128), " ")</f>
        <v xml:space="preserve"> </v>
      </c>
      <c r="AQ219" s="183" t="str">
        <f>IF(AP219&lt;&gt;" ",SUM($AP$9:AP217)," ")</f>
        <v xml:space="preserve"> </v>
      </c>
      <c r="AR219" s="183" t="str">
        <f>IF(AP219&lt;&gt;" ",MAX($AR$9:AR218)," ")</f>
        <v xml:space="preserve"> </v>
      </c>
      <c r="AS219" s="86" t="str">
        <f t="shared" si="572"/>
        <v xml:space="preserve"> </v>
      </c>
      <c r="AT219" s="264" t="str" cm="1">
        <f t="array" ref="AT219">IF(AS219&lt;&gt;" ",Interpol(31,8,Служебный!$H$54:$H$84,Служебный!$I$53:$P$53,Служебный!$I$54:$P$84,'Осадка поля'!$AS219,'Осадка поля'!$B$6)," ")</f>
        <v xml:space="preserve"> </v>
      </c>
      <c r="AU219" s="183" t="str">
        <f t="shared" si="601"/>
        <v xml:space="preserve"> </v>
      </c>
      <c r="AV219" s="183" t="str">
        <f>IF(AP219&lt;&gt;" ",AR219*0.5," ")</f>
        <v xml:space="preserve"> </v>
      </c>
      <c r="AW219" s="353" t="str">
        <f>IF(AO219&lt;&gt;" ",(AU219+AU220)/2," ")</f>
        <v xml:space="preserve"> </v>
      </c>
      <c r="AX219" s="353"/>
      <c r="AY219" s="445" t="str">
        <f t="shared" ref="AY219" si="660">IF(AP219&lt;&gt;" ",IF(AQ219&gt;$B$15,"Нет","Да")," ")</f>
        <v xml:space="preserve"> </v>
      </c>
      <c r="AZ219" s="441" t="str">
        <f t="shared" ref="AZ219" si="661">IF(AP219&lt;&gt;" ",IF(AW219&gt;0.5*(AV219+AV220),"Да","Нет")," ")</f>
        <v xml:space="preserve"> </v>
      </c>
      <c r="BA219" s="441" t="str">
        <f t="shared" ref="BA219" si="662">IF(AP219&lt;&gt;" ",IF(OR($AX$209&lt;7,$AX$209=7),"Да","Нет")," ")</f>
        <v xml:space="preserve"> </v>
      </c>
      <c r="BB219" s="441" t="str">
        <f t="shared" ref="BB219" si="663">IF(AP219&lt;&gt;" ",IF(AW219&gt;0.2*0.5*(AR219+AR220),"Да","Нет")," ")</f>
        <v xml:space="preserve"> </v>
      </c>
      <c r="BC219" s="353">
        <f t="shared" si="550"/>
        <v>0</v>
      </c>
      <c r="BD219" s="443" t="str">
        <f t="shared" ref="BD219" si="664">IF(AP219&lt;&gt;" ",IF(OR(AU219&lt;AR219,AU219=AR219),0.8*AW219*AP219/(5*$AX$209*10),0.8*AW219*AP219/($AX$209*10))," ")</f>
        <v xml:space="preserve"> </v>
      </c>
      <c r="BE219" s="353">
        <f t="shared" si="600"/>
        <v>0</v>
      </c>
      <c r="BF219" s="232"/>
      <c r="BH219" s="418"/>
      <c r="BI219" s="419"/>
      <c r="BJ219" s="202"/>
      <c r="BK219" s="419"/>
      <c r="BL219" s="213"/>
    </row>
    <row r="220" spans="33:64" ht="15.75" thickBot="1">
      <c r="AG220" s="370"/>
      <c r="AH220" s="370"/>
      <c r="AI220" s="364"/>
      <c r="AJ220" s="425"/>
      <c r="AK220" s="364"/>
      <c r="AL220" s="370"/>
      <c r="AM220" s="459"/>
      <c r="AN220" s="376"/>
      <c r="AO220" s="353"/>
      <c r="AP220" s="353"/>
      <c r="AQ220" s="183" t="str">
        <f>IF(AP219&lt;&gt;" ",MAX($AQ$9:AQ219)+AP219," ")</f>
        <v xml:space="preserve"> </v>
      </c>
      <c r="AR220" s="183" t="str">
        <f>IF(AP219&lt;&gt;" ",MAX($AR$9:AR219)+$AJ$29*AP219," ")</f>
        <v xml:space="preserve"> </v>
      </c>
      <c r="AS220" s="86" t="str">
        <f t="shared" si="572"/>
        <v xml:space="preserve"> </v>
      </c>
      <c r="AT220" s="264" t="str" cm="1">
        <f t="array" ref="AT220">IF(AS220&lt;&gt;" ",Interpol(31,8,Служебный!$H$54:$H$84,Служебный!$I$53:$P$53,Служебный!$I$54:$P$84,'Осадка поля'!$AS220,'Осадка поля'!$B$6)," ")</f>
        <v xml:space="preserve"> </v>
      </c>
      <c r="AU220" s="183" t="str">
        <f t="shared" si="601"/>
        <v xml:space="preserve"> </v>
      </c>
      <c r="AV220" s="183" t="str">
        <f>IF(AP219&lt;&gt;" ",AR220*0.5," ")</f>
        <v xml:space="preserve"> </v>
      </c>
      <c r="AW220" s="353"/>
      <c r="AX220" s="353"/>
      <c r="AY220" s="444"/>
      <c r="AZ220" s="444"/>
      <c r="BA220" s="445"/>
      <c r="BB220" s="444"/>
      <c r="BC220" s="353"/>
      <c r="BD220" s="444"/>
      <c r="BE220" s="353"/>
      <c r="BF220" s="232"/>
      <c r="BH220" s="418"/>
      <c r="BI220" s="419"/>
      <c r="BJ220" s="202"/>
      <c r="BK220" s="419"/>
      <c r="BL220" s="213"/>
    </row>
    <row r="221" spans="33:64">
      <c r="AG221" s="370"/>
      <c r="AH221" s="370"/>
      <c r="AI221" s="364"/>
      <c r="AJ221" s="425"/>
      <c r="AK221" s="364"/>
      <c r="AL221" s="370"/>
      <c r="AM221" s="459"/>
      <c r="AN221" s="376"/>
      <c r="AO221" s="353" t="str">
        <f>IF(AO219=" "," ", IF(AO219&lt;SUM(AN$9:AN$228),AO219+1, " "))</f>
        <v xml:space="preserve"> </v>
      </c>
      <c r="AP221" s="353" t="str">
        <f>IF(AO221&lt;&gt;" ",AM$109/COUNT(AO$109:AO$128), " ")</f>
        <v xml:space="preserve"> </v>
      </c>
      <c r="AQ221" s="183" t="str">
        <f>IF(AP221&lt;&gt;" ",SUM($AP$9:AP219)," ")</f>
        <v xml:space="preserve"> </v>
      </c>
      <c r="AR221" s="183" t="str">
        <f>IF(AP221&lt;&gt;" ",MAX($AR$9:AR220)," ")</f>
        <v xml:space="preserve"> </v>
      </c>
      <c r="AS221" s="86" t="str">
        <f t="shared" si="572"/>
        <v xml:space="preserve"> </v>
      </c>
      <c r="AT221" s="264" t="str" cm="1">
        <f t="array" ref="AT221">IF(AS221&lt;&gt;" ",Interpol(31,8,Служебный!$H$54:$H$84,Служебный!$I$53:$P$53,Служебный!$I$54:$P$84,'Осадка поля'!$AS221,'Осадка поля'!$B$6)," ")</f>
        <v xml:space="preserve"> </v>
      </c>
      <c r="AU221" s="183" t="str">
        <f t="shared" si="601"/>
        <v xml:space="preserve"> </v>
      </c>
      <c r="AV221" s="183" t="str">
        <f>IF(AP221&lt;&gt;" ",AR221*0.5," ")</f>
        <v xml:space="preserve"> </v>
      </c>
      <c r="AW221" s="353" t="str">
        <f>IF(AO221&lt;&gt;" ",(AU221+AU222)/2," ")</f>
        <v xml:space="preserve"> </v>
      </c>
      <c r="AX221" s="353"/>
      <c r="AY221" s="445" t="str">
        <f t="shared" ref="AY221" si="665">IF(AP221&lt;&gt;" ",IF(AQ221&gt;$B$15,"Нет","Да")," ")</f>
        <v xml:space="preserve"> </v>
      </c>
      <c r="AZ221" s="441" t="str">
        <f t="shared" ref="AZ221" si="666">IF(AP221&lt;&gt;" ",IF(AW221&gt;0.5*(AV221+AV222),"Да","Нет")," ")</f>
        <v xml:space="preserve"> </v>
      </c>
      <c r="BA221" s="441" t="str">
        <f t="shared" ref="BA221" si="667">IF(AP221&lt;&gt;" ",IF(OR($AX$209&lt;7,$AX$209=7),"Да","Нет")," ")</f>
        <v xml:space="preserve"> </v>
      </c>
      <c r="BB221" s="441" t="str">
        <f t="shared" ref="BB221" si="668">IF(AP221&lt;&gt;" ",IF(AW221&gt;0.2*0.5*(AR221+AR222),"Да","Нет")," ")</f>
        <v xml:space="preserve"> </v>
      </c>
      <c r="BC221" s="353">
        <f t="shared" si="556"/>
        <v>0</v>
      </c>
      <c r="BD221" s="443" t="str">
        <f t="shared" ref="BD221" si="669">IF(AP221&lt;&gt;" ",IF(OR(AU221&lt;AR221,AU221=AR221),0.8*AW221*AP221/(5*$AX$209*10),0.8*AW221*AP221/($AX$209*10))," ")</f>
        <v xml:space="preserve"> </v>
      </c>
      <c r="BE221" s="353">
        <f t="shared" si="608"/>
        <v>0</v>
      </c>
      <c r="BF221" s="232"/>
      <c r="BH221" s="418"/>
      <c r="BI221" s="419"/>
      <c r="BJ221" s="202"/>
      <c r="BK221" s="419"/>
      <c r="BL221" s="213"/>
    </row>
    <row r="222" spans="33:64" ht="15.75" thickBot="1">
      <c r="AG222" s="370"/>
      <c r="AH222" s="370"/>
      <c r="AI222" s="364"/>
      <c r="AJ222" s="425"/>
      <c r="AK222" s="364"/>
      <c r="AL222" s="370"/>
      <c r="AM222" s="459"/>
      <c r="AN222" s="376"/>
      <c r="AO222" s="353"/>
      <c r="AP222" s="353"/>
      <c r="AQ222" s="183" t="str">
        <f>IF(AP221&lt;&gt;" ",MAX($AQ$9:AQ221)+AP221," ")</f>
        <v xml:space="preserve"> </v>
      </c>
      <c r="AR222" s="183" t="str">
        <f>IF(AP221&lt;&gt;" ",MAX($AR$9:AR221)+$AJ$29*AP221," ")</f>
        <v xml:space="preserve"> </v>
      </c>
      <c r="AS222" s="86" t="str">
        <f t="shared" si="572"/>
        <v xml:space="preserve"> </v>
      </c>
      <c r="AT222" s="264" t="str" cm="1">
        <f t="array" ref="AT222">IF(AS222&lt;&gt;" ",Interpol(31,8,Служебный!$H$54:$H$84,Служебный!$I$53:$P$53,Служебный!$I$54:$P$84,'Осадка поля'!$AS222,'Осадка поля'!$B$6)," ")</f>
        <v xml:space="preserve"> </v>
      </c>
      <c r="AU222" s="183" t="str">
        <f t="shared" si="601"/>
        <v xml:space="preserve"> </v>
      </c>
      <c r="AV222" s="183" t="str">
        <f>IF(AP221&lt;&gt;" ",AR222*0.5," ")</f>
        <v xml:space="preserve"> </v>
      </c>
      <c r="AW222" s="353"/>
      <c r="AX222" s="353"/>
      <c r="AY222" s="444"/>
      <c r="AZ222" s="444"/>
      <c r="BA222" s="445"/>
      <c r="BB222" s="444"/>
      <c r="BC222" s="353"/>
      <c r="BD222" s="444"/>
      <c r="BE222" s="353"/>
      <c r="BF222" s="232"/>
      <c r="BH222" s="418"/>
      <c r="BI222" s="419"/>
      <c r="BJ222" s="202"/>
      <c r="BK222" s="419"/>
      <c r="BL222" s="213"/>
    </row>
    <row r="223" spans="33:64">
      <c r="AG223" s="370"/>
      <c r="AH223" s="370"/>
      <c r="AI223" s="364"/>
      <c r="AJ223" s="425"/>
      <c r="AK223" s="364"/>
      <c r="AL223" s="370"/>
      <c r="AM223" s="459"/>
      <c r="AN223" s="376"/>
      <c r="AO223" s="353" t="str">
        <f>IF(AO221=" "," ", IF(AO221&lt;SUM(AN$9:AN$228),AO221+1, " "))</f>
        <v xml:space="preserve"> </v>
      </c>
      <c r="AP223" s="353" t="str">
        <f>IF(AO223&lt;&gt;" ",AM$109/COUNT(AO$109:AO$128), " ")</f>
        <v xml:space="preserve"> </v>
      </c>
      <c r="AQ223" s="183" t="str">
        <f>IF(AP223&lt;&gt;" ",SUM($AP$9:AP221)," ")</f>
        <v xml:space="preserve"> </v>
      </c>
      <c r="AR223" s="183" t="str">
        <f>IF(AP223&lt;&gt;" ",MAX($AR$9:AR222)," ")</f>
        <v xml:space="preserve"> </v>
      </c>
      <c r="AS223" s="86" t="str">
        <f t="shared" si="572"/>
        <v xml:space="preserve"> </v>
      </c>
      <c r="AT223" s="264" t="str" cm="1">
        <f t="array" ref="AT223">IF(AS223&lt;&gt;" ",Interpol(31,8,Служебный!$H$54:$H$84,Служебный!$I$53:$P$53,Служебный!$I$54:$P$84,'Осадка поля'!$AS223,'Осадка поля'!$B$6)," ")</f>
        <v xml:space="preserve"> </v>
      </c>
      <c r="AU223" s="183" t="str">
        <f t="shared" si="601"/>
        <v xml:space="preserve"> </v>
      </c>
      <c r="AV223" s="183" t="str">
        <f>IF(AP223&lt;&gt;" ",AR223*0.5," ")</f>
        <v xml:space="preserve"> </v>
      </c>
      <c r="AW223" s="353" t="str">
        <f>IF(AO223&lt;&gt;" ",(AU223+AU224)/2," ")</f>
        <v xml:space="preserve"> </v>
      </c>
      <c r="AX223" s="353"/>
      <c r="AY223" s="445" t="str">
        <f t="shared" ref="AY223" si="670">IF(AP223&lt;&gt;" ",IF(AQ223&gt;$B$15,"Нет","Да")," ")</f>
        <v xml:space="preserve"> </v>
      </c>
      <c r="AZ223" s="441" t="str">
        <f t="shared" ref="AZ223" si="671">IF(AP223&lt;&gt;" ",IF(AW223&gt;0.5*(AV223+AV224),"Да","Нет")," ")</f>
        <v xml:space="preserve"> </v>
      </c>
      <c r="BA223" s="441" t="str">
        <f t="shared" ref="BA223" si="672">IF(AP223&lt;&gt;" ",IF(OR($AX$209&lt;7,$AX$209=7),"Да","Нет")," ")</f>
        <v xml:space="preserve"> </v>
      </c>
      <c r="BB223" s="441" t="str">
        <f t="shared" ref="BB223" si="673">IF(AP223&lt;&gt;" ",IF(AW223&gt;0.2*0.5*(AR223+AR224),"Да","Нет")," ")</f>
        <v xml:space="preserve"> </v>
      </c>
      <c r="BC223" s="353">
        <f t="shared" si="563"/>
        <v>0</v>
      </c>
      <c r="BD223" s="443" t="str">
        <f t="shared" ref="BD223" si="674">IF(AP223&lt;&gt;" ",IF(OR(AU223&lt;AR223,AU223=AR223),0.8*AW223*AP223/(5*$AX$209*10),0.8*AW223*AP223/($AX$209*10))," ")</f>
        <v xml:space="preserve"> </v>
      </c>
      <c r="BE223" s="353">
        <f t="shared" si="615"/>
        <v>0</v>
      </c>
      <c r="BF223" s="232"/>
      <c r="BH223" s="418"/>
      <c r="BI223" s="419"/>
      <c r="BJ223" s="202"/>
      <c r="BK223" s="419"/>
      <c r="BL223" s="213"/>
    </row>
    <row r="224" spans="33:64" ht="15.75" thickBot="1">
      <c r="AG224" s="370"/>
      <c r="AH224" s="370"/>
      <c r="AI224" s="364"/>
      <c r="AJ224" s="425"/>
      <c r="AK224" s="364"/>
      <c r="AL224" s="370"/>
      <c r="AM224" s="459"/>
      <c r="AN224" s="376"/>
      <c r="AO224" s="353"/>
      <c r="AP224" s="353"/>
      <c r="AQ224" s="183" t="str">
        <f>IF(AP223&lt;&gt;" ",MAX($AQ$9:AQ223)+AP223," ")</f>
        <v xml:space="preserve"> </v>
      </c>
      <c r="AR224" s="183" t="str">
        <f>IF(AP223&lt;&gt;" ",MAX($AR$9:AR223)+$AJ$29*AP223," ")</f>
        <v xml:space="preserve"> </v>
      </c>
      <c r="AS224" s="86" t="str">
        <f t="shared" si="572"/>
        <v xml:space="preserve"> </v>
      </c>
      <c r="AT224" s="264" t="str" cm="1">
        <f t="array" ref="AT224">IF(AS224&lt;&gt;" ",Interpol(31,8,Служебный!$H$54:$H$84,Служебный!$I$53:$P$53,Служебный!$I$54:$P$84,'Осадка поля'!$AS224,'Осадка поля'!$B$6)," ")</f>
        <v xml:space="preserve"> </v>
      </c>
      <c r="AU224" s="183" t="str">
        <f t="shared" si="601"/>
        <v xml:space="preserve"> </v>
      </c>
      <c r="AV224" s="183" t="str">
        <f>IF(AP223&lt;&gt;" ",AR224*0.5," ")</f>
        <v xml:space="preserve"> </v>
      </c>
      <c r="AW224" s="353"/>
      <c r="AX224" s="353"/>
      <c r="AY224" s="444"/>
      <c r="AZ224" s="444"/>
      <c r="BA224" s="445"/>
      <c r="BB224" s="444"/>
      <c r="BC224" s="353"/>
      <c r="BD224" s="444"/>
      <c r="BE224" s="353"/>
      <c r="BF224" s="232"/>
      <c r="BH224" s="418"/>
      <c r="BI224" s="419"/>
      <c r="BJ224" s="202"/>
      <c r="BK224" s="419"/>
      <c r="BL224" s="213"/>
    </row>
    <row r="225" spans="33:64">
      <c r="AG225" s="370"/>
      <c r="AH225" s="370"/>
      <c r="AI225" s="364"/>
      <c r="AJ225" s="425"/>
      <c r="AK225" s="364"/>
      <c r="AL225" s="370"/>
      <c r="AM225" s="459"/>
      <c r="AN225" s="376"/>
      <c r="AO225" s="353" t="str">
        <f>IF(AO223=" "," ", IF(AO223&lt;SUM(AN$9:AN$228),AO223+1, " "))</f>
        <v xml:space="preserve"> </v>
      </c>
      <c r="AP225" s="353" t="str">
        <f>IF(AO225&lt;&gt;" ",AM$109/COUNT(AO$109:AO$128), " ")</f>
        <v xml:space="preserve"> </v>
      </c>
      <c r="AQ225" s="183" t="str">
        <f>IF(AP225&lt;&gt;" ",SUM($AP$9:AP223)," ")</f>
        <v xml:space="preserve"> </v>
      </c>
      <c r="AR225" s="183" t="str">
        <f>IF(AP225&lt;&gt;" ",MAX($AR$9:AR224)," ")</f>
        <v xml:space="preserve"> </v>
      </c>
      <c r="AS225" s="86" t="str">
        <f t="shared" si="572"/>
        <v xml:space="preserve"> </v>
      </c>
      <c r="AT225" s="264" t="str" cm="1">
        <f t="array" ref="AT225">IF(AS225&lt;&gt;" ",Interpol(31,8,Служебный!$H$54:$H$84,Служебный!$I$53:$P$53,Служебный!$I$54:$P$84,'Осадка поля'!$AS225,'Осадка поля'!$B$6)," ")</f>
        <v xml:space="preserve"> </v>
      </c>
      <c r="AU225" s="183" t="str">
        <f t="shared" si="601"/>
        <v xml:space="preserve"> </v>
      </c>
      <c r="AV225" s="183" t="str">
        <f>IF(AP225&lt;&gt;" ",AR225*0.5," ")</f>
        <v xml:space="preserve"> </v>
      </c>
      <c r="AW225" s="353" t="str">
        <f>IF(AO225&lt;&gt;" ",(AU225+AU226)/2," ")</f>
        <v xml:space="preserve"> </v>
      </c>
      <c r="AX225" s="353"/>
      <c r="AY225" s="445" t="str">
        <f t="shared" ref="AY225" si="675">IF(AP225&lt;&gt;" ",IF(AQ225&gt;$B$15,"Нет","Да")," ")</f>
        <v xml:space="preserve"> </v>
      </c>
      <c r="AZ225" s="441" t="str">
        <f t="shared" ref="AZ225" si="676">IF(AP225&lt;&gt;" ",IF(AW225&gt;0.5*(AV225+AV226),"Да","Нет")," ")</f>
        <v xml:space="preserve"> </v>
      </c>
      <c r="BA225" s="441" t="str">
        <f t="shared" ref="BA225" si="677">IF(AP225&lt;&gt;" ",IF(OR($AX$209&lt;7,$AX$209=7),"Да","Нет")," ")</f>
        <v xml:space="preserve"> </v>
      </c>
      <c r="BB225" s="441" t="str">
        <f t="shared" ref="BB225" si="678">IF(AP225&lt;&gt;" ",IF(AW225&gt;0.2*0.5*(AR225+AR226),"Да","Нет")," ")</f>
        <v xml:space="preserve"> </v>
      </c>
      <c r="BC225" s="353">
        <f t="shared" si="569"/>
        <v>0</v>
      </c>
      <c r="BD225" s="443" t="str">
        <f t="shared" ref="BD225" si="679">IF(AP225&lt;&gt;" ",IF(OR(AU225&lt;AR225,AU225=AR225),0.8*AW225*AP225/(5*$AX$209*10),0.8*AW225*AP225/($AX$209*10))," ")</f>
        <v xml:space="preserve"> </v>
      </c>
      <c r="BE225" s="353">
        <f t="shared" si="622"/>
        <v>0</v>
      </c>
      <c r="BF225" s="232"/>
      <c r="BH225" s="418"/>
      <c r="BI225" s="419"/>
      <c r="BJ225" s="202"/>
      <c r="BK225" s="419"/>
      <c r="BL225" s="213"/>
    </row>
    <row r="226" spans="33:64" ht="15.75" thickBot="1">
      <c r="AG226" s="370"/>
      <c r="AH226" s="370"/>
      <c r="AI226" s="364"/>
      <c r="AJ226" s="425"/>
      <c r="AK226" s="364"/>
      <c r="AL226" s="370"/>
      <c r="AM226" s="459"/>
      <c r="AN226" s="376"/>
      <c r="AO226" s="353"/>
      <c r="AP226" s="353"/>
      <c r="AQ226" s="183" t="str">
        <f>IF(AP225&lt;&gt;" ",MAX($AQ$9:AQ225)+AP225," ")</f>
        <v xml:space="preserve"> </v>
      </c>
      <c r="AR226" s="183" t="str">
        <f>IF(AP225&lt;&gt;" ",MAX($AR$9:AR225)+$AJ$29*AP225," ")</f>
        <v xml:space="preserve"> </v>
      </c>
      <c r="AS226" s="86" t="str">
        <f t="shared" si="572"/>
        <v xml:space="preserve"> </v>
      </c>
      <c r="AT226" s="264" t="str" cm="1">
        <f t="array" ref="AT226">IF(AS226&lt;&gt;" ",Interpol(31,8,Служебный!$H$54:$H$84,Служебный!$I$53:$P$53,Служебный!$I$54:$P$84,'Осадка поля'!$AS226,'Осадка поля'!$B$6)," ")</f>
        <v xml:space="preserve"> </v>
      </c>
      <c r="AU226" s="183" t="str">
        <f t="shared" si="601"/>
        <v xml:space="preserve"> </v>
      </c>
      <c r="AV226" s="183" t="str">
        <f>IF(AP225&lt;&gt;" ",AR226*0.5," ")</f>
        <v xml:space="preserve"> </v>
      </c>
      <c r="AW226" s="353"/>
      <c r="AX226" s="353"/>
      <c r="AY226" s="444"/>
      <c r="AZ226" s="444"/>
      <c r="BA226" s="445"/>
      <c r="BB226" s="444"/>
      <c r="BC226" s="353"/>
      <c r="BD226" s="444"/>
      <c r="BE226" s="353"/>
      <c r="BF226" s="232"/>
      <c r="BH226" s="418"/>
      <c r="BI226" s="419"/>
      <c r="BJ226" s="202"/>
      <c r="BK226" s="419"/>
      <c r="BL226" s="213"/>
    </row>
    <row r="227" spans="33:64">
      <c r="AG227" s="370"/>
      <c r="AH227" s="370"/>
      <c r="AI227" s="364"/>
      <c r="AJ227" s="425"/>
      <c r="AK227" s="364"/>
      <c r="AL227" s="370"/>
      <c r="AM227" s="459"/>
      <c r="AN227" s="376"/>
      <c r="AO227" s="353" t="str">
        <f>IF(AO225=" "," ", IF(AO225&lt;SUM(AN$9:AN$228),AO225+1, " "))</f>
        <v xml:space="preserve"> </v>
      </c>
      <c r="AP227" s="353" t="str">
        <f>IF(AO227&lt;&gt;" ",AM$109/COUNT(AO$109:AO$128), " ")</f>
        <v xml:space="preserve"> </v>
      </c>
      <c r="AQ227" s="183" t="str">
        <f>IF(AP227&lt;&gt;" ",SUM($AP$9:AP225)," ")</f>
        <v xml:space="preserve"> </v>
      </c>
      <c r="AR227" s="183" t="str">
        <f>IF(AP227&lt;&gt;" ",MAX($AR$9:AR226)," ")</f>
        <v xml:space="preserve"> </v>
      </c>
      <c r="AS227" s="86" t="str">
        <f t="shared" si="572"/>
        <v xml:space="preserve"> </v>
      </c>
      <c r="AT227" s="264" t="str" cm="1">
        <f t="array" ref="AT227">IF(AS227&lt;&gt;" ",Interpol(31,8,Служебный!$H$54:$H$84,Служебный!$I$53:$P$53,Служебный!$I$54:$P$84,'Осадка поля'!$AS227,'Осадка поля'!$B$6)," ")</f>
        <v xml:space="preserve"> </v>
      </c>
      <c r="AU227" s="183" t="str">
        <f t="shared" si="601"/>
        <v xml:space="preserve"> </v>
      </c>
      <c r="AV227" s="183" t="str">
        <f>IF(AP227&lt;&gt;" ",AR227*0.5," ")</f>
        <v xml:space="preserve"> </v>
      </c>
      <c r="AW227" s="353" t="str">
        <f>IF(AO227&lt;&gt;" ",(AU227+AU228)/2," ")</f>
        <v xml:space="preserve"> </v>
      </c>
      <c r="AX227" s="353"/>
      <c r="AY227" s="445" t="str">
        <f t="shared" ref="AY227" si="680">IF(AP227&lt;&gt;" ",IF(AQ227&gt;$B$15,"Нет","Да")," ")</f>
        <v xml:space="preserve"> </v>
      </c>
      <c r="AZ227" s="441" t="str">
        <f t="shared" ref="AZ227" si="681">IF(AP227&lt;&gt;" ",IF(AW227&gt;0.5*(AV227+AV228),"Да","Нет")," ")</f>
        <v xml:space="preserve"> </v>
      </c>
      <c r="BA227" s="441" t="str">
        <f t="shared" ref="BA227" si="682">IF(AP227&lt;&gt;" ",IF(OR($AX$209&lt;7,$AX$209=7),"Да","Нет")," ")</f>
        <v xml:space="preserve"> </v>
      </c>
      <c r="BB227" s="441" t="str">
        <f t="shared" ref="BB227" si="683">IF(AP227&lt;&gt;" ",IF(AW227&gt;0.2*0.5*(AR227+AR228),"Да","Нет")," ")</f>
        <v xml:space="preserve"> </v>
      </c>
      <c r="BC227" s="353">
        <f t="shared" si="577"/>
        <v>0</v>
      </c>
      <c r="BD227" s="443" t="str">
        <f t="shared" ref="BD227" si="684">IF(AP227&lt;&gt;" ",IF(OR(AU227&lt;AR227,AU227=AR227),0.8*AW227*AP227/(5*$AX$209*10),0.8*AW227*AP227/($AX$209*10))," ")</f>
        <v xml:space="preserve"> </v>
      </c>
      <c r="BE227" s="353">
        <f t="shared" si="629"/>
        <v>0</v>
      </c>
      <c r="BF227" s="232"/>
      <c r="BH227" s="418"/>
      <c r="BI227" s="419"/>
      <c r="BJ227" s="202"/>
      <c r="BK227" s="419"/>
      <c r="BL227" s="213"/>
    </row>
    <row r="228" spans="33:64" ht="15.75" thickBot="1">
      <c r="AG228" s="370"/>
      <c r="AH228" s="370"/>
      <c r="AI228" s="364"/>
      <c r="AJ228" s="425"/>
      <c r="AK228" s="364"/>
      <c r="AL228" s="370"/>
      <c r="AM228" s="459"/>
      <c r="AN228" s="376"/>
      <c r="AO228" s="353"/>
      <c r="AP228" s="353"/>
      <c r="AQ228" s="183" t="str">
        <f>IF(AP227&lt;&gt;" ",MAX($AQ$9:AQ227)+AP227," ")</f>
        <v xml:space="preserve"> </v>
      </c>
      <c r="AR228" s="183" t="str">
        <f>IF(AP227&lt;&gt;" ",MAX($AR$9:AR227)+$AJ$29*AP227," ")</f>
        <v xml:space="preserve"> </v>
      </c>
      <c r="AS228" s="86" t="str">
        <f t="shared" si="572"/>
        <v xml:space="preserve"> </v>
      </c>
      <c r="AT228" s="264" t="str" cm="1">
        <f t="array" ref="AT228">IF(AS228&lt;&gt;" ",Interpol(31,8,Служебный!$H$54:$H$84,Служебный!$I$53:$P$53,Служебный!$I$54:$P$84,'Осадка поля'!$AS228,'Осадка поля'!$B$6)," ")</f>
        <v xml:space="preserve"> </v>
      </c>
      <c r="AU228" s="183" t="str">
        <f t="shared" si="601"/>
        <v xml:space="preserve"> </v>
      </c>
      <c r="AV228" s="183" t="str">
        <f>IF(AP227&lt;&gt;" ",AR228*0.5," ")</f>
        <v xml:space="preserve"> </v>
      </c>
      <c r="AW228" s="353"/>
      <c r="AX228" s="353"/>
      <c r="AY228" s="444"/>
      <c r="AZ228" s="444"/>
      <c r="BA228" s="445"/>
      <c r="BB228" s="444"/>
      <c r="BC228" s="353"/>
      <c r="BD228" s="444"/>
      <c r="BE228" s="353"/>
      <c r="BF228" s="232"/>
      <c r="BH228" s="458"/>
      <c r="BI228" s="457"/>
      <c r="BJ228" s="203"/>
      <c r="BK228" s="457"/>
      <c r="BL228" s="214"/>
    </row>
    <row r="229" spans="33:64">
      <c r="AG229" s="370">
        <f t="shared" si="630"/>
        <v>21</v>
      </c>
      <c r="AH229" s="390">
        <f>IF(AG229&gt;20,0,VLOOKUP(AG229,Скважина!$E$8:$K$27,2,FALSE))</f>
        <v>0</v>
      </c>
      <c r="AI229" s="388">
        <f>IF(OR(AH229=0,AG229&gt;20),0,VLOOKUP(AH229,Геология!$D$7:$BO$993,7,FALSE))</f>
        <v>0</v>
      </c>
      <c r="AJ229" s="425" t="e">
        <f>VLOOKUP(AH229,Геология!$D$7:$BO$993,23,FALSE)</f>
        <v>#N/A</v>
      </c>
      <c r="AK229" s="364">
        <f t="shared" ref="AK229" si="685">IF(AM209&lt;&gt;0,AL209,AK209)</f>
        <v>111.73</v>
      </c>
      <c r="AL229" s="390" t="e">
        <f>VLOOKUP(AG229,Скважина!$E$8:$K$27,5,FALSE)</f>
        <v>#N/A</v>
      </c>
      <c r="AM229" s="459">
        <f t="shared" ref="AM229" si="686">IF(IF(AH229&lt;&gt;0,AK229-AL229,0)&lt;0,0,IF(AH229&lt;&gt;0,AK229-AL229,0))</f>
        <v>0</v>
      </c>
      <c r="AN229" s="376"/>
      <c r="AO229" s="353" t="str">
        <f>IF(AN229&lt;&gt;0,MAX(AO$9:AO$228)+1," ")</f>
        <v xml:space="preserve"> </v>
      </c>
      <c r="AP229" s="353" t="str">
        <f>IF(AO229&lt;&gt;" ",AM$109/COUNT(AO$109:AO$128), " ")</f>
        <v xml:space="preserve"> </v>
      </c>
      <c r="AQ229" s="183" t="str">
        <f>IF(AP229&lt;&gt;" ",SUM($AP$9:AP227)," ")</f>
        <v xml:space="preserve"> </v>
      </c>
      <c r="AR229" s="183" t="str">
        <f>IF(AP229&lt;&gt;" ",MAX($AR$9:AR228)," ")</f>
        <v xml:space="preserve"> </v>
      </c>
      <c r="AS229" s="86" t="str">
        <f t="shared" si="572"/>
        <v xml:space="preserve"> </v>
      </c>
      <c r="AT229" s="264" t="str" cm="1">
        <f t="array" ref="AT229">IF(AS229&lt;&gt;" ",Interpol(31,8,Служебный!$H$54:$H$84,Служебный!$I$53:$P$53,Служебный!$I$54:$P$84,'Осадка поля'!$AS229,'Осадка поля'!$B$6)," ")</f>
        <v xml:space="preserve"> </v>
      </c>
      <c r="AU229" s="183" t="str">
        <f t="shared" si="601"/>
        <v xml:space="preserve"> </v>
      </c>
      <c r="AV229" s="183" t="str">
        <f>IF(AP229&lt;&gt;" ",AR229*0.5," ")</f>
        <v xml:space="preserve"> </v>
      </c>
      <c r="AW229" s="353" t="str">
        <f>IF(AO229&lt;&gt;" ",(AU229+AU230)/2," ")</f>
        <v xml:space="preserve"> </v>
      </c>
      <c r="AX229" s="444" t="str">
        <f>IF(AH229&lt;&gt;0,VLOOKUP(AH229,Геология!$D$7:$BO$993,21,FALSE)," ")</f>
        <v xml:space="preserve"> </v>
      </c>
      <c r="AY229" s="445" t="str">
        <f t="shared" ref="AY229" si="687">IF(AP229&lt;&gt;" ",IF(AQ229&gt;$B$15,"Нет","Да")," ")</f>
        <v xml:space="preserve"> </v>
      </c>
      <c r="AZ229" s="441" t="str">
        <f t="shared" ref="AZ229" si="688">IF(AP229&lt;&gt;" ",IF(AW229&gt;0.5*(AV229+AV230),"Да","Нет")," ")</f>
        <v xml:space="preserve"> </v>
      </c>
      <c r="BA229" s="441" t="str">
        <f>IF(AP229&lt;&gt;" ",IF(OR($AX$229&lt;7,$AX$229=7),"Да","Нет")," ")</f>
        <v xml:space="preserve"> </v>
      </c>
      <c r="BB229" s="441" t="str">
        <f t="shared" ref="BB229" si="689">IF(AP229&lt;&gt;" ",IF(AW229&gt;0.2*0.5*(AR229+AR230),"Да","Нет")," ")</f>
        <v xml:space="preserve"> </v>
      </c>
      <c r="BC229" s="353">
        <f t="shared" si="584"/>
        <v>0</v>
      </c>
      <c r="BD229" s="443" t="str">
        <f>IF(AP229&lt;&gt;" ",IF(OR(AU229&lt;AR229,AU229=AR229),0.8*AW229*AP229/(5*$AX$229*10),0.8*AW229*AP229/($AX$229*10))," ")</f>
        <v xml:space="preserve"> </v>
      </c>
      <c r="BE229" s="353">
        <f t="shared" ref="BE229" si="690">IF(AP229&lt;&gt;" ",IF(AND(AY229="Нет",AZ229="Нет",BA229="Нет"),0,IF(AY229="Да",BD229,IF(AZ229="Да",BD229,IF(BA229="Да",BD229)))),0)</f>
        <v>0</v>
      </c>
      <c r="BF229" s="232"/>
      <c r="BH229" s="448" t="str">
        <f>IF(AH229&lt;&gt;0,VLOOKUP(AH229,Геология!$D$7:$BO$993,24,FALSE)," ")</f>
        <v xml:space="preserve"> </v>
      </c>
      <c r="BI229" s="449" t="str">
        <f>IF(BH229&lt;&gt;" ",BH229*AM229," ")</f>
        <v xml:space="preserve"> </v>
      </c>
      <c r="BJ229" s="202"/>
      <c r="BK229" s="456" t="str">
        <f>IF(AM229&lt;&gt;0,AX229*AM229," ")</f>
        <v xml:space="preserve"> </v>
      </c>
      <c r="BL229" s="213"/>
    </row>
    <row r="230" spans="33:64" ht="15.75" thickBot="1">
      <c r="AG230" s="370"/>
      <c r="AH230" s="370"/>
      <c r="AI230" s="364"/>
      <c r="AJ230" s="425"/>
      <c r="AK230" s="364"/>
      <c r="AL230" s="370"/>
      <c r="AM230" s="459"/>
      <c r="AN230" s="376"/>
      <c r="AO230" s="353"/>
      <c r="AP230" s="353"/>
      <c r="AQ230" s="183" t="str">
        <f>IF(AP229&lt;&gt;" ",MAX($AQ$9:AQ229)+AP229," ")</f>
        <v xml:space="preserve"> </v>
      </c>
      <c r="AR230" s="183" t="str">
        <f>IF(AP229&lt;&gt;" ",MAX($AR$9:AR229)+$AJ$29*AP229," ")</f>
        <v xml:space="preserve"> </v>
      </c>
      <c r="AS230" s="86" t="str">
        <f t="shared" si="572"/>
        <v xml:space="preserve"> </v>
      </c>
      <c r="AT230" s="264" t="str" cm="1">
        <f t="array" ref="AT230">IF(AS230&lt;&gt;" ",Interpol(31,8,Служебный!$H$54:$H$84,Служебный!$I$53:$P$53,Служебный!$I$54:$P$84,'Осадка поля'!$AS230,'Осадка поля'!$B$6)," ")</f>
        <v xml:space="preserve"> </v>
      </c>
      <c r="AU230" s="183" t="str">
        <f t="shared" si="601"/>
        <v xml:space="preserve"> </v>
      </c>
      <c r="AV230" s="183" t="str">
        <f>IF(AP229&lt;&gt;" ",AR230*0.5," ")</f>
        <v xml:space="preserve"> </v>
      </c>
      <c r="AW230" s="353"/>
      <c r="AX230" s="353"/>
      <c r="AY230" s="444"/>
      <c r="AZ230" s="444"/>
      <c r="BA230" s="445"/>
      <c r="BB230" s="444"/>
      <c r="BC230" s="353"/>
      <c r="BD230" s="444"/>
      <c r="BE230" s="353"/>
      <c r="BF230" s="232"/>
      <c r="BH230" s="418"/>
      <c r="BI230" s="419"/>
      <c r="BJ230" s="202"/>
      <c r="BK230" s="419"/>
      <c r="BL230" s="213"/>
    </row>
    <row r="231" spans="33:64">
      <c r="AG231" s="370"/>
      <c r="AH231" s="370"/>
      <c r="AI231" s="364"/>
      <c r="AJ231" s="425"/>
      <c r="AK231" s="364"/>
      <c r="AL231" s="370"/>
      <c r="AM231" s="459"/>
      <c r="AN231" s="376"/>
      <c r="AO231" s="353" t="str">
        <f>IF(AO229=" "," ", IF(AO229&lt;SUM(AN$9:AN$248),AO229+1, " "))</f>
        <v xml:space="preserve"> </v>
      </c>
      <c r="AP231" s="353" t="str">
        <f>IF(AO231&lt;&gt;" ",AM$109/COUNT(AO$109:AO$128), " ")</f>
        <v xml:space="preserve"> </v>
      </c>
      <c r="AQ231" s="183" t="str">
        <f>IF(AP231&lt;&gt;" ",SUM($AP$9:AP229)," ")</f>
        <v xml:space="preserve"> </v>
      </c>
      <c r="AR231" s="183" t="str">
        <f>IF(AP231&lt;&gt;" ",MAX($AR$9:AR230)," ")</f>
        <v xml:space="preserve"> </v>
      </c>
      <c r="AS231" s="86" t="str">
        <f t="shared" si="572"/>
        <v xml:space="preserve"> </v>
      </c>
      <c r="AT231" s="264" t="str" cm="1">
        <f t="array" ref="AT231">IF(AS231&lt;&gt;" ",Interpol(31,8,Служебный!$H$54:$H$84,Служебный!$I$53:$P$53,Служебный!$I$54:$P$84,'Осадка поля'!$AS231,'Осадка поля'!$B$6)," ")</f>
        <v xml:space="preserve"> </v>
      </c>
      <c r="AU231" s="183" t="str">
        <f t="shared" si="601"/>
        <v xml:space="preserve"> </v>
      </c>
      <c r="AV231" s="183" t="str">
        <f>IF(AP231&lt;&gt;" ",AR231*0.5," ")</f>
        <v xml:space="preserve"> </v>
      </c>
      <c r="AW231" s="353" t="str">
        <f>IF(AO231&lt;&gt;" ",(AU231+AU232)/2," ")</f>
        <v xml:space="preserve"> </v>
      </c>
      <c r="AX231" s="353"/>
      <c r="AY231" s="445" t="str">
        <f t="shared" ref="AY231" si="691">IF(AP231&lt;&gt;" ",IF(AQ231&gt;$B$15,"Нет","Да")," ")</f>
        <v xml:space="preserve"> </v>
      </c>
      <c r="AZ231" s="441" t="str">
        <f t="shared" ref="AZ231" si="692">IF(AP231&lt;&gt;" ",IF(AW231&gt;0.5*(AV231+AV232),"Да","Нет")," ")</f>
        <v xml:space="preserve"> </v>
      </c>
      <c r="BA231" s="441" t="str">
        <f t="shared" ref="BA231" si="693">IF(AP231&lt;&gt;" ",IF(OR($AX$229&lt;7,$AX$229=7),"Да","Нет")," ")</f>
        <v xml:space="preserve"> </v>
      </c>
      <c r="BB231" s="441" t="str">
        <f t="shared" ref="BB231" si="694">IF(AP231&lt;&gt;" ",IF(AW231&gt;0.2*0.5*(AR231+AR232),"Да","Нет")," ")</f>
        <v xml:space="preserve"> </v>
      </c>
      <c r="BC231" s="353">
        <f t="shared" si="591"/>
        <v>0</v>
      </c>
      <c r="BD231" s="443" t="str">
        <f t="shared" ref="BD231" si="695">IF(AP231&lt;&gt;" ",IF(OR(AU231&lt;AR231,AU231=AR231),0.8*AW231*AP231/(5*$AX$229*10),0.8*AW231*AP231/($AX$229*10))," ")</f>
        <v xml:space="preserve"> </v>
      </c>
      <c r="BE231" s="353">
        <f t="shared" si="571"/>
        <v>0</v>
      </c>
      <c r="BF231" s="232"/>
      <c r="BH231" s="418"/>
      <c r="BI231" s="419"/>
      <c r="BJ231" s="202"/>
      <c r="BK231" s="419"/>
      <c r="BL231" s="213"/>
    </row>
    <row r="232" spans="33:64" ht="15.75" thickBot="1">
      <c r="AG232" s="370"/>
      <c r="AH232" s="370"/>
      <c r="AI232" s="364"/>
      <c r="AJ232" s="425"/>
      <c r="AK232" s="364"/>
      <c r="AL232" s="370"/>
      <c r="AM232" s="459"/>
      <c r="AN232" s="376"/>
      <c r="AO232" s="353"/>
      <c r="AP232" s="353"/>
      <c r="AQ232" s="183" t="str">
        <f>IF(AP231&lt;&gt;" ",MAX($AQ$9:AQ231)+AP231," ")</f>
        <v xml:space="preserve"> </v>
      </c>
      <c r="AR232" s="183" t="str">
        <f>IF(AP231&lt;&gt;" ",MAX($AR$9:AR231)+$AJ$29*AP231," ")</f>
        <v xml:space="preserve"> </v>
      </c>
      <c r="AS232" s="86" t="str">
        <f t="shared" si="572"/>
        <v xml:space="preserve"> </v>
      </c>
      <c r="AT232" s="264" t="str" cm="1">
        <f t="array" ref="AT232">IF(AS232&lt;&gt;" ",Interpol(31,8,Служебный!$H$54:$H$84,Служебный!$I$53:$P$53,Служебный!$I$54:$P$84,'Осадка поля'!$AS232,'Осадка поля'!$B$6)," ")</f>
        <v xml:space="preserve"> </v>
      </c>
      <c r="AU232" s="183" t="str">
        <f t="shared" si="601"/>
        <v xml:space="preserve"> </v>
      </c>
      <c r="AV232" s="183" t="str">
        <f>IF(AP231&lt;&gt;" ",AR232*0.5," ")</f>
        <v xml:space="preserve"> </v>
      </c>
      <c r="AW232" s="353"/>
      <c r="AX232" s="353"/>
      <c r="AY232" s="444"/>
      <c r="AZ232" s="444"/>
      <c r="BA232" s="445"/>
      <c r="BB232" s="444"/>
      <c r="BC232" s="353"/>
      <c r="BD232" s="444"/>
      <c r="BE232" s="353"/>
      <c r="BF232" s="232"/>
      <c r="BH232" s="418"/>
      <c r="BI232" s="419"/>
      <c r="BJ232" s="202"/>
      <c r="BK232" s="419"/>
      <c r="BL232" s="213"/>
    </row>
    <row r="233" spans="33:64">
      <c r="AG233" s="370"/>
      <c r="AH233" s="370"/>
      <c r="AI233" s="364"/>
      <c r="AJ233" s="425"/>
      <c r="AK233" s="364"/>
      <c r="AL233" s="370"/>
      <c r="AM233" s="459"/>
      <c r="AN233" s="376"/>
      <c r="AO233" s="353" t="str">
        <f>IF(AO231=" "," ", IF(AO231&lt;SUM(AN$9:AN$248),AO231+1, " "))</f>
        <v xml:space="preserve"> </v>
      </c>
      <c r="AP233" s="353" t="str">
        <f>IF(AO233&lt;&gt;" ",AM$109/COUNT(AO$109:AO$128), " ")</f>
        <v xml:space="preserve"> </v>
      </c>
      <c r="AQ233" s="183" t="str">
        <f>IF(AP233&lt;&gt;" ",SUM($AP$9:AP231)," ")</f>
        <v xml:space="preserve"> </v>
      </c>
      <c r="AR233" s="183" t="str">
        <f>IF(AP233&lt;&gt;" ",MAX($AR$9:AR232)," ")</f>
        <v xml:space="preserve"> </v>
      </c>
      <c r="AS233" s="86" t="str">
        <f t="shared" si="572"/>
        <v xml:space="preserve"> </v>
      </c>
      <c r="AT233" s="264" t="str" cm="1">
        <f t="array" ref="AT233">IF(AS233&lt;&gt;" ",Interpol(31,8,Служебный!$H$54:$H$84,Служебный!$I$53:$P$53,Служебный!$I$54:$P$84,'Осадка поля'!$AS233,'Осадка поля'!$B$6)," ")</f>
        <v xml:space="preserve"> </v>
      </c>
      <c r="AU233" s="183" t="str">
        <f t="shared" si="601"/>
        <v xml:space="preserve"> </v>
      </c>
      <c r="AV233" s="183" t="str">
        <f>IF(AP233&lt;&gt;" ",AR233*0.5," ")</f>
        <v xml:space="preserve"> </v>
      </c>
      <c r="AW233" s="353" t="str">
        <f>IF(AO233&lt;&gt;" ",(AU233+AU234)/2," ")</f>
        <v xml:space="preserve"> </v>
      </c>
      <c r="AX233" s="353"/>
      <c r="AY233" s="445" t="str">
        <f t="shared" ref="AY233" si="696">IF(AP233&lt;&gt;" ",IF(AQ233&gt;$B$15,"Нет","Да")," ")</f>
        <v xml:space="preserve"> </v>
      </c>
      <c r="AZ233" s="441" t="str">
        <f t="shared" ref="AZ233" si="697">IF(AP233&lt;&gt;" ",IF(AW233&gt;0.5*(AV233+AV234),"Да","Нет")," ")</f>
        <v xml:space="preserve"> </v>
      </c>
      <c r="BA233" s="441" t="str">
        <f t="shared" ref="BA233" si="698">IF(AP233&lt;&gt;" ",IF(OR($AX$229&lt;7,$AX$229=7),"Да","Нет")," ")</f>
        <v xml:space="preserve"> </v>
      </c>
      <c r="BB233" s="441" t="str">
        <f t="shared" ref="BB233" si="699">IF(AP233&lt;&gt;" ",IF(AW233&gt;0.2*0.5*(AR233+AR234),"Да","Нет")," ")</f>
        <v xml:space="preserve"> </v>
      </c>
      <c r="BC233" s="353">
        <f t="shared" si="598"/>
        <v>0</v>
      </c>
      <c r="BD233" s="443" t="str">
        <f t="shared" ref="BD233" si="700">IF(AP233&lt;&gt;" ",IF(OR(AU233&lt;AR233,AU233=AR233),0.8*AW233*AP233/(5*$AX$229*10),0.8*AW233*AP233/($AX$229*10))," ")</f>
        <v xml:space="preserve"> </v>
      </c>
      <c r="BE233" s="353">
        <f t="shared" si="579"/>
        <v>0</v>
      </c>
      <c r="BF233" s="232"/>
      <c r="BH233" s="418"/>
      <c r="BI233" s="419"/>
      <c r="BJ233" s="202"/>
      <c r="BK233" s="419"/>
      <c r="BL233" s="213"/>
    </row>
    <row r="234" spans="33:64" ht="15.75" thickBot="1">
      <c r="AG234" s="370"/>
      <c r="AH234" s="370"/>
      <c r="AI234" s="364"/>
      <c r="AJ234" s="425"/>
      <c r="AK234" s="364"/>
      <c r="AL234" s="370"/>
      <c r="AM234" s="459"/>
      <c r="AN234" s="376"/>
      <c r="AO234" s="353"/>
      <c r="AP234" s="353"/>
      <c r="AQ234" s="183" t="str">
        <f>IF(AP233&lt;&gt;" ",MAX($AQ$9:AQ233)+AP233," ")</f>
        <v xml:space="preserve"> </v>
      </c>
      <c r="AR234" s="183" t="str">
        <f>IF(AP233&lt;&gt;" ",MAX($AR$9:AR233)+$AJ$29*AP233," ")</f>
        <v xml:space="preserve"> </v>
      </c>
      <c r="AS234" s="86" t="str">
        <f t="shared" si="572"/>
        <v xml:space="preserve"> </v>
      </c>
      <c r="AT234" s="264" t="str" cm="1">
        <f t="array" ref="AT234">IF(AS234&lt;&gt;" ",Interpol(31,8,Служебный!$H$54:$H$84,Служебный!$I$53:$P$53,Служебный!$I$54:$P$84,'Осадка поля'!$AS234,'Осадка поля'!$B$6)," ")</f>
        <v xml:space="preserve"> </v>
      </c>
      <c r="AU234" s="183" t="str">
        <f t="shared" si="601"/>
        <v xml:space="preserve"> </v>
      </c>
      <c r="AV234" s="183" t="str">
        <f>IF(AP233&lt;&gt;" ",AR234*0.5," ")</f>
        <v xml:space="preserve"> </v>
      </c>
      <c r="AW234" s="353"/>
      <c r="AX234" s="353"/>
      <c r="AY234" s="444"/>
      <c r="AZ234" s="444"/>
      <c r="BA234" s="445"/>
      <c r="BB234" s="444"/>
      <c r="BC234" s="353"/>
      <c r="BD234" s="444"/>
      <c r="BE234" s="353"/>
      <c r="BF234" s="232"/>
      <c r="BH234" s="418"/>
      <c r="BI234" s="419"/>
      <c r="BJ234" s="202"/>
      <c r="BK234" s="419"/>
      <c r="BL234" s="213"/>
    </row>
    <row r="235" spans="33:64">
      <c r="AG235" s="370"/>
      <c r="AH235" s="370"/>
      <c r="AI235" s="364"/>
      <c r="AJ235" s="425"/>
      <c r="AK235" s="364"/>
      <c r="AL235" s="370"/>
      <c r="AM235" s="459"/>
      <c r="AN235" s="376"/>
      <c r="AO235" s="353" t="str">
        <f>IF(AO233=" "," ", IF(AO233&lt;SUM(AN$9:AN$248),AO233+1, " "))</f>
        <v xml:space="preserve"> </v>
      </c>
      <c r="AP235" s="353" t="str">
        <f>IF(AO235&lt;&gt;" ",AM$109/COUNT(AO$109:AO$128), " ")</f>
        <v xml:space="preserve"> </v>
      </c>
      <c r="AQ235" s="183" t="str">
        <f>IF(AP235&lt;&gt;" ",SUM($AP$9:AP233)," ")</f>
        <v xml:space="preserve"> </v>
      </c>
      <c r="AR235" s="183" t="str">
        <f>IF(AP235&lt;&gt;" ",MAX($AR$9:AR234)," ")</f>
        <v xml:space="preserve"> </v>
      </c>
      <c r="AS235" s="86" t="str">
        <f t="shared" si="572"/>
        <v xml:space="preserve"> </v>
      </c>
      <c r="AT235" s="264" t="str" cm="1">
        <f t="array" ref="AT235">IF(AS235&lt;&gt;" ",Interpol(31,8,Служебный!$H$54:$H$84,Служебный!$I$53:$P$53,Служебный!$I$54:$P$84,'Осадка поля'!$AS235,'Осадка поля'!$B$6)," ")</f>
        <v xml:space="preserve"> </v>
      </c>
      <c r="AU235" s="183" t="str">
        <f t="shared" si="601"/>
        <v xml:space="preserve"> </v>
      </c>
      <c r="AV235" s="183" t="str">
        <f>IF(AP235&lt;&gt;" ",AR235*0.5," ")</f>
        <v xml:space="preserve"> </v>
      </c>
      <c r="AW235" s="353" t="str">
        <f>IF(AO235&lt;&gt;" ",(AU235+AU236)/2," ")</f>
        <v xml:space="preserve"> </v>
      </c>
      <c r="AX235" s="353"/>
      <c r="AY235" s="445" t="str">
        <f t="shared" ref="AY235" si="701">IF(AP235&lt;&gt;" ",IF(AQ235&gt;$B$15,"Нет","Да")," ")</f>
        <v xml:space="preserve"> </v>
      </c>
      <c r="AZ235" s="441" t="str">
        <f t="shared" ref="AZ235" si="702">IF(AP235&lt;&gt;" ",IF(AW235&gt;0.5*(AV235+AV236),"Да","Нет")," ")</f>
        <v xml:space="preserve"> </v>
      </c>
      <c r="BA235" s="441" t="str">
        <f t="shared" ref="BA235" si="703">IF(AP235&lt;&gt;" ",IF(OR($AX$229&lt;7,$AX$229=7),"Да","Нет")," ")</f>
        <v xml:space="preserve"> </v>
      </c>
      <c r="BB235" s="441" t="str">
        <f t="shared" ref="BB235" si="704">IF(AP235&lt;&gt;" ",IF(AW235&gt;0.2*0.5*(AR235+AR236),"Да","Нет")," ")</f>
        <v xml:space="preserve"> </v>
      </c>
      <c r="BC235" s="353">
        <f t="shared" si="606"/>
        <v>0</v>
      </c>
      <c r="BD235" s="443" t="str">
        <f t="shared" ref="BD235" si="705">IF(AP235&lt;&gt;" ",IF(OR(AU235&lt;AR235,AU235=AR235),0.8*AW235*AP235/(5*$AX$229*10),0.8*AW235*AP235/($AX$229*10))," ")</f>
        <v xml:space="preserve"> </v>
      </c>
      <c r="BE235" s="353">
        <f t="shared" si="586"/>
        <v>0</v>
      </c>
      <c r="BF235" s="232"/>
      <c r="BH235" s="418"/>
      <c r="BI235" s="419"/>
      <c r="BJ235" s="202"/>
      <c r="BK235" s="419"/>
      <c r="BL235" s="213"/>
    </row>
    <row r="236" spans="33:64" ht="15.75" thickBot="1">
      <c r="AG236" s="370"/>
      <c r="AH236" s="370"/>
      <c r="AI236" s="364"/>
      <c r="AJ236" s="425"/>
      <c r="AK236" s="364"/>
      <c r="AL236" s="370"/>
      <c r="AM236" s="459"/>
      <c r="AN236" s="376"/>
      <c r="AO236" s="353"/>
      <c r="AP236" s="353"/>
      <c r="AQ236" s="183" t="str">
        <f>IF(AP235&lt;&gt;" ",MAX($AQ$9:AQ235)+AP235," ")</f>
        <v xml:space="preserve"> </v>
      </c>
      <c r="AR236" s="183" t="str">
        <f>IF(AP235&lt;&gt;" ",MAX($AR$9:AR235)+$AJ$29*AP235," ")</f>
        <v xml:space="preserve"> </v>
      </c>
      <c r="AS236" s="86" t="str">
        <f t="shared" si="572"/>
        <v xml:space="preserve"> </v>
      </c>
      <c r="AT236" s="264" t="str" cm="1">
        <f t="array" ref="AT236">IF(AS236&lt;&gt;" ",Interpol(31,8,Служебный!$H$54:$H$84,Служебный!$I$53:$P$53,Служебный!$I$54:$P$84,'Осадка поля'!$AS236,'Осадка поля'!$B$6)," ")</f>
        <v xml:space="preserve"> </v>
      </c>
      <c r="AU236" s="183" t="str">
        <f t="shared" si="601"/>
        <v xml:space="preserve"> </v>
      </c>
      <c r="AV236" s="183" t="str">
        <f>IF(AP235&lt;&gt;" ",AR236*0.5," ")</f>
        <v xml:space="preserve"> </v>
      </c>
      <c r="AW236" s="353"/>
      <c r="AX236" s="353"/>
      <c r="AY236" s="444"/>
      <c r="AZ236" s="444"/>
      <c r="BA236" s="445"/>
      <c r="BB236" s="444"/>
      <c r="BC236" s="353"/>
      <c r="BD236" s="444"/>
      <c r="BE236" s="353"/>
      <c r="BF236" s="232"/>
      <c r="BH236" s="418"/>
      <c r="BI236" s="419"/>
      <c r="BJ236" s="202"/>
      <c r="BK236" s="419"/>
      <c r="BL236" s="213"/>
    </row>
    <row r="237" spans="33:64">
      <c r="AG237" s="370"/>
      <c r="AH237" s="370"/>
      <c r="AI237" s="364"/>
      <c r="AJ237" s="425"/>
      <c r="AK237" s="364"/>
      <c r="AL237" s="370"/>
      <c r="AM237" s="459"/>
      <c r="AN237" s="376"/>
      <c r="AO237" s="353" t="str">
        <f>IF(AO235=" "," ", IF(AO235&lt;SUM(AN$9:AN$248),AO235+1, " "))</f>
        <v xml:space="preserve"> </v>
      </c>
      <c r="AP237" s="353" t="str">
        <f>IF(AO237&lt;&gt;" ",AM$109/COUNT(AO$109:AO$128), " ")</f>
        <v xml:space="preserve"> </v>
      </c>
      <c r="AQ237" s="183" t="str">
        <f>IF(AP237&lt;&gt;" ",SUM($AP$9:AP235)," ")</f>
        <v xml:space="preserve"> </v>
      </c>
      <c r="AR237" s="183" t="str">
        <f>IF(AP237&lt;&gt;" ",MAX($AR$9:AR236)," ")</f>
        <v xml:space="preserve"> </v>
      </c>
      <c r="AS237" s="86" t="str">
        <f t="shared" si="572"/>
        <v xml:space="preserve"> </v>
      </c>
      <c r="AT237" s="264" t="str" cm="1">
        <f t="array" ref="AT237">IF(AS237&lt;&gt;" ",Interpol(31,8,Служебный!$H$54:$H$84,Служебный!$I$53:$P$53,Служебный!$I$54:$P$84,'Осадка поля'!$AS237,'Осадка поля'!$B$6)," ")</f>
        <v xml:space="preserve"> </v>
      </c>
      <c r="AU237" s="183" t="str">
        <f t="shared" si="601"/>
        <v xml:space="preserve"> </v>
      </c>
      <c r="AV237" s="183" t="str">
        <f>IF(AP237&lt;&gt;" ",AR237*0.5," ")</f>
        <v xml:space="preserve"> </v>
      </c>
      <c r="AW237" s="353" t="str">
        <f>IF(AO237&lt;&gt;" ",(AU237+AU238)/2," ")</f>
        <v xml:space="preserve"> </v>
      </c>
      <c r="AX237" s="353"/>
      <c r="AY237" s="445" t="str">
        <f t="shared" ref="AY237" si="706">IF(AP237&lt;&gt;" ",IF(AQ237&gt;$B$15,"Нет","Да")," ")</f>
        <v xml:space="preserve"> </v>
      </c>
      <c r="AZ237" s="441" t="str">
        <f t="shared" ref="AZ237" si="707">IF(AP237&lt;&gt;" ",IF(AW237&gt;0.5*(AV237+AV238),"Да","Нет")," ")</f>
        <v xml:space="preserve"> </v>
      </c>
      <c r="BA237" s="441" t="str">
        <f t="shared" ref="BA237" si="708">IF(AP237&lt;&gt;" ",IF(OR($AX$229&lt;7,$AX$229=7),"Да","Нет")," ")</f>
        <v xml:space="preserve"> </v>
      </c>
      <c r="BB237" s="441" t="str">
        <f t="shared" ref="BB237" si="709">IF(AP237&lt;&gt;" ",IF(AW237&gt;0.2*0.5*(AR237+AR238),"Да","Нет")," ")</f>
        <v xml:space="preserve"> </v>
      </c>
      <c r="BC237" s="353">
        <f t="shared" si="613"/>
        <v>0</v>
      </c>
      <c r="BD237" s="443" t="str">
        <f t="shared" ref="BD237" si="710">IF(AP237&lt;&gt;" ",IF(OR(AU237&lt;AR237,AU237=AR237),0.8*AW237*AP237/(5*$AX$229*10),0.8*AW237*AP237/($AX$229*10))," ")</f>
        <v xml:space="preserve"> </v>
      </c>
      <c r="BE237" s="353">
        <f t="shared" si="593"/>
        <v>0</v>
      </c>
      <c r="BF237" s="232"/>
      <c r="BH237" s="418"/>
      <c r="BI237" s="419"/>
      <c r="BJ237" s="202"/>
      <c r="BK237" s="419"/>
      <c r="BL237" s="213"/>
    </row>
    <row r="238" spans="33:64" ht="15.75" thickBot="1">
      <c r="AG238" s="370"/>
      <c r="AH238" s="370"/>
      <c r="AI238" s="364"/>
      <c r="AJ238" s="425"/>
      <c r="AK238" s="364"/>
      <c r="AL238" s="370"/>
      <c r="AM238" s="459"/>
      <c r="AN238" s="376"/>
      <c r="AO238" s="353"/>
      <c r="AP238" s="353"/>
      <c r="AQ238" s="183" t="str">
        <f>IF(AP237&lt;&gt;" ",MAX($AQ$9:AQ237)+AP237," ")</f>
        <v xml:space="preserve"> </v>
      </c>
      <c r="AR238" s="183" t="str">
        <f>IF(AP237&lt;&gt;" ",MAX($AR$9:AR237)+$AJ$29*AP237," ")</f>
        <v xml:space="preserve"> </v>
      </c>
      <c r="AS238" s="86" t="str">
        <f t="shared" si="572"/>
        <v xml:space="preserve"> </v>
      </c>
      <c r="AT238" s="264" t="str" cm="1">
        <f t="array" ref="AT238">IF(AS238&lt;&gt;" ",Interpol(31,8,Служебный!$H$54:$H$84,Служебный!$I$53:$P$53,Служебный!$I$54:$P$84,'Осадка поля'!$AS238,'Осадка поля'!$B$6)," ")</f>
        <v xml:space="preserve"> </v>
      </c>
      <c r="AU238" s="183" t="str">
        <f t="shared" si="601"/>
        <v xml:space="preserve"> </v>
      </c>
      <c r="AV238" s="183" t="str">
        <f>IF(AP237&lt;&gt;" ",AR238*0.5," ")</f>
        <v xml:space="preserve"> </v>
      </c>
      <c r="AW238" s="353"/>
      <c r="AX238" s="353"/>
      <c r="AY238" s="444"/>
      <c r="AZ238" s="444"/>
      <c r="BA238" s="445"/>
      <c r="BB238" s="444"/>
      <c r="BC238" s="353"/>
      <c r="BD238" s="444"/>
      <c r="BE238" s="353"/>
      <c r="BF238" s="232"/>
      <c r="BH238" s="418"/>
      <c r="BI238" s="419"/>
      <c r="BJ238" s="202"/>
      <c r="BK238" s="419"/>
      <c r="BL238" s="213"/>
    </row>
    <row r="239" spans="33:64">
      <c r="AG239" s="370"/>
      <c r="AH239" s="370"/>
      <c r="AI239" s="364"/>
      <c r="AJ239" s="425"/>
      <c r="AK239" s="364"/>
      <c r="AL239" s="370"/>
      <c r="AM239" s="459"/>
      <c r="AN239" s="376"/>
      <c r="AO239" s="353" t="str">
        <f>IF(AO237=" "," ", IF(AO237&lt;SUM(AN$9:AN$248),AO237+1, " "))</f>
        <v xml:space="preserve"> </v>
      </c>
      <c r="AP239" s="353" t="str">
        <f>IF(AO239&lt;&gt;" ",AM$109/COUNT(AO$109:AO$128), " ")</f>
        <v xml:space="preserve"> </v>
      </c>
      <c r="AQ239" s="183" t="str">
        <f>IF(AP239&lt;&gt;" ",SUM($AP$9:AP237)," ")</f>
        <v xml:space="preserve"> </v>
      </c>
      <c r="AR239" s="183" t="str">
        <f>IF(AP239&lt;&gt;" ",MAX($AR$9:AR238)," ")</f>
        <v xml:space="preserve"> </v>
      </c>
      <c r="AS239" s="86" t="str">
        <f t="shared" si="572"/>
        <v xml:space="preserve"> </v>
      </c>
      <c r="AT239" s="264" t="str" cm="1">
        <f t="array" ref="AT239">IF(AS239&lt;&gt;" ",Interpol(31,8,Служебный!$H$54:$H$84,Служебный!$I$53:$P$53,Служебный!$I$54:$P$84,'Осадка поля'!$AS239,'Осадка поля'!$B$6)," ")</f>
        <v xml:space="preserve"> </v>
      </c>
      <c r="AU239" s="183" t="str">
        <f t="shared" si="601"/>
        <v xml:space="preserve"> </v>
      </c>
      <c r="AV239" s="183" t="str">
        <f>IF(AP239&lt;&gt;" ",AR239*0.5," ")</f>
        <v xml:space="preserve"> </v>
      </c>
      <c r="AW239" s="353" t="str">
        <f>IF(AO239&lt;&gt;" ",(AU239+AU240)/2," ")</f>
        <v xml:space="preserve"> </v>
      </c>
      <c r="AX239" s="353"/>
      <c r="AY239" s="445" t="str">
        <f t="shared" ref="AY239" si="711">IF(AP239&lt;&gt;" ",IF(AQ239&gt;$B$15,"Нет","Да")," ")</f>
        <v xml:space="preserve"> </v>
      </c>
      <c r="AZ239" s="441" t="str">
        <f t="shared" ref="AZ239" si="712">IF(AP239&lt;&gt;" ",IF(AW239&gt;0.5*(AV239+AV240),"Да","Нет")," ")</f>
        <v xml:space="preserve"> </v>
      </c>
      <c r="BA239" s="441" t="str">
        <f t="shared" ref="BA239" si="713">IF(AP239&lt;&gt;" ",IF(OR($AX$229&lt;7,$AX$229=7),"Да","Нет")," ")</f>
        <v xml:space="preserve"> </v>
      </c>
      <c r="BB239" s="441" t="str">
        <f t="shared" ref="BB239" si="714">IF(AP239&lt;&gt;" ",IF(AW239&gt;0.2*0.5*(AR239+AR240),"Да","Нет")," ")</f>
        <v xml:space="preserve"> </v>
      </c>
      <c r="BC239" s="353">
        <f t="shared" si="620"/>
        <v>0</v>
      </c>
      <c r="BD239" s="443" t="str">
        <f t="shared" ref="BD239" si="715">IF(AP239&lt;&gt;" ",IF(OR(AU239&lt;AR239,AU239=AR239),0.8*AW239*AP239/(5*$AX$229*10),0.8*AW239*AP239/($AX$229*10))," ")</f>
        <v xml:space="preserve"> </v>
      </c>
      <c r="BE239" s="353">
        <f t="shared" si="600"/>
        <v>0</v>
      </c>
      <c r="BF239" s="232"/>
      <c r="BH239" s="418"/>
      <c r="BI239" s="419"/>
      <c r="BJ239" s="202"/>
      <c r="BK239" s="419"/>
      <c r="BL239" s="213"/>
    </row>
    <row r="240" spans="33:64" ht="15.75" thickBot="1">
      <c r="AG240" s="370"/>
      <c r="AH240" s="370"/>
      <c r="AI240" s="364"/>
      <c r="AJ240" s="425"/>
      <c r="AK240" s="364"/>
      <c r="AL240" s="370"/>
      <c r="AM240" s="459"/>
      <c r="AN240" s="376"/>
      <c r="AO240" s="353"/>
      <c r="AP240" s="353"/>
      <c r="AQ240" s="183" t="str">
        <f>IF(AP239&lt;&gt;" ",MAX($AQ$9:AQ239)+AP239," ")</f>
        <v xml:space="preserve"> </v>
      </c>
      <c r="AR240" s="183" t="str">
        <f>IF(AP239&lt;&gt;" ",MAX($AR$9:AR239)+$AJ$29*AP239," ")</f>
        <v xml:space="preserve"> </v>
      </c>
      <c r="AS240" s="86" t="str">
        <f t="shared" si="572"/>
        <v xml:space="preserve"> </v>
      </c>
      <c r="AT240" s="264" t="str" cm="1">
        <f t="array" ref="AT240">IF(AS240&lt;&gt;" ",Interpol(31,8,Служебный!$H$54:$H$84,Служебный!$I$53:$P$53,Служебный!$I$54:$P$84,'Осадка поля'!$AS240,'Осадка поля'!$B$6)," ")</f>
        <v xml:space="preserve"> </v>
      </c>
      <c r="AU240" s="183" t="str">
        <f t="shared" si="601"/>
        <v xml:space="preserve"> </v>
      </c>
      <c r="AV240" s="183" t="str">
        <f>IF(AP239&lt;&gt;" ",AR240*0.5," ")</f>
        <v xml:space="preserve"> </v>
      </c>
      <c r="AW240" s="353"/>
      <c r="AX240" s="353"/>
      <c r="AY240" s="444"/>
      <c r="AZ240" s="444"/>
      <c r="BA240" s="445"/>
      <c r="BB240" s="444"/>
      <c r="BC240" s="353"/>
      <c r="BD240" s="444"/>
      <c r="BE240" s="353"/>
      <c r="BF240" s="232"/>
      <c r="BH240" s="418"/>
      <c r="BI240" s="419"/>
      <c r="BJ240" s="202"/>
      <c r="BK240" s="419"/>
      <c r="BL240" s="213"/>
    </row>
    <row r="241" spans="33:64">
      <c r="AG241" s="370"/>
      <c r="AH241" s="370"/>
      <c r="AI241" s="364"/>
      <c r="AJ241" s="425"/>
      <c r="AK241" s="364"/>
      <c r="AL241" s="370"/>
      <c r="AM241" s="459"/>
      <c r="AN241" s="376"/>
      <c r="AO241" s="353" t="str">
        <f>IF(AO239=" "," ", IF(AO239&lt;SUM(AN$9:AN$248),AO239+1, " "))</f>
        <v xml:space="preserve"> </v>
      </c>
      <c r="AP241" s="353" t="str">
        <f>IF(AO241&lt;&gt;" ",AM$109/COUNT(AO$109:AO$128), " ")</f>
        <v xml:space="preserve"> </v>
      </c>
      <c r="AQ241" s="183" t="str">
        <f>IF(AP241&lt;&gt;" ",SUM($AP$9:AP239)," ")</f>
        <v xml:space="preserve"> </v>
      </c>
      <c r="AR241" s="183" t="str">
        <f>IF(AP241&lt;&gt;" ",MAX($AR$9:AR240)," ")</f>
        <v xml:space="preserve"> </v>
      </c>
      <c r="AS241" s="86" t="str">
        <f t="shared" si="572"/>
        <v xml:space="preserve"> </v>
      </c>
      <c r="AT241" s="264" t="str" cm="1">
        <f t="array" ref="AT241">IF(AS241&lt;&gt;" ",Interpol(31,8,Служебный!$H$54:$H$84,Служебный!$I$53:$P$53,Служебный!$I$54:$P$84,'Осадка поля'!$AS241,'Осадка поля'!$B$6)," ")</f>
        <v xml:space="preserve"> </v>
      </c>
      <c r="AU241" s="183" t="str">
        <f t="shared" si="601"/>
        <v xml:space="preserve"> </v>
      </c>
      <c r="AV241" s="183" t="str">
        <f>IF(AP241&lt;&gt;" ",AR241*0.5," ")</f>
        <v xml:space="preserve"> </v>
      </c>
      <c r="AW241" s="353" t="str">
        <f>IF(AO241&lt;&gt;" ",(AU241+AU242)/2," ")</f>
        <v xml:space="preserve"> </v>
      </c>
      <c r="AX241" s="353"/>
      <c r="AY241" s="445" t="str">
        <f t="shared" ref="AY241" si="716">IF(AP241&lt;&gt;" ",IF(AQ241&gt;$B$15,"Нет","Да")," ")</f>
        <v xml:space="preserve"> </v>
      </c>
      <c r="AZ241" s="441" t="str">
        <f t="shared" ref="AZ241" si="717">IF(AP241&lt;&gt;" ",IF(AW241&gt;0.5*(AV241+AV242),"Да","Нет")," ")</f>
        <v xml:space="preserve"> </v>
      </c>
      <c r="BA241" s="441" t="str">
        <f t="shared" ref="BA241" si="718">IF(AP241&lt;&gt;" ",IF(OR($AX$229&lt;7,$AX$229=7),"Да","Нет")," ")</f>
        <v xml:space="preserve"> </v>
      </c>
      <c r="BB241" s="441" t="str">
        <f t="shared" ref="BB241" si="719">IF(AP241&lt;&gt;" ",IF(AW241&gt;0.2*0.5*(AR241+AR242),"Да","Нет")," ")</f>
        <v xml:space="preserve"> </v>
      </c>
      <c r="BC241" s="353">
        <f t="shared" si="627"/>
        <v>0</v>
      </c>
      <c r="BD241" s="443" t="str">
        <f t="shared" ref="BD241" si="720">IF(AP241&lt;&gt;" ",IF(OR(AU241&lt;AR241,AU241=AR241),0.8*AW241*AP241/(5*$AX$229*10),0.8*AW241*AP241/($AX$229*10))," ")</f>
        <v xml:space="preserve"> </v>
      </c>
      <c r="BE241" s="353">
        <f t="shared" si="608"/>
        <v>0</v>
      </c>
      <c r="BF241" s="232"/>
      <c r="BH241" s="418"/>
      <c r="BI241" s="419"/>
      <c r="BJ241" s="202"/>
      <c r="BK241" s="419"/>
      <c r="BL241" s="213"/>
    </row>
    <row r="242" spans="33:64" ht="15.75" thickBot="1">
      <c r="AG242" s="370"/>
      <c r="AH242" s="370"/>
      <c r="AI242" s="364"/>
      <c r="AJ242" s="425"/>
      <c r="AK242" s="364"/>
      <c r="AL242" s="370"/>
      <c r="AM242" s="459"/>
      <c r="AN242" s="376"/>
      <c r="AO242" s="353"/>
      <c r="AP242" s="353"/>
      <c r="AQ242" s="183" t="str">
        <f>IF(AP241&lt;&gt;" ",MAX($AQ$9:AQ241)+AP241," ")</f>
        <v xml:space="preserve"> </v>
      </c>
      <c r="AR242" s="183" t="str">
        <f>IF(AP241&lt;&gt;" ",MAX($AR$9:AR241)+$AJ$29*AP241," ")</f>
        <v xml:space="preserve"> </v>
      </c>
      <c r="AS242" s="86" t="str">
        <f t="shared" si="572"/>
        <v xml:space="preserve"> </v>
      </c>
      <c r="AT242" s="264" t="str" cm="1">
        <f t="array" ref="AT242">IF(AS242&lt;&gt;" ",Interpol(31,8,Служебный!$H$54:$H$84,Служебный!$I$53:$P$53,Служебный!$I$54:$P$84,'Осадка поля'!$AS242,'Осадка поля'!$B$6)," ")</f>
        <v xml:space="preserve"> </v>
      </c>
      <c r="AU242" s="183" t="str">
        <f t="shared" si="601"/>
        <v xml:space="preserve"> </v>
      </c>
      <c r="AV242" s="183" t="str">
        <f>IF(AP241&lt;&gt;" ",AR242*0.5," ")</f>
        <v xml:space="preserve"> </v>
      </c>
      <c r="AW242" s="353"/>
      <c r="AX242" s="353"/>
      <c r="AY242" s="444"/>
      <c r="AZ242" s="444"/>
      <c r="BA242" s="445"/>
      <c r="BB242" s="444"/>
      <c r="BC242" s="353"/>
      <c r="BD242" s="444"/>
      <c r="BE242" s="353"/>
      <c r="BF242" s="232"/>
      <c r="BH242" s="418"/>
      <c r="BI242" s="419"/>
      <c r="BJ242" s="202"/>
      <c r="BK242" s="419"/>
      <c r="BL242" s="213"/>
    </row>
    <row r="243" spans="33:64">
      <c r="AG243" s="370"/>
      <c r="AH243" s="370"/>
      <c r="AI243" s="364"/>
      <c r="AJ243" s="425"/>
      <c r="AK243" s="364"/>
      <c r="AL243" s="370"/>
      <c r="AM243" s="459"/>
      <c r="AN243" s="376"/>
      <c r="AO243" s="353" t="str">
        <f>IF(AO241=" "," ", IF(AO241&lt;SUM(AN$9:AN$248),AO241+1, " "))</f>
        <v xml:space="preserve"> </v>
      </c>
      <c r="AP243" s="353" t="str">
        <f>IF(AO243&lt;&gt;" ",AM$109/COUNT(AO$109:AO$128), " ")</f>
        <v xml:space="preserve"> </v>
      </c>
      <c r="AQ243" s="183" t="str">
        <f>IF(AP243&lt;&gt;" ",SUM($AP$9:AP241)," ")</f>
        <v xml:space="preserve"> </v>
      </c>
      <c r="AR243" s="183" t="str">
        <f>IF(AP243&lt;&gt;" ",MAX($AR$9:AR242)," ")</f>
        <v xml:space="preserve"> </v>
      </c>
      <c r="AS243" s="86" t="str">
        <f t="shared" si="572"/>
        <v xml:space="preserve"> </v>
      </c>
      <c r="AT243" s="264" t="str" cm="1">
        <f t="array" ref="AT243">IF(AS243&lt;&gt;" ",Interpol(31,8,Служебный!$H$54:$H$84,Служебный!$I$53:$P$53,Служебный!$I$54:$P$84,'Осадка поля'!$AS243,'Осадка поля'!$B$6)," ")</f>
        <v xml:space="preserve"> </v>
      </c>
      <c r="AU243" s="183" t="str">
        <f t="shared" si="601"/>
        <v xml:space="preserve"> </v>
      </c>
      <c r="AV243" s="183" t="str">
        <f>IF(AP243&lt;&gt;" ",AR243*0.5," ")</f>
        <v xml:space="preserve"> </v>
      </c>
      <c r="AW243" s="353" t="str">
        <f>IF(AO243&lt;&gt;" ",(AU243+AU244)/2," ")</f>
        <v xml:space="preserve"> </v>
      </c>
      <c r="AX243" s="353"/>
      <c r="AY243" s="445" t="str">
        <f t="shared" ref="AY243" si="721">IF(AP243&lt;&gt;" ",IF(AQ243&gt;$B$15,"Нет","Да")," ")</f>
        <v xml:space="preserve"> </v>
      </c>
      <c r="AZ243" s="441" t="str">
        <f t="shared" ref="AZ243" si="722">IF(AP243&lt;&gt;" ",IF(AW243&gt;0.5*(AV243+AV244),"Да","Нет")," ")</f>
        <v xml:space="preserve"> </v>
      </c>
      <c r="BA243" s="441" t="str">
        <f t="shared" ref="BA243" si="723">IF(AP243&lt;&gt;" ",IF(OR($AX$229&lt;7,$AX$229=7),"Да","Нет")," ")</f>
        <v xml:space="preserve"> </v>
      </c>
      <c r="BB243" s="441" t="str">
        <f t="shared" ref="BB243" si="724">IF(AP243&lt;&gt;" ",IF(AW243&gt;0.2*0.5*(AR243+AR244),"Да","Нет")," ")</f>
        <v xml:space="preserve"> </v>
      </c>
      <c r="BC243" s="353">
        <f t="shared" si="636"/>
        <v>0</v>
      </c>
      <c r="BD243" s="443" t="str">
        <f t="shared" ref="BD243" si="725">IF(AP243&lt;&gt;" ",IF(OR(AU243&lt;AR243,AU243=AR243),0.8*AW243*AP243/(5*$AX$229*10),0.8*AW243*AP243/($AX$229*10))," ")</f>
        <v xml:space="preserve"> </v>
      </c>
      <c r="BE243" s="353">
        <f t="shared" si="615"/>
        <v>0</v>
      </c>
      <c r="BF243" s="232"/>
      <c r="BH243" s="418"/>
      <c r="BI243" s="419"/>
      <c r="BJ243" s="202"/>
      <c r="BK243" s="419"/>
      <c r="BL243" s="213"/>
    </row>
    <row r="244" spans="33:64" ht="15.75" thickBot="1">
      <c r="AG244" s="370"/>
      <c r="AH244" s="370"/>
      <c r="AI244" s="364"/>
      <c r="AJ244" s="425"/>
      <c r="AK244" s="364"/>
      <c r="AL244" s="370"/>
      <c r="AM244" s="459"/>
      <c r="AN244" s="376"/>
      <c r="AO244" s="353"/>
      <c r="AP244" s="353"/>
      <c r="AQ244" s="183" t="str">
        <f>IF(AP243&lt;&gt;" ",MAX($AQ$9:AQ243)+AP243," ")</f>
        <v xml:space="preserve"> </v>
      </c>
      <c r="AR244" s="183" t="str">
        <f>IF(AP243&lt;&gt;" ",MAX($AR$9:AR243)+$AJ$29*AP243," ")</f>
        <v xml:space="preserve"> </v>
      </c>
      <c r="AS244" s="86" t="str">
        <f t="shared" si="572"/>
        <v xml:space="preserve"> </v>
      </c>
      <c r="AT244" s="264" t="str" cm="1">
        <f t="array" ref="AT244">IF(AS244&lt;&gt;" ",Interpol(31,8,Служебный!$H$54:$H$84,Служебный!$I$53:$P$53,Служебный!$I$54:$P$84,'Осадка поля'!$AS244,'Осадка поля'!$B$6)," ")</f>
        <v xml:space="preserve"> </v>
      </c>
      <c r="AU244" s="183" t="str">
        <f t="shared" si="601"/>
        <v xml:space="preserve"> </v>
      </c>
      <c r="AV244" s="183" t="str">
        <f>IF(AP243&lt;&gt;" ",AR244*0.5," ")</f>
        <v xml:space="preserve"> </v>
      </c>
      <c r="AW244" s="353"/>
      <c r="AX244" s="353"/>
      <c r="AY244" s="444"/>
      <c r="AZ244" s="444"/>
      <c r="BA244" s="445"/>
      <c r="BB244" s="444"/>
      <c r="BC244" s="353"/>
      <c r="BD244" s="444"/>
      <c r="BE244" s="353"/>
      <c r="BF244" s="232"/>
      <c r="BH244" s="418"/>
      <c r="BI244" s="419"/>
      <c r="BJ244" s="202"/>
      <c r="BK244" s="419"/>
      <c r="BL244" s="213"/>
    </row>
    <row r="245" spans="33:64">
      <c r="AG245" s="370"/>
      <c r="AH245" s="370"/>
      <c r="AI245" s="364"/>
      <c r="AJ245" s="425"/>
      <c r="AK245" s="364"/>
      <c r="AL245" s="370"/>
      <c r="AM245" s="459"/>
      <c r="AN245" s="376"/>
      <c r="AO245" s="353" t="str">
        <f>IF(AO243=" "," ", IF(AO243&lt;SUM(AN$9:AN$248),AO243+1, " "))</f>
        <v xml:space="preserve"> </v>
      </c>
      <c r="AP245" s="353" t="str">
        <f>IF(AO245&lt;&gt;" ",AM$109/COUNT(AO$109:AO$128), " ")</f>
        <v xml:space="preserve"> </v>
      </c>
      <c r="AQ245" s="183" t="str">
        <f>IF(AP245&lt;&gt;" ",SUM($AP$9:AP243)," ")</f>
        <v xml:space="preserve"> </v>
      </c>
      <c r="AR245" s="183" t="str">
        <f>IF(AP245&lt;&gt;" ",MAX($AR$9:AR244)," ")</f>
        <v xml:space="preserve"> </v>
      </c>
      <c r="AS245" s="86" t="str">
        <f t="shared" si="572"/>
        <v xml:space="preserve"> </v>
      </c>
      <c r="AT245" s="264" t="str" cm="1">
        <f t="array" ref="AT245">IF(AS245&lt;&gt;" ",Interpol(31,8,Служебный!$H$54:$H$84,Служебный!$I$53:$P$53,Служебный!$I$54:$P$84,'Осадка поля'!$AS245,'Осадка поля'!$B$6)," ")</f>
        <v xml:space="preserve"> </v>
      </c>
      <c r="AU245" s="183" t="str">
        <f t="shared" si="601"/>
        <v xml:space="preserve"> </v>
      </c>
      <c r="AV245" s="183" t="str">
        <f>IF(AP245&lt;&gt;" ",AR245*0.5," ")</f>
        <v xml:space="preserve"> </v>
      </c>
      <c r="AW245" s="353" t="str">
        <f>IF(AO245&lt;&gt;" ",(AU245+AU246)/2," ")</f>
        <v xml:space="preserve"> </v>
      </c>
      <c r="AX245" s="353"/>
      <c r="AY245" s="445" t="str">
        <f t="shared" ref="AY245" si="726">IF(AP245&lt;&gt;" ",IF(AQ245&gt;$B$15,"Нет","Да")," ")</f>
        <v xml:space="preserve"> </v>
      </c>
      <c r="AZ245" s="441" t="str">
        <f t="shared" ref="AZ245" si="727">IF(AP245&lt;&gt;" ",IF(AW245&gt;0.5*(AV245+AV246),"Да","Нет")," ")</f>
        <v xml:space="preserve"> </v>
      </c>
      <c r="BA245" s="441" t="str">
        <f t="shared" ref="BA245" si="728">IF(AP245&lt;&gt;" ",IF(OR($AX$229&lt;7,$AX$229=7),"Да","Нет")," ")</f>
        <v xml:space="preserve"> </v>
      </c>
      <c r="BB245" s="441" t="str">
        <f t="shared" ref="BB245" si="729">IF(AP245&lt;&gt;" ",IF(AW245&gt;0.2*0.5*(AR245+AR246),"Да","Нет")," ")</f>
        <v xml:space="preserve"> </v>
      </c>
      <c r="BC245" s="353">
        <f t="shared" si="642"/>
        <v>0</v>
      </c>
      <c r="BD245" s="443" t="str">
        <f t="shared" ref="BD245" si="730">IF(AP245&lt;&gt;" ",IF(OR(AU245&lt;AR245,AU245=AR245),0.8*AW245*AP245/(5*$AX$229*10),0.8*AW245*AP245/($AX$229*10))," ")</f>
        <v xml:space="preserve"> </v>
      </c>
      <c r="BE245" s="353">
        <f t="shared" si="622"/>
        <v>0</v>
      </c>
      <c r="BF245" s="232"/>
      <c r="BH245" s="418"/>
      <c r="BI245" s="419"/>
      <c r="BJ245" s="202"/>
      <c r="BK245" s="419"/>
      <c r="BL245" s="213"/>
    </row>
    <row r="246" spans="33:64" ht="15.75" thickBot="1">
      <c r="AG246" s="370"/>
      <c r="AH246" s="370"/>
      <c r="AI246" s="364"/>
      <c r="AJ246" s="425"/>
      <c r="AK246" s="364"/>
      <c r="AL246" s="370"/>
      <c r="AM246" s="459"/>
      <c r="AN246" s="376"/>
      <c r="AO246" s="353"/>
      <c r="AP246" s="353"/>
      <c r="AQ246" s="183" t="str">
        <f>IF(AP245&lt;&gt;" ",MAX($AQ$9:AQ245)+AP245," ")</f>
        <v xml:space="preserve"> </v>
      </c>
      <c r="AR246" s="183" t="str">
        <f>IF(AP245&lt;&gt;" ",MAX($AR$9:AR245)+$AJ$29*AP245," ")</f>
        <v xml:space="preserve"> </v>
      </c>
      <c r="AS246" s="86" t="str">
        <f t="shared" si="572"/>
        <v xml:space="preserve"> </v>
      </c>
      <c r="AT246" s="264" t="str" cm="1">
        <f t="array" ref="AT246">IF(AS246&lt;&gt;" ",Interpol(31,8,Служебный!$H$54:$H$84,Служебный!$I$53:$P$53,Служебный!$I$54:$P$84,'Осадка поля'!$AS246,'Осадка поля'!$B$6)," ")</f>
        <v xml:space="preserve"> </v>
      </c>
      <c r="AU246" s="183" t="str">
        <f t="shared" si="601"/>
        <v xml:space="preserve"> </v>
      </c>
      <c r="AV246" s="183" t="str">
        <f>IF(AP245&lt;&gt;" ",AR246*0.5," ")</f>
        <v xml:space="preserve"> </v>
      </c>
      <c r="AW246" s="353"/>
      <c r="AX246" s="353"/>
      <c r="AY246" s="444"/>
      <c r="AZ246" s="444"/>
      <c r="BA246" s="445"/>
      <c r="BB246" s="444"/>
      <c r="BC246" s="353"/>
      <c r="BD246" s="444"/>
      <c r="BE246" s="353"/>
      <c r="BF246" s="232"/>
      <c r="BH246" s="418"/>
      <c r="BI246" s="419"/>
      <c r="BJ246" s="202"/>
      <c r="BK246" s="419"/>
      <c r="BL246" s="213"/>
    </row>
    <row r="247" spans="33:64">
      <c r="AG247" s="370"/>
      <c r="AH247" s="370"/>
      <c r="AI247" s="364"/>
      <c r="AJ247" s="425"/>
      <c r="AK247" s="364"/>
      <c r="AL247" s="370"/>
      <c r="AM247" s="459"/>
      <c r="AN247" s="376"/>
      <c r="AO247" s="353" t="str">
        <f>IF(AO245=" "," ", IF(AO245&lt;SUM(AN$9:AN$248),AO245+1, " "))</f>
        <v xml:space="preserve"> </v>
      </c>
      <c r="AP247" s="353" t="str">
        <f>IF(AO247&lt;&gt;" ",AM$109/COUNT(AO$109:AO$128), " ")</f>
        <v xml:space="preserve"> </v>
      </c>
      <c r="AQ247" s="183" t="str">
        <f>IF(AP247&lt;&gt;" ",SUM($AP$9:AP245)," ")</f>
        <v xml:space="preserve"> </v>
      </c>
      <c r="AR247" s="183" t="str">
        <f>IF(AP247&lt;&gt;" ",MAX($AR$9:AR246)," ")</f>
        <v xml:space="preserve"> </v>
      </c>
      <c r="AS247" s="86" t="str">
        <f t="shared" si="572"/>
        <v xml:space="preserve"> </v>
      </c>
      <c r="AT247" s="264" t="str" cm="1">
        <f t="array" ref="AT247">IF(AS247&lt;&gt;" ",Interpol(31,8,Служебный!$H$54:$H$84,Служебный!$I$53:$P$53,Служебный!$I$54:$P$84,'Осадка поля'!$AS247,'Осадка поля'!$B$6)," ")</f>
        <v xml:space="preserve"> </v>
      </c>
      <c r="AU247" s="183" t="str">
        <f t="shared" si="601"/>
        <v xml:space="preserve"> </v>
      </c>
      <c r="AV247" s="183" t="str">
        <f>IF(AP247&lt;&gt;" ",AR247*0.5," ")</f>
        <v xml:space="preserve"> </v>
      </c>
      <c r="AW247" s="353" t="str">
        <f>IF(AO247&lt;&gt;" ",(AU247+AU248)/2," ")</f>
        <v xml:space="preserve"> </v>
      </c>
      <c r="AX247" s="353"/>
      <c r="AY247" s="445" t="str">
        <f t="shared" ref="AY247" si="731">IF(AP247&lt;&gt;" ",IF(AQ247&gt;$B$15,"Нет","Да")," ")</f>
        <v xml:space="preserve"> </v>
      </c>
      <c r="AZ247" s="441" t="str">
        <f t="shared" ref="AZ247" si="732">IF(AP247&lt;&gt;" ",IF(AW247&gt;0.5*(AV247+AV248),"Да","Нет")," ")</f>
        <v xml:space="preserve"> </v>
      </c>
      <c r="BA247" s="441" t="str">
        <f t="shared" ref="BA247" si="733">IF(AP247&lt;&gt;" ",IF(OR($AX$229&lt;7,$AX$229=7),"Да","Нет")," ")</f>
        <v xml:space="preserve"> </v>
      </c>
      <c r="BB247" s="441" t="str">
        <f t="shared" ref="BB247" si="734">IF(AP247&lt;&gt;" ",IF(AW247&gt;0.2*0.5*(AR247+AR248),"Да","Нет")," ")</f>
        <v xml:space="preserve"> </v>
      </c>
      <c r="BC247" s="353">
        <f t="shared" ref="BC247" si="735">IF(AND(BE247&lt;&gt;0,BE247&lt;&gt;" "),AP247,0)</f>
        <v>0</v>
      </c>
      <c r="BD247" s="443" t="str">
        <f t="shared" ref="BD247" si="736">IF(AP247&lt;&gt;" ",IF(OR(AU247&lt;AR247,AU247=AR247),0.8*AW247*AP247/(5*$AX$229*10),0.8*AW247*AP247/($AX$229*10))," ")</f>
        <v xml:space="preserve"> </v>
      </c>
      <c r="BE247" s="353">
        <f t="shared" si="629"/>
        <v>0</v>
      </c>
      <c r="BF247" s="232"/>
      <c r="BH247" s="418"/>
      <c r="BI247" s="419"/>
      <c r="BJ247" s="202"/>
      <c r="BK247" s="419"/>
      <c r="BL247" s="213"/>
    </row>
    <row r="248" spans="33:64" ht="15.75" thickBot="1">
      <c r="AG248" s="370"/>
      <c r="AH248" s="370"/>
      <c r="AI248" s="364"/>
      <c r="AJ248" s="425"/>
      <c r="AK248" s="364"/>
      <c r="AL248" s="370"/>
      <c r="AM248" s="459"/>
      <c r="AN248" s="376"/>
      <c r="AO248" s="353"/>
      <c r="AP248" s="353"/>
      <c r="AQ248" s="183" t="str">
        <f>IF(AP247&lt;&gt;" ",MAX($AQ$9:AQ247)+AP247," ")</f>
        <v xml:space="preserve"> </v>
      </c>
      <c r="AR248" s="183" t="str">
        <f>IF(AP247&lt;&gt;" ",MAX($AR$9:AR247)+$AJ$29*AP247," ")</f>
        <v xml:space="preserve"> </v>
      </c>
      <c r="AS248" s="86" t="str">
        <f t="shared" si="572"/>
        <v xml:space="preserve"> </v>
      </c>
      <c r="AT248" s="264" t="str" cm="1">
        <f t="array" ref="AT248">IF(AS248&lt;&gt;" ",Interpol(31,8,Служебный!$H$54:$H$84,Служебный!$I$53:$P$53,Служебный!$I$54:$P$84,'Осадка поля'!$AS248,'Осадка поля'!$B$6)," ")</f>
        <v xml:space="preserve"> </v>
      </c>
      <c r="AU248" s="183" t="str">
        <f t="shared" si="601"/>
        <v xml:space="preserve"> </v>
      </c>
      <c r="AV248" s="183" t="str">
        <f>IF(AP247&lt;&gt;" ",AR248*0.5," ")</f>
        <v xml:space="preserve"> </v>
      </c>
      <c r="AW248" s="353"/>
      <c r="AX248" s="353"/>
      <c r="AY248" s="444"/>
      <c r="AZ248" s="444"/>
      <c r="BA248" s="445"/>
      <c r="BB248" s="444"/>
      <c r="BC248" s="353"/>
      <c r="BD248" s="444"/>
      <c r="BE248" s="353"/>
      <c r="BF248" s="232"/>
      <c r="BH248" s="458"/>
      <c r="BI248" s="457"/>
      <c r="BJ248" s="203"/>
      <c r="BK248" s="457"/>
      <c r="BL248" s="214"/>
    </row>
    <row r="249" spans="33:64">
      <c r="AG249" s="370">
        <f t="shared" si="630"/>
        <v>22</v>
      </c>
      <c r="AH249" s="390">
        <f>IF(AG249&gt;20,0,VLOOKUP(AG249,Скважина!$E$8:$K$27,2,FALSE))</f>
        <v>0</v>
      </c>
      <c r="AI249" s="388">
        <f>IF(OR(AH249=0,AG249&gt;20),0,VLOOKUP(AH249,Геология!$D$7:$BO$993,7,FALSE))</f>
        <v>0</v>
      </c>
      <c r="AJ249" s="425" t="e">
        <f>VLOOKUP(AH249,Геология!$D$7:$BO$993,23,FALSE)</f>
        <v>#N/A</v>
      </c>
      <c r="AK249" s="364">
        <f t="shared" ref="AK249" si="737">IF(AM229&lt;&gt;0,AL229,AK229)</f>
        <v>111.73</v>
      </c>
      <c r="AL249" s="390" t="e">
        <f>VLOOKUP(AG249,Скважина!$E$8:$K$27,5,FALSE)</f>
        <v>#N/A</v>
      </c>
      <c r="AM249" s="459">
        <f t="shared" ref="AM249" si="738">IF(IF(AH249&lt;&gt;0,AK249-AL249,0)&lt;0,0,IF(AH249&lt;&gt;0,AK249-AL249,0))</f>
        <v>0</v>
      </c>
      <c r="AN249" s="376"/>
      <c r="AO249" s="353" t="str">
        <f>IF(AN249&lt;&gt;0,MAX(AO$9:AO$248)+1," ")</f>
        <v xml:space="preserve"> </v>
      </c>
      <c r="AP249" s="353" t="str">
        <f>IF(AO249&lt;&gt;" ",AM$109/COUNT(AO$109:AO$128), " ")</f>
        <v xml:space="preserve"> </v>
      </c>
      <c r="AQ249" s="183" t="str">
        <f>IF(AP249&lt;&gt;" ",SUM($AP$9:AP247)," ")</f>
        <v xml:space="preserve"> </v>
      </c>
      <c r="AR249" s="183" t="str">
        <f>IF(AP249&lt;&gt;" ",MAX($AR$9:AR248)," ")</f>
        <v xml:space="preserve"> </v>
      </c>
      <c r="AS249" s="86" t="str">
        <f t="shared" si="572"/>
        <v xml:space="preserve"> </v>
      </c>
      <c r="AT249" s="264" t="str" cm="1">
        <f t="array" ref="AT249">IF(AS249&lt;&gt;" ",Interpol(31,8,Служебный!$H$54:$H$84,Служебный!$I$53:$P$53,Служебный!$I$54:$P$84,'Осадка поля'!$AS249,'Осадка поля'!$B$6)," ")</f>
        <v xml:space="preserve"> </v>
      </c>
      <c r="AU249" s="183" t="str">
        <f t="shared" si="601"/>
        <v xml:space="preserve"> </v>
      </c>
      <c r="AV249" s="183" t="str">
        <f>IF(AP249&lt;&gt;" ",AR249*0.5," ")</f>
        <v xml:space="preserve"> </v>
      </c>
      <c r="AW249" s="353" t="str">
        <f>IF(AO249&lt;&gt;" ",(AU249+AU250)/2," ")</f>
        <v xml:space="preserve"> </v>
      </c>
      <c r="AX249" s="444" t="str">
        <f>IF(AH249&lt;&gt;0,VLOOKUP(AH249,Геология!$D$7:$BO$993,21,FALSE)," ")</f>
        <v xml:space="preserve"> </v>
      </c>
      <c r="AY249" s="445" t="str">
        <f t="shared" ref="AY249" si="739">IF(AP249&lt;&gt;" ",IF(AQ249&gt;$B$15,"Нет","Да")," ")</f>
        <v xml:space="preserve"> </v>
      </c>
      <c r="AZ249" s="441" t="str">
        <f t="shared" ref="AZ249" si="740">IF(AP249&lt;&gt;" ",IF(AW249&gt;0.5*(AV249+AV250),"Да","Нет")," ")</f>
        <v xml:space="preserve"> </v>
      </c>
      <c r="BA249" s="441" t="str">
        <f>IF(AP249&lt;&gt;" ",IF(OR($AX$249&lt;7,$AX$249=7),"Да","Нет")," ")</f>
        <v xml:space="preserve"> </v>
      </c>
      <c r="BB249" s="441" t="str">
        <f t="shared" ref="BB249" si="741">IF(AP249&lt;&gt;" ",IF(AW249&gt;0.2*0.5*(AR249+AR250),"Да","Нет")," ")</f>
        <v xml:space="preserve"> </v>
      </c>
      <c r="BC249" s="353">
        <f t="shared" ref="BC249:BC283" si="742">IF(AND(BE249&lt;&gt;0,BE249&lt;&gt;" "),AP249,0)</f>
        <v>0</v>
      </c>
      <c r="BD249" s="443" t="str">
        <f>IF(AP249&lt;&gt;" ",IF(OR(AU249&lt;AR249,AU249=AR249),0.8*AW249*AP249/(5*$AX$249*10),0.8*AW249*AP249/($AX$249*10))," ")</f>
        <v xml:space="preserve"> </v>
      </c>
      <c r="BE249" s="353">
        <f t="shared" ref="BE249" si="743">IF(AP249&lt;&gt;" ",IF(AND(AY249="Нет",AZ249="Нет",BA249="Нет"),0,IF(AY249="Да",BD249,IF(AZ249="Да",BD249,IF(BA249="Да",BD249)))),0)</f>
        <v>0</v>
      </c>
      <c r="BF249" s="232"/>
      <c r="BH249" s="448" t="str">
        <f>IF(AH249&lt;&gt;0,VLOOKUP(AH249,Геология!$D$7:$BO$993,24,FALSE)," ")</f>
        <v xml:space="preserve"> </v>
      </c>
      <c r="BI249" s="449" t="str">
        <f>IF(BH249&lt;&gt;" ",BH249*AM249," ")</f>
        <v xml:space="preserve"> </v>
      </c>
      <c r="BJ249" s="202"/>
      <c r="BK249" s="456" t="str">
        <f>IF(AM249&lt;&gt;0,AX249*AM249," ")</f>
        <v xml:space="preserve"> </v>
      </c>
      <c r="BL249" s="213"/>
    </row>
    <row r="250" spans="33:64" ht="15.75" thickBot="1">
      <c r="AG250" s="370"/>
      <c r="AH250" s="370"/>
      <c r="AI250" s="364"/>
      <c r="AJ250" s="425"/>
      <c r="AK250" s="364"/>
      <c r="AL250" s="370"/>
      <c r="AM250" s="459"/>
      <c r="AN250" s="376"/>
      <c r="AO250" s="353"/>
      <c r="AP250" s="353"/>
      <c r="AQ250" s="183" t="str">
        <f>IF(AP249&lt;&gt;" ",MAX($AQ$9:AQ249)+AP249," ")</f>
        <v xml:space="preserve"> </v>
      </c>
      <c r="AR250" s="183" t="str">
        <f>IF(AP249&lt;&gt;" ",MAX($AR$9:AR249)+$AJ$29*AP249," ")</f>
        <v xml:space="preserve"> </v>
      </c>
      <c r="AS250" s="86" t="str">
        <f t="shared" si="572"/>
        <v xml:space="preserve"> </v>
      </c>
      <c r="AT250" s="264" t="str" cm="1">
        <f t="array" ref="AT250">IF(AS250&lt;&gt;" ",Interpol(31,8,Служебный!$H$54:$H$84,Служебный!$I$53:$P$53,Служебный!$I$54:$P$84,'Осадка поля'!$AS250,'Осадка поля'!$B$6)," ")</f>
        <v xml:space="preserve"> </v>
      </c>
      <c r="AU250" s="183" t="str">
        <f t="shared" si="601"/>
        <v xml:space="preserve"> </v>
      </c>
      <c r="AV250" s="183" t="str">
        <f>IF(AP249&lt;&gt;" ",AR250*0.5," ")</f>
        <v xml:space="preserve"> </v>
      </c>
      <c r="AW250" s="353"/>
      <c r="AX250" s="353"/>
      <c r="AY250" s="444"/>
      <c r="AZ250" s="444"/>
      <c r="BA250" s="445"/>
      <c r="BB250" s="444"/>
      <c r="BC250" s="353"/>
      <c r="BD250" s="444"/>
      <c r="BE250" s="353"/>
      <c r="BF250" s="232"/>
      <c r="BH250" s="418"/>
      <c r="BI250" s="419"/>
      <c r="BJ250" s="202"/>
      <c r="BK250" s="419"/>
      <c r="BL250" s="213"/>
    </row>
    <row r="251" spans="33:64">
      <c r="AG251" s="370"/>
      <c r="AH251" s="370"/>
      <c r="AI251" s="364"/>
      <c r="AJ251" s="425"/>
      <c r="AK251" s="364"/>
      <c r="AL251" s="370"/>
      <c r="AM251" s="459"/>
      <c r="AN251" s="376"/>
      <c r="AO251" s="353" t="str">
        <f>IF(AO249=" "," ", IF(AO249&lt;SUM(AN$9:AN$268),AO249+1, " "))</f>
        <v xml:space="preserve"> </v>
      </c>
      <c r="AP251" s="353" t="str">
        <f>IF(AO251&lt;&gt;" ",AM$109/COUNT(AO$109:AO$128), " ")</f>
        <v xml:space="preserve"> </v>
      </c>
      <c r="AQ251" s="183" t="str">
        <f>IF(AP251&lt;&gt;" ",SUM($AP$9:AP249)," ")</f>
        <v xml:space="preserve"> </v>
      </c>
      <c r="AR251" s="183" t="str">
        <f>IF(AP251&lt;&gt;" ",MAX($AR$9:AR250)," ")</f>
        <v xml:space="preserve"> </v>
      </c>
      <c r="AS251" s="86" t="str">
        <f t="shared" si="572"/>
        <v xml:space="preserve"> </v>
      </c>
      <c r="AT251" s="264" t="str" cm="1">
        <f t="array" ref="AT251">IF(AS251&lt;&gt;" ",Interpol(31,8,Служебный!$H$54:$H$84,Служебный!$I$53:$P$53,Служебный!$I$54:$P$84,'Осадка поля'!$AS251,'Осадка поля'!$B$6)," ")</f>
        <v xml:space="preserve"> </v>
      </c>
      <c r="AU251" s="183" t="str">
        <f t="shared" si="601"/>
        <v xml:space="preserve"> </v>
      </c>
      <c r="AV251" s="183" t="str">
        <f>IF(AP251&lt;&gt;" ",AR251*0.5," ")</f>
        <v xml:space="preserve"> </v>
      </c>
      <c r="AW251" s="353" t="str">
        <f>IF(AO251&lt;&gt;" ",(AU251+AU252)/2," ")</f>
        <v xml:space="preserve"> </v>
      </c>
      <c r="AX251" s="353"/>
      <c r="AY251" s="445" t="str">
        <f t="shared" ref="AY251" si="744">IF(AP251&lt;&gt;" ",IF(AQ251&gt;$B$15,"Нет","Да")," ")</f>
        <v xml:space="preserve"> </v>
      </c>
      <c r="AZ251" s="441" t="str">
        <f t="shared" ref="AZ251" si="745">IF(AP251&lt;&gt;" ",IF(AW251&gt;0.5*(AV251+AV252),"Да","Нет")," ")</f>
        <v xml:space="preserve"> </v>
      </c>
      <c r="BA251" s="441" t="str">
        <f t="shared" ref="BA251" si="746">IF(AP251&lt;&gt;" ",IF(OR($AX$249&lt;7,$AX$249=7),"Да","Нет")," ")</f>
        <v xml:space="preserve"> </v>
      </c>
      <c r="BB251" s="441" t="str">
        <f t="shared" ref="BB251" si="747">IF(AP251&lt;&gt;" ",IF(AW251&gt;0.2*0.5*(AR251+AR252),"Да","Нет")," ")</f>
        <v xml:space="preserve"> </v>
      </c>
      <c r="BC251" s="353">
        <f t="shared" ref="BC251:BC285" si="748">IF(AND(BE251&lt;&gt;0,BE251&lt;&gt;" "),AP251,0)</f>
        <v>0</v>
      </c>
      <c r="BD251" s="443" t="str">
        <f t="shared" ref="BD251" si="749">IF(AP251&lt;&gt;" ",IF(OR(AU251&lt;AR251,AU251=AR251),0.8*AW251*AP251/(5*$AX$249*10),0.8*AW251*AP251/($AX$249*10))," ")</f>
        <v xml:space="preserve"> </v>
      </c>
      <c r="BE251" s="353">
        <f t="shared" si="571"/>
        <v>0</v>
      </c>
      <c r="BF251" s="232"/>
      <c r="BH251" s="418"/>
      <c r="BI251" s="419"/>
      <c r="BJ251" s="202"/>
      <c r="BK251" s="419"/>
      <c r="BL251" s="213"/>
    </row>
    <row r="252" spans="33:64" ht="15.75" thickBot="1">
      <c r="AG252" s="370"/>
      <c r="AH252" s="370"/>
      <c r="AI252" s="364"/>
      <c r="AJ252" s="425"/>
      <c r="AK252" s="364"/>
      <c r="AL252" s="370"/>
      <c r="AM252" s="459"/>
      <c r="AN252" s="376"/>
      <c r="AO252" s="353"/>
      <c r="AP252" s="353"/>
      <c r="AQ252" s="183" t="str">
        <f>IF(AP251&lt;&gt;" ",MAX($AQ$9:AQ251)+AP251," ")</f>
        <v xml:space="preserve"> </v>
      </c>
      <c r="AR252" s="183" t="str">
        <f>IF(AP251&lt;&gt;" ",MAX($AR$9:AR251)+$AJ$29*AP251," ")</f>
        <v xml:space="preserve"> </v>
      </c>
      <c r="AS252" s="86" t="str">
        <f t="shared" si="572"/>
        <v xml:space="preserve"> </v>
      </c>
      <c r="AT252" s="264" t="str" cm="1">
        <f t="array" ref="AT252">IF(AS252&lt;&gt;" ",Interpol(31,8,Служебный!$H$54:$H$84,Служебный!$I$53:$P$53,Служебный!$I$54:$P$84,'Осадка поля'!$AS252,'Осадка поля'!$B$6)," ")</f>
        <v xml:space="preserve"> </v>
      </c>
      <c r="AU252" s="183" t="str">
        <f t="shared" si="601"/>
        <v xml:space="preserve"> </v>
      </c>
      <c r="AV252" s="183" t="str">
        <f>IF(AP251&lt;&gt;" ",AR252*0.5," ")</f>
        <v xml:space="preserve"> </v>
      </c>
      <c r="AW252" s="353"/>
      <c r="AX252" s="353"/>
      <c r="AY252" s="444"/>
      <c r="AZ252" s="444"/>
      <c r="BA252" s="445"/>
      <c r="BB252" s="444"/>
      <c r="BC252" s="353"/>
      <c r="BD252" s="444"/>
      <c r="BE252" s="353"/>
      <c r="BF252" s="232"/>
      <c r="BH252" s="418"/>
      <c r="BI252" s="419"/>
      <c r="BJ252" s="202"/>
      <c r="BK252" s="419"/>
      <c r="BL252" s="213"/>
    </row>
    <row r="253" spans="33:64">
      <c r="AG253" s="370"/>
      <c r="AH253" s="370"/>
      <c r="AI253" s="364"/>
      <c r="AJ253" s="425"/>
      <c r="AK253" s="364"/>
      <c r="AL253" s="370"/>
      <c r="AM253" s="459"/>
      <c r="AN253" s="376"/>
      <c r="AO253" s="353" t="str">
        <f>IF(AO251=" "," ", IF(AO251&lt;SUM(AN$9:AN$268),AO251+1, " "))</f>
        <v xml:space="preserve"> </v>
      </c>
      <c r="AP253" s="353" t="str">
        <f>IF(AO253&lt;&gt;" ",AM$109/COUNT(AO$109:AO$128), " ")</f>
        <v xml:space="preserve"> </v>
      </c>
      <c r="AQ253" s="183" t="str">
        <f>IF(AP253&lt;&gt;" ",SUM($AP$9:AP251)," ")</f>
        <v xml:space="preserve"> </v>
      </c>
      <c r="AR253" s="183" t="str">
        <f>IF(AP253&lt;&gt;" ",MAX($AR$9:AR252)," ")</f>
        <v xml:space="preserve"> </v>
      </c>
      <c r="AS253" s="86" t="str">
        <f t="shared" si="572"/>
        <v xml:space="preserve"> </v>
      </c>
      <c r="AT253" s="264" t="str" cm="1">
        <f t="array" ref="AT253">IF(AS253&lt;&gt;" ",Interpol(31,8,Служебный!$H$54:$H$84,Служебный!$I$53:$P$53,Служебный!$I$54:$P$84,'Осадка поля'!$AS253,'Осадка поля'!$B$6)," ")</f>
        <v xml:space="preserve"> </v>
      </c>
      <c r="AU253" s="183" t="str">
        <f t="shared" si="601"/>
        <v xml:space="preserve"> </v>
      </c>
      <c r="AV253" s="183" t="str">
        <f>IF(AP253&lt;&gt;" ",AR253*0.5," ")</f>
        <v xml:space="preserve"> </v>
      </c>
      <c r="AW253" s="353" t="str">
        <f>IF(AO253&lt;&gt;" ",(AU253+AU254)/2," ")</f>
        <v xml:space="preserve"> </v>
      </c>
      <c r="AX253" s="353"/>
      <c r="AY253" s="445" t="str">
        <f t="shared" ref="AY253" si="750">IF(AP253&lt;&gt;" ",IF(AQ253&gt;$B$15,"Нет","Да")," ")</f>
        <v xml:space="preserve"> </v>
      </c>
      <c r="AZ253" s="441" t="str">
        <f t="shared" ref="AZ253" si="751">IF(AP253&lt;&gt;" ",IF(AW253&gt;0.5*(AV253+AV254),"Да","Нет")," ")</f>
        <v xml:space="preserve"> </v>
      </c>
      <c r="BA253" s="441" t="str">
        <f t="shared" ref="BA253" si="752">IF(AP253&lt;&gt;" ",IF(OR($AX$249&lt;7,$AX$249=7),"Да","Нет")," ")</f>
        <v xml:space="preserve"> </v>
      </c>
      <c r="BB253" s="441" t="str">
        <f t="shared" ref="BB253" si="753">IF(AP253&lt;&gt;" ",IF(AW253&gt;0.2*0.5*(AR253+AR254),"Да","Нет")," ")</f>
        <v xml:space="preserve"> </v>
      </c>
      <c r="BC253" s="353">
        <f t="shared" ref="BC253:BC287" si="754">IF(AND(BE253&lt;&gt;0,BE253&lt;&gt;" "),AP253,0)</f>
        <v>0</v>
      </c>
      <c r="BD253" s="443" t="str">
        <f t="shared" ref="BD253" si="755">IF(AP253&lt;&gt;" ",IF(OR(AU253&lt;AR253,AU253=AR253),0.8*AW253*AP253/(5*$AX$249*10),0.8*AW253*AP253/($AX$249*10))," ")</f>
        <v xml:space="preserve"> </v>
      </c>
      <c r="BE253" s="353">
        <f t="shared" si="579"/>
        <v>0</v>
      </c>
      <c r="BF253" s="232"/>
      <c r="BH253" s="418"/>
      <c r="BI253" s="419"/>
      <c r="BJ253" s="202"/>
      <c r="BK253" s="419"/>
      <c r="BL253" s="213"/>
    </row>
    <row r="254" spans="33:64" ht="15.75" thickBot="1">
      <c r="AG254" s="370"/>
      <c r="AH254" s="370"/>
      <c r="AI254" s="364"/>
      <c r="AJ254" s="425"/>
      <c r="AK254" s="364"/>
      <c r="AL254" s="370"/>
      <c r="AM254" s="459"/>
      <c r="AN254" s="376"/>
      <c r="AO254" s="353"/>
      <c r="AP254" s="353"/>
      <c r="AQ254" s="183" t="str">
        <f>IF(AP253&lt;&gt;" ",MAX($AQ$9:AQ253)+AP253," ")</f>
        <v xml:space="preserve"> </v>
      </c>
      <c r="AR254" s="183" t="str">
        <f>IF(AP253&lt;&gt;" ",MAX($AR$9:AR253)+$AJ$29*AP253," ")</f>
        <v xml:space="preserve"> </v>
      </c>
      <c r="AS254" s="86" t="str">
        <f t="shared" si="572"/>
        <v xml:space="preserve"> </v>
      </c>
      <c r="AT254" s="264" t="str" cm="1">
        <f t="array" ref="AT254">IF(AS254&lt;&gt;" ",Interpol(31,8,Служебный!$H$54:$H$84,Служебный!$I$53:$P$53,Служебный!$I$54:$P$84,'Осадка поля'!$AS254,'Осадка поля'!$B$6)," ")</f>
        <v xml:space="preserve"> </v>
      </c>
      <c r="AU254" s="183" t="str">
        <f t="shared" si="601"/>
        <v xml:space="preserve"> </v>
      </c>
      <c r="AV254" s="183" t="str">
        <f>IF(AP253&lt;&gt;" ",AR254*0.5," ")</f>
        <v xml:space="preserve"> </v>
      </c>
      <c r="AW254" s="353"/>
      <c r="AX254" s="353"/>
      <c r="AY254" s="444"/>
      <c r="AZ254" s="444"/>
      <c r="BA254" s="445"/>
      <c r="BB254" s="444"/>
      <c r="BC254" s="353"/>
      <c r="BD254" s="444"/>
      <c r="BE254" s="353"/>
      <c r="BF254" s="232"/>
      <c r="BH254" s="418"/>
      <c r="BI254" s="419"/>
      <c r="BJ254" s="202"/>
      <c r="BK254" s="419"/>
      <c r="BL254" s="213"/>
    </row>
    <row r="255" spans="33:64">
      <c r="AG255" s="370"/>
      <c r="AH255" s="370"/>
      <c r="AI255" s="364"/>
      <c r="AJ255" s="425"/>
      <c r="AK255" s="364"/>
      <c r="AL255" s="370"/>
      <c r="AM255" s="459"/>
      <c r="AN255" s="376"/>
      <c r="AO255" s="353" t="str">
        <f>IF(AO253=" "," ", IF(AO253&lt;SUM(AN$9:AN$268),AO253+1, " "))</f>
        <v xml:space="preserve"> </v>
      </c>
      <c r="AP255" s="353" t="str">
        <f>IF(AO255&lt;&gt;" ",AM$109/COUNT(AO$109:AO$128), " ")</f>
        <v xml:space="preserve"> </v>
      </c>
      <c r="AQ255" s="183" t="str">
        <f>IF(AP255&lt;&gt;" ",SUM($AP$9:AP253)," ")</f>
        <v xml:space="preserve"> </v>
      </c>
      <c r="AR255" s="183" t="str">
        <f>IF(AP255&lt;&gt;" ",MAX($AR$9:AR254)," ")</f>
        <v xml:space="preserve"> </v>
      </c>
      <c r="AS255" s="86" t="str">
        <f t="shared" si="572"/>
        <v xml:space="preserve"> </v>
      </c>
      <c r="AT255" s="264" t="str" cm="1">
        <f t="array" ref="AT255">IF(AS255&lt;&gt;" ",Interpol(31,8,Служебный!$H$54:$H$84,Служебный!$I$53:$P$53,Служебный!$I$54:$P$84,'Осадка поля'!$AS255,'Осадка поля'!$B$6)," ")</f>
        <v xml:space="preserve"> </v>
      </c>
      <c r="AU255" s="183" t="str">
        <f t="shared" si="601"/>
        <v xml:space="preserve"> </v>
      </c>
      <c r="AV255" s="183" t="str">
        <f>IF(AP255&lt;&gt;" ",AR255*0.5," ")</f>
        <v xml:space="preserve"> </v>
      </c>
      <c r="AW255" s="353" t="str">
        <f>IF(AO255&lt;&gt;" ",(AU255+AU256)/2," ")</f>
        <v xml:space="preserve"> </v>
      </c>
      <c r="AX255" s="353"/>
      <c r="AY255" s="445" t="str">
        <f t="shared" ref="AY255" si="756">IF(AP255&lt;&gt;" ",IF(AQ255&gt;$B$15,"Нет","Да")," ")</f>
        <v xml:space="preserve"> </v>
      </c>
      <c r="AZ255" s="441" t="str">
        <f t="shared" ref="AZ255" si="757">IF(AP255&lt;&gt;" ",IF(AW255&gt;0.5*(AV255+AV256),"Да","Нет")," ")</f>
        <v xml:space="preserve"> </v>
      </c>
      <c r="BA255" s="441" t="str">
        <f t="shared" ref="BA255" si="758">IF(AP255&lt;&gt;" ",IF(OR($AX$249&lt;7,$AX$249=7),"Да","Нет")," ")</f>
        <v xml:space="preserve"> </v>
      </c>
      <c r="BB255" s="441" t="str">
        <f t="shared" ref="BB255" si="759">IF(AP255&lt;&gt;" ",IF(AW255&gt;0.2*0.5*(AR255+AR256),"Да","Нет")," ")</f>
        <v xml:space="preserve"> </v>
      </c>
      <c r="BC255" s="353">
        <f t="shared" ref="BC255:BC289" si="760">IF(AND(BE255&lt;&gt;0,BE255&lt;&gt;" "),AP255,0)</f>
        <v>0</v>
      </c>
      <c r="BD255" s="443" t="str">
        <f t="shared" ref="BD255" si="761">IF(AP255&lt;&gt;" ",IF(OR(AU255&lt;AR255,AU255=AR255),0.8*AW255*AP255/(5*$AX$249*10),0.8*AW255*AP255/($AX$249*10))," ")</f>
        <v xml:space="preserve"> </v>
      </c>
      <c r="BE255" s="353">
        <f t="shared" si="586"/>
        <v>0</v>
      </c>
      <c r="BF255" s="232"/>
      <c r="BH255" s="418"/>
      <c r="BI255" s="419"/>
      <c r="BJ255" s="202"/>
      <c r="BK255" s="419"/>
      <c r="BL255" s="213"/>
    </row>
    <row r="256" spans="33:64" ht="15.75" thickBot="1">
      <c r="AG256" s="370"/>
      <c r="AH256" s="370"/>
      <c r="AI256" s="364"/>
      <c r="AJ256" s="425"/>
      <c r="AK256" s="364"/>
      <c r="AL256" s="370"/>
      <c r="AM256" s="459"/>
      <c r="AN256" s="376"/>
      <c r="AO256" s="353"/>
      <c r="AP256" s="353"/>
      <c r="AQ256" s="183" t="str">
        <f>IF(AP255&lt;&gt;" ",MAX($AQ$9:AQ255)+AP255," ")</f>
        <v xml:space="preserve"> </v>
      </c>
      <c r="AR256" s="183" t="str">
        <f>IF(AP255&lt;&gt;" ",MAX($AR$9:AR255)+$AJ$29*AP255," ")</f>
        <v xml:space="preserve"> </v>
      </c>
      <c r="AS256" s="86" t="str">
        <f t="shared" si="572"/>
        <v xml:space="preserve"> </v>
      </c>
      <c r="AT256" s="264" t="str" cm="1">
        <f t="array" ref="AT256">IF(AS256&lt;&gt;" ",Interpol(31,8,Служебный!$H$54:$H$84,Служебный!$I$53:$P$53,Служебный!$I$54:$P$84,'Осадка поля'!$AS256,'Осадка поля'!$B$6)," ")</f>
        <v xml:space="preserve"> </v>
      </c>
      <c r="AU256" s="183" t="str">
        <f t="shared" si="601"/>
        <v xml:space="preserve"> </v>
      </c>
      <c r="AV256" s="183" t="str">
        <f>IF(AP255&lt;&gt;" ",AR256*0.5," ")</f>
        <v xml:space="preserve"> </v>
      </c>
      <c r="AW256" s="353"/>
      <c r="AX256" s="353"/>
      <c r="AY256" s="444"/>
      <c r="AZ256" s="444"/>
      <c r="BA256" s="445"/>
      <c r="BB256" s="444"/>
      <c r="BC256" s="353"/>
      <c r="BD256" s="444"/>
      <c r="BE256" s="353"/>
      <c r="BF256" s="232"/>
      <c r="BH256" s="418"/>
      <c r="BI256" s="419"/>
      <c r="BJ256" s="202"/>
      <c r="BK256" s="419"/>
      <c r="BL256" s="213"/>
    </row>
    <row r="257" spans="33:64">
      <c r="AG257" s="370"/>
      <c r="AH257" s="370"/>
      <c r="AI257" s="364"/>
      <c r="AJ257" s="425"/>
      <c r="AK257" s="364"/>
      <c r="AL257" s="370"/>
      <c r="AM257" s="459"/>
      <c r="AN257" s="376"/>
      <c r="AO257" s="353" t="str">
        <f>IF(AO255=" "," ", IF(AO255&lt;SUM(AN$9:AN$268),AO255+1, " "))</f>
        <v xml:space="preserve"> </v>
      </c>
      <c r="AP257" s="353" t="str">
        <f>IF(AO257&lt;&gt;" ",AM$109/COUNT(AO$109:AO$128), " ")</f>
        <v xml:space="preserve"> </v>
      </c>
      <c r="AQ257" s="183" t="str">
        <f>IF(AP257&lt;&gt;" ",SUM($AP$9:AP255)," ")</f>
        <v xml:space="preserve"> </v>
      </c>
      <c r="AR257" s="183" t="str">
        <f>IF(AP257&lt;&gt;" ",MAX($AR$9:AR256)," ")</f>
        <v xml:space="preserve"> </v>
      </c>
      <c r="AS257" s="86" t="str">
        <f t="shared" ref="AS257:AS320" si="762">IF(AQ257&lt;&gt;" ",2*AQ257/$B$10," ")</f>
        <v xml:space="preserve"> </v>
      </c>
      <c r="AT257" s="264" t="str" cm="1">
        <f t="array" ref="AT257">IF(AS257&lt;&gt;" ",Interpol(31,8,Служебный!$H$54:$H$84,Служебный!$I$53:$P$53,Служебный!$I$54:$P$84,'Осадка поля'!$AS257,'Осадка поля'!$B$6)," ")</f>
        <v xml:space="preserve"> </v>
      </c>
      <c r="AU257" s="183" t="str">
        <f t="shared" si="601"/>
        <v xml:space="preserve"> </v>
      </c>
      <c r="AV257" s="183" t="str">
        <f>IF(AP257&lt;&gt;" ",AR257*0.5," ")</f>
        <v xml:space="preserve"> </v>
      </c>
      <c r="AW257" s="353" t="str">
        <f>IF(AO257&lt;&gt;" ",(AU257+AU258)/2," ")</f>
        <v xml:space="preserve"> </v>
      </c>
      <c r="AX257" s="353"/>
      <c r="AY257" s="445" t="str">
        <f t="shared" ref="AY257" si="763">IF(AP257&lt;&gt;" ",IF(AQ257&gt;$B$15,"Нет","Да")," ")</f>
        <v xml:space="preserve"> </v>
      </c>
      <c r="AZ257" s="441" t="str">
        <f t="shared" ref="AZ257" si="764">IF(AP257&lt;&gt;" ",IF(AW257&gt;0.5*(AV257+AV258),"Да","Нет")," ")</f>
        <v xml:space="preserve"> </v>
      </c>
      <c r="BA257" s="441" t="str">
        <f t="shared" ref="BA257" si="765">IF(AP257&lt;&gt;" ",IF(OR($AX$249&lt;7,$AX$249=7),"Да","Нет")," ")</f>
        <v xml:space="preserve"> </v>
      </c>
      <c r="BB257" s="441" t="str">
        <f t="shared" ref="BB257" si="766">IF(AP257&lt;&gt;" ",IF(AW257&gt;0.2*0.5*(AR257+AR258),"Да","Нет")," ")</f>
        <v xml:space="preserve"> </v>
      </c>
      <c r="BC257" s="353">
        <f t="shared" ref="BC257:BC291" si="767">IF(AND(BE257&lt;&gt;0,BE257&lt;&gt;" "),AP257,0)</f>
        <v>0</v>
      </c>
      <c r="BD257" s="443" t="str">
        <f t="shared" ref="BD257" si="768">IF(AP257&lt;&gt;" ",IF(OR(AU257&lt;AR257,AU257=AR257),0.8*AW257*AP257/(5*$AX$249*10),0.8*AW257*AP257/($AX$249*10))," ")</f>
        <v xml:space="preserve"> </v>
      </c>
      <c r="BE257" s="353">
        <f t="shared" si="593"/>
        <v>0</v>
      </c>
      <c r="BF257" s="232"/>
      <c r="BH257" s="418"/>
      <c r="BI257" s="419"/>
      <c r="BJ257" s="202"/>
      <c r="BK257" s="419"/>
      <c r="BL257" s="213"/>
    </row>
    <row r="258" spans="33:64" ht="15.75" thickBot="1">
      <c r="AG258" s="370"/>
      <c r="AH258" s="370"/>
      <c r="AI258" s="364"/>
      <c r="AJ258" s="425"/>
      <c r="AK258" s="364"/>
      <c r="AL258" s="370"/>
      <c r="AM258" s="459"/>
      <c r="AN258" s="376"/>
      <c r="AO258" s="353"/>
      <c r="AP258" s="353"/>
      <c r="AQ258" s="183" t="str">
        <f>IF(AP257&lt;&gt;" ",MAX($AQ$9:AQ257)+AP257," ")</f>
        <v xml:space="preserve"> </v>
      </c>
      <c r="AR258" s="183" t="str">
        <f>IF(AP257&lt;&gt;" ",MAX($AR$9:AR257)+$AJ$29*AP257," ")</f>
        <v xml:space="preserve"> </v>
      </c>
      <c r="AS258" s="86" t="str">
        <f t="shared" si="762"/>
        <v xml:space="preserve"> </v>
      </c>
      <c r="AT258" s="264" t="str" cm="1">
        <f t="array" ref="AT258">IF(AS258&lt;&gt;" ",Interpol(31,8,Служебный!$H$54:$H$84,Служебный!$I$53:$P$53,Служебный!$I$54:$P$84,'Осадка поля'!$AS258,'Осадка поля'!$B$6)," ")</f>
        <v xml:space="preserve"> </v>
      </c>
      <c r="AU258" s="183" t="str">
        <f t="shared" si="601"/>
        <v xml:space="preserve"> </v>
      </c>
      <c r="AV258" s="183" t="str">
        <f>IF(AP257&lt;&gt;" ",AR258*0.5," ")</f>
        <v xml:space="preserve"> </v>
      </c>
      <c r="AW258" s="353"/>
      <c r="AX258" s="353"/>
      <c r="AY258" s="444"/>
      <c r="AZ258" s="444"/>
      <c r="BA258" s="445"/>
      <c r="BB258" s="444"/>
      <c r="BC258" s="353"/>
      <c r="BD258" s="444"/>
      <c r="BE258" s="353"/>
      <c r="BF258" s="232"/>
      <c r="BH258" s="418"/>
      <c r="BI258" s="419"/>
      <c r="BJ258" s="202"/>
      <c r="BK258" s="419"/>
      <c r="BL258" s="213"/>
    </row>
    <row r="259" spans="33:64">
      <c r="AG259" s="370"/>
      <c r="AH259" s="370"/>
      <c r="AI259" s="364"/>
      <c r="AJ259" s="425"/>
      <c r="AK259" s="364"/>
      <c r="AL259" s="370"/>
      <c r="AM259" s="459"/>
      <c r="AN259" s="376"/>
      <c r="AO259" s="353" t="str">
        <f>IF(AO257=" "," ", IF(AO257&lt;SUM(AN$9:AN$268),AO257+1, " "))</f>
        <v xml:space="preserve"> </v>
      </c>
      <c r="AP259" s="353" t="str">
        <f>IF(AO259&lt;&gt;" ",AM$109/COUNT(AO$109:AO$128), " ")</f>
        <v xml:space="preserve"> </v>
      </c>
      <c r="AQ259" s="183" t="str">
        <f>IF(AP259&lt;&gt;" ",SUM($AP$9:AP257)," ")</f>
        <v xml:space="preserve"> </v>
      </c>
      <c r="AR259" s="183" t="str">
        <f>IF(AP259&lt;&gt;" ",MAX($AR$9:AR258)," ")</f>
        <v xml:space="preserve"> </v>
      </c>
      <c r="AS259" s="86" t="str">
        <f t="shared" si="762"/>
        <v xml:space="preserve"> </v>
      </c>
      <c r="AT259" s="264" t="str" cm="1">
        <f t="array" ref="AT259">IF(AS259&lt;&gt;" ",Interpol(31,8,Служебный!$H$54:$H$84,Служебный!$I$53:$P$53,Служебный!$I$54:$P$84,'Осадка поля'!$AS259,'Осадка поля'!$B$6)," ")</f>
        <v xml:space="preserve"> </v>
      </c>
      <c r="AU259" s="183" t="str">
        <f t="shared" si="601"/>
        <v xml:space="preserve"> </v>
      </c>
      <c r="AV259" s="183" t="str">
        <f>IF(AP259&lt;&gt;" ",AR259*0.5," ")</f>
        <v xml:space="preserve"> </v>
      </c>
      <c r="AW259" s="353" t="str">
        <f>IF(AO259&lt;&gt;" ",(AU259+AU260)/2," ")</f>
        <v xml:space="preserve"> </v>
      </c>
      <c r="AX259" s="353"/>
      <c r="AY259" s="445" t="str">
        <f t="shared" ref="AY259" si="769">IF(AP259&lt;&gt;" ",IF(AQ259&gt;$B$15,"Нет","Да")," ")</f>
        <v xml:space="preserve"> </v>
      </c>
      <c r="AZ259" s="441" t="str">
        <f t="shared" ref="AZ259" si="770">IF(AP259&lt;&gt;" ",IF(AW259&gt;0.5*(AV259+AV260),"Да","Нет")," ")</f>
        <v xml:space="preserve"> </v>
      </c>
      <c r="BA259" s="441" t="str">
        <f t="shared" ref="BA259" si="771">IF(AP259&lt;&gt;" ",IF(OR($AX$249&lt;7,$AX$249=7),"Да","Нет")," ")</f>
        <v xml:space="preserve"> </v>
      </c>
      <c r="BB259" s="441" t="str">
        <f t="shared" ref="BB259" si="772">IF(AP259&lt;&gt;" ",IF(AW259&gt;0.2*0.5*(AR259+AR260),"Да","Нет")," ")</f>
        <v xml:space="preserve"> </v>
      </c>
      <c r="BC259" s="353">
        <f t="shared" ref="BC259:BC293" si="773">IF(AND(BE259&lt;&gt;0,BE259&lt;&gt;" "),AP259,0)</f>
        <v>0</v>
      </c>
      <c r="BD259" s="443" t="str">
        <f t="shared" ref="BD259" si="774">IF(AP259&lt;&gt;" ",IF(OR(AU259&lt;AR259,AU259=AR259),0.8*AW259*AP259/(5*$AX$249*10),0.8*AW259*AP259/($AX$249*10))," ")</f>
        <v xml:space="preserve"> </v>
      </c>
      <c r="BE259" s="353">
        <f t="shared" si="600"/>
        <v>0</v>
      </c>
      <c r="BF259" s="232"/>
      <c r="BH259" s="418"/>
      <c r="BI259" s="419"/>
      <c r="BJ259" s="202"/>
      <c r="BK259" s="419"/>
      <c r="BL259" s="213"/>
    </row>
    <row r="260" spans="33:64" ht="15.75" thickBot="1">
      <c r="AG260" s="370"/>
      <c r="AH260" s="370"/>
      <c r="AI260" s="364"/>
      <c r="AJ260" s="425"/>
      <c r="AK260" s="364"/>
      <c r="AL260" s="370"/>
      <c r="AM260" s="459"/>
      <c r="AN260" s="376"/>
      <c r="AO260" s="353"/>
      <c r="AP260" s="353"/>
      <c r="AQ260" s="183" t="str">
        <f>IF(AP259&lt;&gt;" ",MAX($AQ$9:AQ259)+AP259," ")</f>
        <v xml:space="preserve"> </v>
      </c>
      <c r="AR260" s="183" t="str">
        <f>IF(AP259&lt;&gt;" ",MAX($AR$9:AR259)+$AJ$29*AP259," ")</f>
        <v xml:space="preserve"> </v>
      </c>
      <c r="AS260" s="86" t="str">
        <f t="shared" si="762"/>
        <v xml:space="preserve"> </v>
      </c>
      <c r="AT260" s="264" t="str" cm="1">
        <f t="array" ref="AT260">IF(AS260&lt;&gt;" ",Interpol(31,8,Служебный!$H$54:$H$84,Служебный!$I$53:$P$53,Служебный!$I$54:$P$84,'Осадка поля'!$AS260,'Осадка поля'!$B$6)," ")</f>
        <v xml:space="preserve"> </v>
      </c>
      <c r="AU260" s="183" t="str">
        <f t="shared" si="601"/>
        <v xml:space="preserve"> </v>
      </c>
      <c r="AV260" s="183" t="str">
        <f>IF(AP259&lt;&gt;" ",AR260*0.5," ")</f>
        <v xml:space="preserve"> </v>
      </c>
      <c r="AW260" s="353"/>
      <c r="AX260" s="353"/>
      <c r="AY260" s="444"/>
      <c r="AZ260" s="444"/>
      <c r="BA260" s="445"/>
      <c r="BB260" s="444"/>
      <c r="BC260" s="353"/>
      <c r="BD260" s="444"/>
      <c r="BE260" s="353"/>
      <c r="BF260" s="232"/>
      <c r="BH260" s="418"/>
      <c r="BI260" s="419"/>
      <c r="BJ260" s="202"/>
      <c r="BK260" s="419"/>
      <c r="BL260" s="213"/>
    </row>
    <row r="261" spans="33:64">
      <c r="AG261" s="370"/>
      <c r="AH261" s="370"/>
      <c r="AI261" s="364"/>
      <c r="AJ261" s="425"/>
      <c r="AK261" s="364"/>
      <c r="AL261" s="370"/>
      <c r="AM261" s="459"/>
      <c r="AN261" s="376"/>
      <c r="AO261" s="353" t="str">
        <f>IF(AO259=" "," ", IF(AO259&lt;SUM(AN$9:AN$268),AO259+1, " "))</f>
        <v xml:space="preserve"> </v>
      </c>
      <c r="AP261" s="353" t="str">
        <f>IF(AO261&lt;&gt;" ",AM$109/COUNT(AO$109:AO$128), " ")</f>
        <v xml:space="preserve"> </v>
      </c>
      <c r="AQ261" s="183" t="str">
        <f>IF(AP261&lt;&gt;" ",SUM($AP$9:AP259)," ")</f>
        <v xml:space="preserve"> </v>
      </c>
      <c r="AR261" s="183" t="str">
        <f>IF(AP261&lt;&gt;" ",MAX($AR$9:AR260)," ")</f>
        <v xml:space="preserve"> </v>
      </c>
      <c r="AS261" s="86" t="str">
        <f t="shared" si="762"/>
        <v xml:space="preserve"> </v>
      </c>
      <c r="AT261" s="264" t="str" cm="1">
        <f t="array" ref="AT261">IF(AS261&lt;&gt;" ",Interpol(31,8,Служебный!$H$54:$H$84,Служебный!$I$53:$P$53,Служебный!$I$54:$P$84,'Осадка поля'!$AS261,'Осадка поля'!$B$6)," ")</f>
        <v xml:space="preserve"> </v>
      </c>
      <c r="AU261" s="183" t="str">
        <f t="shared" si="601"/>
        <v xml:space="preserve"> </v>
      </c>
      <c r="AV261" s="183" t="str">
        <f>IF(AP261&lt;&gt;" ",AR261*0.5," ")</f>
        <v xml:space="preserve"> </v>
      </c>
      <c r="AW261" s="353" t="str">
        <f>IF(AO261&lt;&gt;" ",(AU261+AU262)/2," ")</f>
        <v xml:space="preserve"> </v>
      </c>
      <c r="AX261" s="353"/>
      <c r="AY261" s="445" t="str">
        <f t="shared" ref="AY261" si="775">IF(AP261&lt;&gt;" ",IF(AQ261&gt;$B$15,"Нет","Да")," ")</f>
        <v xml:space="preserve"> </v>
      </c>
      <c r="AZ261" s="441" t="str">
        <f t="shared" ref="AZ261" si="776">IF(AP261&lt;&gt;" ",IF(AW261&gt;0.5*(AV261+AV262),"Да","Нет")," ")</f>
        <v xml:space="preserve"> </v>
      </c>
      <c r="BA261" s="441" t="str">
        <f t="shared" ref="BA261" si="777">IF(AP261&lt;&gt;" ",IF(OR($AX$249&lt;7,$AX$249=7),"Да","Нет")," ")</f>
        <v xml:space="preserve"> </v>
      </c>
      <c r="BB261" s="441" t="str">
        <f t="shared" ref="BB261" si="778">IF(AP261&lt;&gt;" ",IF(AW261&gt;0.2*0.5*(AR261+AR262),"Да","Нет")," ")</f>
        <v xml:space="preserve"> </v>
      </c>
      <c r="BC261" s="353">
        <f t="shared" ref="BC261:BC295" si="779">IF(AND(BE261&lt;&gt;0,BE261&lt;&gt;" "),AP261,0)</f>
        <v>0</v>
      </c>
      <c r="BD261" s="443" t="str">
        <f t="shared" ref="BD261" si="780">IF(AP261&lt;&gt;" ",IF(OR(AU261&lt;AR261,AU261=AR261),0.8*AW261*AP261/(5*$AX$249*10),0.8*AW261*AP261/($AX$249*10))," ")</f>
        <v xml:space="preserve"> </v>
      </c>
      <c r="BE261" s="353">
        <f t="shared" si="608"/>
        <v>0</v>
      </c>
      <c r="BF261" s="232"/>
      <c r="BH261" s="418"/>
      <c r="BI261" s="419"/>
      <c r="BJ261" s="202"/>
      <c r="BK261" s="419"/>
      <c r="BL261" s="213"/>
    </row>
    <row r="262" spans="33:64" ht="15.75" thickBot="1">
      <c r="AG262" s="370"/>
      <c r="AH262" s="370"/>
      <c r="AI262" s="364"/>
      <c r="AJ262" s="425"/>
      <c r="AK262" s="364"/>
      <c r="AL262" s="370"/>
      <c r="AM262" s="459"/>
      <c r="AN262" s="376"/>
      <c r="AO262" s="353"/>
      <c r="AP262" s="353"/>
      <c r="AQ262" s="183" t="str">
        <f>IF(AP261&lt;&gt;" ",MAX($AQ$9:AQ261)+AP261," ")</f>
        <v xml:space="preserve"> </v>
      </c>
      <c r="AR262" s="183" t="str">
        <f>IF(AP261&lt;&gt;" ",MAX($AR$9:AR261)+$AJ$29*AP261," ")</f>
        <v xml:space="preserve"> </v>
      </c>
      <c r="AS262" s="86" t="str">
        <f t="shared" si="762"/>
        <v xml:space="preserve"> </v>
      </c>
      <c r="AT262" s="264" t="str" cm="1">
        <f t="array" ref="AT262">IF(AS262&lt;&gt;" ",Interpol(31,8,Служебный!$H$54:$H$84,Служебный!$I$53:$P$53,Служебный!$I$54:$P$84,'Осадка поля'!$AS262,'Осадка поля'!$B$6)," ")</f>
        <v xml:space="preserve"> </v>
      </c>
      <c r="AU262" s="183" t="str">
        <f t="shared" si="601"/>
        <v xml:space="preserve"> </v>
      </c>
      <c r="AV262" s="183" t="str">
        <f>IF(AP261&lt;&gt;" ",AR262*0.5," ")</f>
        <v xml:space="preserve"> </v>
      </c>
      <c r="AW262" s="353"/>
      <c r="AX262" s="353"/>
      <c r="AY262" s="444"/>
      <c r="AZ262" s="444"/>
      <c r="BA262" s="445"/>
      <c r="BB262" s="444"/>
      <c r="BC262" s="353"/>
      <c r="BD262" s="444"/>
      <c r="BE262" s="353"/>
      <c r="BF262" s="232"/>
      <c r="BH262" s="418"/>
      <c r="BI262" s="419"/>
      <c r="BJ262" s="202"/>
      <c r="BK262" s="419"/>
      <c r="BL262" s="213"/>
    </row>
    <row r="263" spans="33:64">
      <c r="AG263" s="370"/>
      <c r="AH263" s="370"/>
      <c r="AI263" s="364"/>
      <c r="AJ263" s="425"/>
      <c r="AK263" s="364"/>
      <c r="AL263" s="370"/>
      <c r="AM263" s="459"/>
      <c r="AN263" s="376"/>
      <c r="AO263" s="353" t="str">
        <f>IF(AO261=" "," ", IF(AO261&lt;SUM(AN$9:AN$268),AO261+1, " "))</f>
        <v xml:space="preserve"> </v>
      </c>
      <c r="AP263" s="353" t="str">
        <f>IF(AO263&lt;&gt;" ",AM$109/COUNT(AO$109:AO$128), " ")</f>
        <v xml:space="preserve"> </v>
      </c>
      <c r="AQ263" s="183" t="str">
        <f>IF(AP263&lt;&gt;" ",SUM($AP$9:AP261)," ")</f>
        <v xml:space="preserve"> </v>
      </c>
      <c r="AR263" s="183" t="str">
        <f>IF(AP263&lt;&gt;" ",MAX($AR$9:AR262)," ")</f>
        <v xml:space="preserve"> </v>
      </c>
      <c r="AS263" s="86" t="str">
        <f t="shared" si="762"/>
        <v xml:space="preserve"> </v>
      </c>
      <c r="AT263" s="264" t="str" cm="1">
        <f t="array" ref="AT263">IF(AS263&lt;&gt;" ",Interpol(31,8,Служебный!$H$54:$H$84,Служебный!$I$53:$P$53,Служебный!$I$54:$P$84,'Осадка поля'!$AS263,'Осадка поля'!$B$6)," ")</f>
        <v xml:space="preserve"> </v>
      </c>
      <c r="AU263" s="183" t="str">
        <f t="shared" si="601"/>
        <v xml:space="preserve"> </v>
      </c>
      <c r="AV263" s="183" t="str">
        <f>IF(AP263&lt;&gt;" ",AR263*0.5," ")</f>
        <v xml:space="preserve"> </v>
      </c>
      <c r="AW263" s="353" t="str">
        <f>IF(AO263&lt;&gt;" ",(AU263+AU264)/2," ")</f>
        <v xml:space="preserve"> </v>
      </c>
      <c r="AX263" s="353"/>
      <c r="AY263" s="445" t="str">
        <f t="shared" ref="AY263" si="781">IF(AP263&lt;&gt;" ",IF(AQ263&gt;$B$15,"Нет","Да")," ")</f>
        <v xml:space="preserve"> </v>
      </c>
      <c r="AZ263" s="441" t="str">
        <f t="shared" ref="AZ263" si="782">IF(AP263&lt;&gt;" ",IF(AW263&gt;0.5*(AV263+AV264),"Да","Нет")," ")</f>
        <v xml:space="preserve"> </v>
      </c>
      <c r="BA263" s="441" t="str">
        <f t="shared" ref="BA263" si="783">IF(AP263&lt;&gt;" ",IF(OR($AX$249&lt;7,$AX$249=7),"Да","Нет")," ")</f>
        <v xml:space="preserve"> </v>
      </c>
      <c r="BB263" s="441" t="str">
        <f t="shared" ref="BB263" si="784">IF(AP263&lt;&gt;" ",IF(AW263&gt;0.2*0.5*(AR263+AR264),"Да","Нет")," ")</f>
        <v xml:space="preserve"> </v>
      </c>
      <c r="BC263" s="353">
        <f t="shared" ref="BC263:BC297" si="785">IF(AND(BE263&lt;&gt;0,BE263&lt;&gt;" "),AP263,0)</f>
        <v>0</v>
      </c>
      <c r="BD263" s="443" t="str">
        <f t="shared" ref="BD263" si="786">IF(AP263&lt;&gt;" ",IF(OR(AU263&lt;AR263,AU263=AR263),0.8*AW263*AP263/(5*$AX$249*10),0.8*AW263*AP263/($AX$249*10))," ")</f>
        <v xml:space="preserve"> </v>
      </c>
      <c r="BE263" s="353">
        <f t="shared" si="615"/>
        <v>0</v>
      </c>
      <c r="BF263" s="232"/>
      <c r="BH263" s="418"/>
      <c r="BI263" s="419"/>
      <c r="BJ263" s="202"/>
      <c r="BK263" s="419"/>
      <c r="BL263" s="213"/>
    </row>
    <row r="264" spans="33:64" ht="15.75" thickBot="1">
      <c r="AG264" s="370"/>
      <c r="AH264" s="370"/>
      <c r="AI264" s="364"/>
      <c r="AJ264" s="425"/>
      <c r="AK264" s="364"/>
      <c r="AL264" s="370"/>
      <c r="AM264" s="459"/>
      <c r="AN264" s="376"/>
      <c r="AO264" s="353"/>
      <c r="AP264" s="353"/>
      <c r="AQ264" s="183" t="str">
        <f>IF(AP263&lt;&gt;" ",MAX($AQ$9:AQ263)+AP263," ")</f>
        <v xml:space="preserve"> </v>
      </c>
      <c r="AR264" s="183" t="str">
        <f>IF(AP263&lt;&gt;" ",MAX($AR$9:AR263)+$AJ$29*AP263," ")</f>
        <v xml:space="preserve"> </v>
      </c>
      <c r="AS264" s="86" t="str">
        <f t="shared" si="762"/>
        <v xml:space="preserve"> </v>
      </c>
      <c r="AT264" s="264" t="str" cm="1">
        <f t="array" ref="AT264">IF(AS264&lt;&gt;" ",Interpol(31,8,Служебный!$H$54:$H$84,Служебный!$I$53:$P$53,Служебный!$I$54:$P$84,'Осадка поля'!$AS264,'Осадка поля'!$B$6)," ")</f>
        <v xml:space="preserve"> </v>
      </c>
      <c r="AU264" s="183" t="str">
        <f t="shared" si="601"/>
        <v xml:space="preserve"> </v>
      </c>
      <c r="AV264" s="183" t="str">
        <f>IF(AP263&lt;&gt;" ",AR264*0.5," ")</f>
        <v xml:space="preserve"> </v>
      </c>
      <c r="AW264" s="353"/>
      <c r="AX264" s="353"/>
      <c r="AY264" s="444"/>
      <c r="AZ264" s="444"/>
      <c r="BA264" s="445"/>
      <c r="BB264" s="444"/>
      <c r="BC264" s="353"/>
      <c r="BD264" s="444"/>
      <c r="BE264" s="353"/>
      <c r="BF264" s="232"/>
      <c r="BH264" s="418"/>
      <c r="BI264" s="419"/>
      <c r="BJ264" s="202"/>
      <c r="BK264" s="419"/>
      <c r="BL264" s="213"/>
    </row>
    <row r="265" spans="33:64">
      <c r="AG265" s="370"/>
      <c r="AH265" s="370"/>
      <c r="AI265" s="364"/>
      <c r="AJ265" s="425"/>
      <c r="AK265" s="364"/>
      <c r="AL265" s="370"/>
      <c r="AM265" s="459"/>
      <c r="AN265" s="376"/>
      <c r="AO265" s="353" t="str">
        <f>IF(AO263=" "," ", IF(AO263&lt;SUM(AN$9:AN$268),AO263+1, " "))</f>
        <v xml:space="preserve"> </v>
      </c>
      <c r="AP265" s="353" t="str">
        <f>IF(AO265&lt;&gt;" ",AM$109/COUNT(AO$109:AO$128), " ")</f>
        <v xml:space="preserve"> </v>
      </c>
      <c r="AQ265" s="183" t="str">
        <f>IF(AP265&lt;&gt;" ",SUM($AP$9:AP263)," ")</f>
        <v xml:space="preserve"> </v>
      </c>
      <c r="AR265" s="183" t="str">
        <f>IF(AP265&lt;&gt;" ",MAX($AR$9:AR264)," ")</f>
        <v xml:space="preserve"> </v>
      </c>
      <c r="AS265" s="86" t="str">
        <f t="shared" si="762"/>
        <v xml:space="preserve"> </v>
      </c>
      <c r="AT265" s="264" t="str" cm="1">
        <f t="array" ref="AT265">IF(AS265&lt;&gt;" ",Interpol(31,8,Служебный!$H$54:$H$84,Служебный!$I$53:$P$53,Служебный!$I$54:$P$84,'Осадка поля'!$AS265,'Осадка поля'!$B$6)," ")</f>
        <v xml:space="preserve"> </v>
      </c>
      <c r="AU265" s="183" t="str">
        <f t="shared" ref="AU265:AU328" si="787">IF(AS265&lt;&gt;" ",$B$11*AT265," ")</f>
        <v xml:space="preserve"> </v>
      </c>
      <c r="AV265" s="183" t="str">
        <f>IF(AP265&lt;&gt;" ",AR265*0.5," ")</f>
        <v xml:space="preserve"> </v>
      </c>
      <c r="AW265" s="353" t="str">
        <f>IF(AO265&lt;&gt;" ",(AU265+AU266)/2," ")</f>
        <v xml:space="preserve"> </v>
      </c>
      <c r="AX265" s="353"/>
      <c r="AY265" s="445" t="str">
        <f t="shared" ref="AY265" si="788">IF(AP265&lt;&gt;" ",IF(AQ265&gt;$B$15,"Нет","Да")," ")</f>
        <v xml:space="preserve"> </v>
      </c>
      <c r="AZ265" s="441" t="str">
        <f t="shared" ref="AZ265" si="789">IF(AP265&lt;&gt;" ",IF(AW265&gt;0.5*(AV265+AV266),"Да","Нет")," ")</f>
        <v xml:space="preserve"> </v>
      </c>
      <c r="BA265" s="441" t="str">
        <f t="shared" ref="BA265" si="790">IF(AP265&lt;&gt;" ",IF(OR($AX$249&lt;7,$AX$249=7),"Да","Нет")," ")</f>
        <v xml:space="preserve"> </v>
      </c>
      <c r="BB265" s="441" t="str">
        <f t="shared" ref="BB265" si="791">IF(AP265&lt;&gt;" ",IF(AW265&gt;0.2*0.5*(AR265+AR266),"Да","Нет")," ")</f>
        <v xml:space="preserve"> </v>
      </c>
      <c r="BC265" s="353">
        <f t="shared" ref="BC265:BC299" si="792">IF(AND(BE265&lt;&gt;0,BE265&lt;&gt;" "),AP265,0)</f>
        <v>0</v>
      </c>
      <c r="BD265" s="443" t="str">
        <f t="shared" ref="BD265" si="793">IF(AP265&lt;&gt;" ",IF(OR(AU265&lt;AR265,AU265=AR265),0.8*AW265*AP265/(5*$AX$249*10),0.8*AW265*AP265/($AX$249*10))," ")</f>
        <v xml:space="preserve"> </v>
      </c>
      <c r="BE265" s="353">
        <f t="shared" si="622"/>
        <v>0</v>
      </c>
      <c r="BF265" s="232"/>
      <c r="BH265" s="418"/>
      <c r="BI265" s="419"/>
      <c r="BJ265" s="202"/>
      <c r="BK265" s="419"/>
      <c r="BL265" s="213"/>
    </row>
    <row r="266" spans="33:64" ht="15.75" thickBot="1">
      <c r="AG266" s="370"/>
      <c r="AH266" s="370"/>
      <c r="AI266" s="364"/>
      <c r="AJ266" s="425"/>
      <c r="AK266" s="364"/>
      <c r="AL266" s="370"/>
      <c r="AM266" s="459"/>
      <c r="AN266" s="376"/>
      <c r="AO266" s="353"/>
      <c r="AP266" s="353"/>
      <c r="AQ266" s="183" t="str">
        <f>IF(AP265&lt;&gt;" ",MAX($AQ$9:AQ265)+AP265," ")</f>
        <v xml:space="preserve"> </v>
      </c>
      <c r="AR266" s="183" t="str">
        <f>IF(AP265&lt;&gt;" ",MAX($AR$9:AR265)+$AJ$29*AP265," ")</f>
        <v xml:space="preserve"> </v>
      </c>
      <c r="AS266" s="86" t="str">
        <f t="shared" si="762"/>
        <v xml:space="preserve"> </v>
      </c>
      <c r="AT266" s="264" t="str" cm="1">
        <f t="array" ref="AT266">IF(AS266&lt;&gt;" ",Interpol(31,8,Служебный!$H$54:$H$84,Служебный!$I$53:$P$53,Служебный!$I$54:$P$84,'Осадка поля'!$AS266,'Осадка поля'!$B$6)," ")</f>
        <v xml:space="preserve"> </v>
      </c>
      <c r="AU266" s="183" t="str">
        <f t="shared" si="787"/>
        <v xml:space="preserve"> </v>
      </c>
      <c r="AV266" s="183" t="str">
        <f>IF(AP265&lt;&gt;" ",AR266*0.5," ")</f>
        <v xml:space="preserve"> </v>
      </c>
      <c r="AW266" s="353"/>
      <c r="AX266" s="353"/>
      <c r="AY266" s="444"/>
      <c r="AZ266" s="444"/>
      <c r="BA266" s="445"/>
      <c r="BB266" s="444"/>
      <c r="BC266" s="353"/>
      <c r="BD266" s="444"/>
      <c r="BE266" s="353"/>
      <c r="BF266" s="232"/>
      <c r="BH266" s="418"/>
      <c r="BI266" s="419"/>
      <c r="BJ266" s="202"/>
      <c r="BK266" s="419"/>
      <c r="BL266" s="213"/>
    </row>
    <row r="267" spans="33:64">
      <c r="AG267" s="370"/>
      <c r="AH267" s="370"/>
      <c r="AI267" s="364"/>
      <c r="AJ267" s="425"/>
      <c r="AK267" s="364"/>
      <c r="AL267" s="370"/>
      <c r="AM267" s="459"/>
      <c r="AN267" s="376"/>
      <c r="AO267" s="353" t="str">
        <f>IF(AO265=" "," ", IF(AO265&lt;SUM(AN$9:AN$268),AO265+1, " "))</f>
        <v xml:space="preserve"> </v>
      </c>
      <c r="AP267" s="353" t="str">
        <f>IF(AO267&lt;&gt;" ",AM$109/COUNT(AO$109:AO$128), " ")</f>
        <v xml:space="preserve"> </v>
      </c>
      <c r="AQ267" s="183" t="str">
        <f>IF(AP267&lt;&gt;" ",SUM($AP$9:AP265)," ")</f>
        <v xml:space="preserve"> </v>
      </c>
      <c r="AR267" s="183" t="str">
        <f>IF(AP267&lt;&gt;" ",MAX($AR$9:AR266)," ")</f>
        <v xml:space="preserve"> </v>
      </c>
      <c r="AS267" s="86" t="str">
        <f t="shared" si="762"/>
        <v xml:space="preserve"> </v>
      </c>
      <c r="AT267" s="264" t="str" cm="1">
        <f t="array" ref="AT267">IF(AS267&lt;&gt;" ",Interpol(31,8,Служебный!$H$54:$H$84,Служебный!$I$53:$P$53,Служебный!$I$54:$P$84,'Осадка поля'!$AS267,'Осадка поля'!$B$6)," ")</f>
        <v xml:space="preserve"> </v>
      </c>
      <c r="AU267" s="183" t="str">
        <f t="shared" si="787"/>
        <v xml:space="preserve"> </v>
      </c>
      <c r="AV267" s="183" t="str">
        <f>IF(AP267&lt;&gt;" ",AR267*0.5," ")</f>
        <v xml:space="preserve"> </v>
      </c>
      <c r="AW267" s="353" t="str">
        <f>IF(AO267&lt;&gt;" ",(AU267+AU268)/2," ")</f>
        <v xml:space="preserve"> </v>
      </c>
      <c r="AX267" s="353"/>
      <c r="AY267" s="445" t="str">
        <f t="shared" ref="AY267" si="794">IF(AP267&lt;&gt;" ",IF(AQ267&gt;$B$15,"Нет","Да")," ")</f>
        <v xml:space="preserve"> </v>
      </c>
      <c r="AZ267" s="441" t="str">
        <f t="shared" ref="AZ267" si="795">IF(AP267&lt;&gt;" ",IF(AW267&gt;0.5*(AV267+AV268),"Да","Нет")," ")</f>
        <v xml:space="preserve"> </v>
      </c>
      <c r="BA267" s="441" t="str">
        <f t="shared" ref="BA267" si="796">IF(AP267&lt;&gt;" ",IF(OR($AX$249&lt;7,$AX$249=7),"Да","Нет")," ")</f>
        <v xml:space="preserve"> </v>
      </c>
      <c r="BB267" s="441" t="str">
        <f t="shared" ref="BB267" si="797">IF(AP267&lt;&gt;" ",IF(AW267&gt;0.2*0.5*(AR267+AR268),"Да","Нет")," ")</f>
        <v xml:space="preserve"> </v>
      </c>
      <c r="BC267" s="353">
        <f t="shared" ref="BC267:BC301" si="798">IF(AND(BE267&lt;&gt;0,BE267&lt;&gt;" "),AP267,0)</f>
        <v>0</v>
      </c>
      <c r="BD267" s="443" t="str">
        <f t="shared" ref="BD267" si="799">IF(AP267&lt;&gt;" ",IF(OR(AU267&lt;AR267,AU267=AR267),0.8*AW267*AP267/(5*$AX$249*10),0.8*AW267*AP267/($AX$249*10))," ")</f>
        <v xml:space="preserve"> </v>
      </c>
      <c r="BE267" s="353">
        <f t="shared" si="629"/>
        <v>0</v>
      </c>
      <c r="BF267" s="232"/>
      <c r="BH267" s="418"/>
      <c r="BI267" s="419"/>
      <c r="BJ267" s="202"/>
      <c r="BK267" s="419"/>
      <c r="BL267" s="213"/>
    </row>
    <row r="268" spans="33:64" ht="15.75" thickBot="1">
      <c r="AG268" s="370"/>
      <c r="AH268" s="370"/>
      <c r="AI268" s="364"/>
      <c r="AJ268" s="425"/>
      <c r="AK268" s="364"/>
      <c r="AL268" s="370"/>
      <c r="AM268" s="459"/>
      <c r="AN268" s="376"/>
      <c r="AO268" s="353"/>
      <c r="AP268" s="353"/>
      <c r="AQ268" s="183" t="str">
        <f>IF(AP267&lt;&gt;" ",MAX($AQ$9:AQ267)+AP267," ")</f>
        <v xml:space="preserve"> </v>
      </c>
      <c r="AR268" s="183" t="str">
        <f>IF(AP267&lt;&gt;" ",MAX($AR$9:AR267)+$AJ$29*AP267," ")</f>
        <v xml:space="preserve"> </v>
      </c>
      <c r="AS268" s="86" t="str">
        <f t="shared" si="762"/>
        <v xml:space="preserve"> </v>
      </c>
      <c r="AT268" s="264" t="str" cm="1">
        <f t="array" ref="AT268">IF(AS268&lt;&gt;" ",Interpol(31,8,Служебный!$H$54:$H$84,Служебный!$I$53:$P$53,Служебный!$I$54:$P$84,'Осадка поля'!$AS268,'Осадка поля'!$B$6)," ")</f>
        <v xml:space="preserve"> </v>
      </c>
      <c r="AU268" s="183" t="str">
        <f t="shared" si="787"/>
        <v xml:space="preserve"> </v>
      </c>
      <c r="AV268" s="183" t="str">
        <f>IF(AP267&lt;&gt;" ",AR268*0.5," ")</f>
        <v xml:space="preserve"> </v>
      </c>
      <c r="AW268" s="353"/>
      <c r="AX268" s="353"/>
      <c r="AY268" s="444"/>
      <c r="AZ268" s="444"/>
      <c r="BA268" s="445"/>
      <c r="BB268" s="444"/>
      <c r="BC268" s="353"/>
      <c r="BD268" s="444"/>
      <c r="BE268" s="353"/>
      <c r="BF268" s="232"/>
      <c r="BH268" s="458"/>
      <c r="BI268" s="457"/>
      <c r="BJ268" s="203"/>
      <c r="BK268" s="457"/>
      <c r="BL268" s="214"/>
    </row>
    <row r="269" spans="33:64">
      <c r="AG269" s="370">
        <f t="shared" si="630"/>
        <v>23</v>
      </c>
      <c r="AH269" s="390">
        <f>IF(AG269&gt;20,0,VLOOKUP(AG269,Скважина!$E$8:$K$27,2,FALSE))</f>
        <v>0</v>
      </c>
      <c r="AI269" s="388">
        <f>IF(OR(AH269=0,AG269&gt;20),0,VLOOKUP(AH269,Геология!$D$7:$BO$993,7,FALSE))</f>
        <v>0</v>
      </c>
      <c r="AJ269" s="425" t="e">
        <f>VLOOKUP(AH269,Геология!$D$7:$BO$993,23,FALSE)</f>
        <v>#N/A</v>
      </c>
      <c r="AK269" s="364">
        <f t="shared" ref="AK269" si="800">IF(AM249&lt;&gt;0,AL249,AK249)</f>
        <v>111.73</v>
      </c>
      <c r="AL269" s="390" t="e">
        <f>VLOOKUP(AG269,Скважина!$E$8:$K$27,5,FALSE)</f>
        <v>#N/A</v>
      </c>
      <c r="AM269" s="459">
        <f t="shared" ref="AM269" si="801">IF(IF(AH269&lt;&gt;0,AK269-AL269,0)&lt;0,0,IF(AH269&lt;&gt;0,AK269-AL269,0))</f>
        <v>0</v>
      </c>
      <c r="AN269" s="376"/>
      <c r="AO269" s="353" t="str">
        <f>IF(AN269&lt;&gt;0,MAX(AO$9:AO$268)+1," ")</f>
        <v xml:space="preserve"> </v>
      </c>
      <c r="AP269" s="353" t="str">
        <f>IF(AO269&lt;&gt;" ",AM$109/COUNT(AO$109:AO$128), " ")</f>
        <v xml:space="preserve"> </v>
      </c>
      <c r="AQ269" s="183" t="str">
        <f>IF(AP269&lt;&gt;" ",SUM($AP$9:AP267)," ")</f>
        <v xml:space="preserve"> </v>
      </c>
      <c r="AR269" s="183" t="str">
        <f>IF(AP269&lt;&gt;" ",MAX($AR$9:AR268)," ")</f>
        <v xml:space="preserve"> </v>
      </c>
      <c r="AS269" s="86" t="str">
        <f t="shared" si="762"/>
        <v xml:space="preserve"> </v>
      </c>
      <c r="AT269" s="264" t="str" cm="1">
        <f t="array" ref="AT269">IF(AS269&lt;&gt;" ",Interpol(31,8,Служебный!$H$54:$H$84,Служебный!$I$53:$P$53,Служебный!$I$54:$P$84,'Осадка поля'!$AS269,'Осадка поля'!$B$6)," ")</f>
        <v xml:space="preserve"> </v>
      </c>
      <c r="AU269" s="183" t="str">
        <f t="shared" si="787"/>
        <v xml:space="preserve"> </v>
      </c>
      <c r="AV269" s="183" t="str">
        <f>IF(AP269&lt;&gt;" ",AR269*0.5," ")</f>
        <v xml:space="preserve"> </v>
      </c>
      <c r="AW269" s="353" t="str">
        <f>IF(AO269&lt;&gt;" ",(AU269+AU270)/2," ")</f>
        <v xml:space="preserve"> </v>
      </c>
      <c r="AX269" s="444" t="str">
        <f>IF(AH269&lt;&gt;0,VLOOKUP(AH269,Геология!$D$7:$BO$993,21,FALSE)," ")</f>
        <v xml:space="preserve"> </v>
      </c>
      <c r="AY269" s="445" t="str">
        <f t="shared" ref="AY269" si="802">IF(AP269&lt;&gt;" ",IF(AQ269&gt;$B$15,"Нет","Да")," ")</f>
        <v xml:space="preserve"> </v>
      </c>
      <c r="AZ269" s="441" t="str">
        <f t="shared" ref="AZ269" si="803">IF(AP269&lt;&gt;" ",IF(AW269&gt;0.5*(AV269+AV270),"Да","Нет")," ")</f>
        <v xml:space="preserve"> </v>
      </c>
      <c r="BA269" s="441" t="str">
        <f>IF(AP269&lt;&gt;" ",IF(OR($AX$269&lt;7,$AX$269=7),"Да","Нет")," ")</f>
        <v xml:space="preserve"> </v>
      </c>
      <c r="BB269" s="441" t="str">
        <f t="shared" ref="BB269" si="804">IF(AP269&lt;&gt;" ",IF(AW269&gt;0.2*0.5*(AR269+AR270),"Да","Нет")," ")</f>
        <v xml:space="preserve"> </v>
      </c>
      <c r="BC269" s="353">
        <f t="shared" ref="BC269:BC303" si="805">IF(AND(BE269&lt;&gt;0,BE269&lt;&gt;" "),AP269,0)</f>
        <v>0</v>
      </c>
      <c r="BD269" s="443" t="str">
        <f>IF(AP269&lt;&gt;" ",IF(OR(AU269&lt;AR269,AU269=AR269),0.8*AW269*AP269/(5*$AX$269*10),0.8*AW269*AP269/($AX$269*10))," ")</f>
        <v xml:space="preserve"> </v>
      </c>
      <c r="BE269" s="353">
        <f t="shared" ref="BE269" si="806">IF(AP269&lt;&gt;" ",IF(AND(AY269="Нет",AZ269="Нет",BA269="Нет"),0,IF(AY269="Да",BD269,IF(AZ269="Да",BD269,IF(BA269="Да",BD269)))),0)</f>
        <v>0</v>
      </c>
      <c r="BF269" s="232"/>
      <c r="BH269" s="448" t="str">
        <f>IF(AH269&lt;&gt;0,VLOOKUP(AH269,Геология!$D$7:$BO$993,24,FALSE)," ")</f>
        <v xml:space="preserve"> </v>
      </c>
      <c r="BI269" s="449" t="str">
        <f>IF(BH269&lt;&gt;" ",BH269*AM269," ")</f>
        <v xml:space="preserve"> </v>
      </c>
      <c r="BJ269" s="202"/>
      <c r="BK269" s="456" t="str">
        <f>IF(AM269&lt;&gt;0,AX269*AM269," ")</f>
        <v xml:space="preserve"> </v>
      </c>
      <c r="BL269" s="213"/>
    </row>
    <row r="270" spans="33:64" ht="15.75" thickBot="1">
      <c r="AG270" s="370"/>
      <c r="AH270" s="370"/>
      <c r="AI270" s="364"/>
      <c r="AJ270" s="425"/>
      <c r="AK270" s="364"/>
      <c r="AL270" s="370"/>
      <c r="AM270" s="459"/>
      <c r="AN270" s="376"/>
      <c r="AO270" s="353"/>
      <c r="AP270" s="353"/>
      <c r="AQ270" s="183" t="str">
        <f>IF(AP269&lt;&gt;" ",MAX($AQ$9:AQ269)+AP269," ")</f>
        <v xml:space="preserve"> </v>
      </c>
      <c r="AR270" s="183" t="str">
        <f>IF(AP269&lt;&gt;" ",MAX($AR$9:AR269)+$AJ$29*AP269," ")</f>
        <v xml:space="preserve"> </v>
      </c>
      <c r="AS270" s="86" t="str">
        <f t="shared" si="762"/>
        <v xml:space="preserve"> </v>
      </c>
      <c r="AT270" s="264" t="str" cm="1">
        <f t="array" ref="AT270">IF(AS270&lt;&gt;" ",Interpol(31,8,Служебный!$H$54:$H$84,Служебный!$I$53:$P$53,Служебный!$I$54:$P$84,'Осадка поля'!$AS270,'Осадка поля'!$B$6)," ")</f>
        <v xml:space="preserve"> </v>
      </c>
      <c r="AU270" s="183" t="str">
        <f t="shared" si="787"/>
        <v xml:space="preserve"> </v>
      </c>
      <c r="AV270" s="183" t="str">
        <f>IF(AP269&lt;&gt;" ",AR270*0.5," ")</f>
        <v xml:space="preserve"> </v>
      </c>
      <c r="AW270" s="353"/>
      <c r="AX270" s="353"/>
      <c r="AY270" s="444"/>
      <c r="AZ270" s="444"/>
      <c r="BA270" s="445"/>
      <c r="BB270" s="444"/>
      <c r="BC270" s="353"/>
      <c r="BD270" s="444"/>
      <c r="BE270" s="353"/>
      <c r="BF270" s="232"/>
      <c r="BH270" s="418"/>
      <c r="BI270" s="419"/>
      <c r="BJ270" s="202"/>
      <c r="BK270" s="419"/>
      <c r="BL270" s="213"/>
    </row>
    <row r="271" spans="33:64">
      <c r="AG271" s="370"/>
      <c r="AH271" s="370"/>
      <c r="AI271" s="364"/>
      <c r="AJ271" s="425"/>
      <c r="AK271" s="364"/>
      <c r="AL271" s="370"/>
      <c r="AM271" s="459"/>
      <c r="AN271" s="376"/>
      <c r="AO271" s="353" t="str">
        <f>IF(AO269=" "," ", IF(AO269&lt;SUM(AN$9:AN$288),AO269+1, " "))</f>
        <v xml:space="preserve"> </v>
      </c>
      <c r="AP271" s="353" t="str">
        <f>IF(AO271&lt;&gt;" ",AM$109/COUNT(AO$109:AO$128), " ")</f>
        <v xml:space="preserve"> </v>
      </c>
      <c r="AQ271" s="183" t="str">
        <f>IF(AP271&lt;&gt;" ",SUM($AP$9:AP269)," ")</f>
        <v xml:space="preserve"> </v>
      </c>
      <c r="AR271" s="183" t="str">
        <f>IF(AP271&lt;&gt;" ",MAX($AR$9:AR270)," ")</f>
        <v xml:space="preserve"> </v>
      </c>
      <c r="AS271" s="86" t="str">
        <f t="shared" si="762"/>
        <v xml:space="preserve"> </v>
      </c>
      <c r="AT271" s="264" t="str" cm="1">
        <f t="array" ref="AT271">IF(AS271&lt;&gt;" ",Interpol(31,8,Служебный!$H$54:$H$84,Служебный!$I$53:$P$53,Служебный!$I$54:$P$84,'Осадка поля'!$AS271,'Осадка поля'!$B$6)," ")</f>
        <v xml:space="preserve"> </v>
      </c>
      <c r="AU271" s="183" t="str">
        <f t="shared" si="787"/>
        <v xml:space="preserve"> </v>
      </c>
      <c r="AV271" s="183" t="str">
        <f>IF(AP271&lt;&gt;" ",AR271*0.5," ")</f>
        <v xml:space="preserve"> </v>
      </c>
      <c r="AW271" s="353" t="str">
        <f>IF(AO271&lt;&gt;" ",(AU271+AU272)/2," ")</f>
        <v xml:space="preserve"> </v>
      </c>
      <c r="AX271" s="353"/>
      <c r="AY271" s="445" t="str">
        <f t="shared" ref="AY271" si="807">IF(AP271&lt;&gt;" ",IF(AQ271&gt;$B$15,"Нет","Да")," ")</f>
        <v xml:space="preserve"> </v>
      </c>
      <c r="AZ271" s="441" t="str">
        <f t="shared" ref="AZ271" si="808">IF(AP271&lt;&gt;" ",IF(AW271&gt;0.5*(AV271+AV272),"Да","Нет")," ")</f>
        <v xml:space="preserve"> </v>
      </c>
      <c r="BA271" s="441" t="str">
        <f t="shared" ref="BA271" si="809">IF(AP271&lt;&gt;" ",IF(OR($AX$269&lt;7,$AX$269=7),"Да","Нет")," ")</f>
        <v xml:space="preserve"> </v>
      </c>
      <c r="BB271" s="441" t="str">
        <f t="shared" ref="BB271" si="810">IF(AP271&lt;&gt;" ",IF(AW271&gt;0.2*0.5*(AR271+AR272),"Да","Нет")," ")</f>
        <v xml:space="preserve"> </v>
      </c>
      <c r="BC271" s="353">
        <f t="shared" ref="BC271:BC305" si="811">IF(AND(BE271&lt;&gt;0,BE271&lt;&gt;" "),AP271,0)</f>
        <v>0</v>
      </c>
      <c r="BD271" s="443" t="str">
        <f t="shared" ref="BD271" si="812">IF(AP271&lt;&gt;" ",IF(OR(AU271&lt;AR271,AU271=AR271),0.8*AW271*AP271/(5*$AX$269*10),0.8*AW271*AP271/($AX$269*10))," ")</f>
        <v xml:space="preserve"> </v>
      </c>
      <c r="BE271" s="353">
        <f t="shared" ref="BE271:BE311" si="813">IF(AP271&lt;&gt;" ",IF(AND(AY271="Нет",AZ271="Нет",BA271="Нет"),0,IF(AY271="Да",BD271,IF(AZ271="Да",BD271,IF(BA271="Да",BD271)))),0)</f>
        <v>0</v>
      </c>
      <c r="BF271" s="232"/>
      <c r="BH271" s="418"/>
      <c r="BI271" s="419"/>
      <c r="BJ271" s="202"/>
      <c r="BK271" s="419"/>
      <c r="BL271" s="213"/>
    </row>
    <row r="272" spans="33:64" ht="15.75" thickBot="1">
      <c r="AG272" s="370"/>
      <c r="AH272" s="370"/>
      <c r="AI272" s="364"/>
      <c r="AJ272" s="425"/>
      <c r="AK272" s="364"/>
      <c r="AL272" s="370"/>
      <c r="AM272" s="459"/>
      <c r="AN272" s="376"/>
      <c r="AO272" s="353"/>
      <c r="AP272" s="353"/>
      <c r="AQ272" s="183" t="str">
        <f>IF(AP271&lt;&gt;" ",MAX($AQ$9:AQ271)+AP271," ")</f>
        <v xml:space="preserve"> </v>
      </c>
      <c r="AR272" s="183" t="str">
        <f>IF(AP271&lt;&gt;" ",MAX($AR$9:AR271)+$AJ$29*AP271," ")</f>
        <v xml:space="preserve"> </v>
      </c>
      <c r="AS272" s="86" t="str">
        <f t="shared" si="762"/>
        <v xml:space="preserve"> </v>
      </c>
      <c r="AT272" s="264" t="str" cm="1">
        <f t="array" ref="AT272">IF(AS272&lt;&gt;" ",Interpol(31,8,Служебный!$H$54:$H$84,Служебный!$I$53:$P$53,Служебный!$I$54:$P$84,'Осадка поля'!$AS272,'Осадка поля'!$B$6)," ")</f>
        <v xml:space="preserve"> </v>
      </c>
      <c r="AU272" s="183" t="str">
        <f t="shared" si="787"/>
        <v xml:space="preserve"> </v>
      </c>
      <c r="AV272" s="183" t="str">
        <f>IF(AP271&lt;&gt;" ",AR272*0.5," ")</f>
        <v xml:space="preserve"> </v>
      </c>
      <c r="AW272" s="353"/>
      <c r="AX272" s="353"/>
      <c r="AY272" s="444"/>
      <c r="AZ272" s="444"/>
      <c r="BA272" s="445"/>
      <c r="BB272" s="444"/>
      <c r="BC272" s="353"/>
      <c r="BD272" s="444"/>
      <c r="BE272" s="353"/>
      <c r="BF272" s="232"/>
      <c r="BH272" s="418"/>
      <c r="BI272" s="419"/>
      <c r="BJ272" s="202"/>
      <c r="BK272" s="419"/>
      <c r="BL272" s="213"/>
    </row>
    <row r="273" spans="33:64">
      <c r="AG273" s="370"/>
      <c r="AH273" s="370"/>
      <c r="AI273" s="364"/>
      <c r="AJ273" s="425"/>
      <c r="AK273" s="364"/>
      <c r="AL273" s="370"/>
      <c r="AM273" s="459"/>
      <c r="AN273" s="376"/>
      <c r="AO273" s="353" t="str">
        <f>IF(AO271=" "," ", IF(AO271&lt;SUM(AN$9:AN$288),AO271+1, " "))</f>
        <v xml:space="preserve"> </v>
      </c>
      <c r="AP273" s="353" t="str">
        <f>IF(AO273&lt;&gt;" ",AM$109/COUNT(AO$109:AO$128), " ")</f>
        <v xml:space="preserve"> </v>
      </c>
      <c r="AQ273" s="183" t="str">
        <f>IF(AP273&lt;&gt;" ",SUM($AP$9:AP271)," ")</f>
        <v xml:space="preserve"> </v>
      </c>
      <c r="AR273" s="183" t="str">
        <f>IF(AP273&lt;&gt;" ",MAX($AR$9:AR272)," ")</f>
        <v xml:space="preserve"> </v>
      </c>
      <c r="AS273" s="86" t="str">
        <f t="shared" si="762"/>
        <v xml:space="preserve"> </v>
      </c>
      <c r="AT273" s="264" t="str" cm="1">
        <f t="array" ref="AT273">IF(AS273&lt;&gt;" ",Interpol(31,8,Служебный!$H$54:$H$84,Служебный!$I$53:$P$53,Служебный!$I$54:$P$84,'Осадка поля'!$AS273,'Осадка поля'!$B$6)," ")</f>
        <v xml:space="preserve"> </v>
      </c>
      <c r="AU273" s="183" t="str">
        <f t="shared" si="787"/>
        <v xml:space="preserve"> </v>
      </c>
      <c r="AV273" s="183" t="str">
        <f>IF(AP273&lt;&gt;" ",AR273*0.5," ")</f>
        <v xml:space="preserve"> </v>
      </c>
      <c r="AW273" s="353" t="str">
        <f>IF(AO273&lt;&gt;" ",(AU273+AU274)/2," ")</f>
        <v xml:space="preserve"> </v>
      </c>
      <c r="AX273" s="353"/>
      <c r="AY273" s="445" t="str">
        <f t="shared" ref="AY273" si="814">IF(AP273&lt;&gt;" ",IF(AQ273&gt;$B$15,"Нет","Да")," ")</f>
        <v xml:space="preserve"> </v>
      </c>
      <c r="AZ273" s="441" t="str">
        <f t="shared" ref="AZ273" si="815">IF(AP273&lt;&gt;" ",IF(AW273&gt;0.5*(AV273+AV274),"Да","Нет")," ")</f>
        <v xml:space="preserve"> </v>
      </c>
      <c r="BA273" s="441" t="str">
        <f t="shared" ref="BA273" si="816">IF(AP273&lt;&gt;" ",IF(OR($AX$269&lt;7,$AX$269=7),"Да","Нет")," ")</f>
        <v xml:space="preserve"> </v>
      </c>
      <c r="BB273" s="441" t="str">
        <f t="shared" ref="BB273" si="817">IF(AP273&lt;&gt;" ",IF(AW273&gt;0.2*0.5*(AR273+AR274),"Да","Нет")," ")</f>
        <v xml:space="preserve"> </v>
      </c>
      <c r="BC273" s="353">
        <f t="shared" ref="BC273:BC307" si="818">IF(AND(BE273&lt;&gt;0,BE273&lt;&gt;" "),AP273,0)</f>
        <v>0</v>
      </c>
      <c r="BD273" s="443" t="str">
        <f t="shared" ref="BD273" si="819">IF(AP273&lt;&gt;" ",IF(OR(AU273&lt;AR273,AU273=AR273),0.8*AW273*AP273/(5*$AX$269*10),0.8*AW273*AP273/($AX$269*10))," ")</f>
        <v xml:space="preserve"> </v>
      </c>
      <c r="BE273" s="353">
        <f t="shared" ref="BE273:BE313" si="820">IF(AP273&lt;&gt;" ",IF(AND(AY273="Нет",AZ273="Нет",BA273="Нет"),0,IF(AY273="Да",BD273,IF(AZ273="Да",BD273,IF(BA273="Да",BD273)))),0)</f>
        <v>0</v>
      </c>
      <c r="BF273" s="232"/>
      <c r="BH273" s="418"/>
      <c r="BI273" s="419"/>
      <c r="BJ273" s="202"/>
      <c r="BK273" s="419"/>
      <c r="BL273" s="213"/>
    </row>
    <row r="274" spans="33:64" ht="15.75" thickBot="1">
      <c r="AG274" s="370"/>
      <c r="AH274" s="370"/>
      <c r="AI274" s="364"/>
      <c r="AJ274" s="425"/>
      <c r="AK274" s="364"/>
      <c r="AL274" s="370"/>
      <c r="AM274" s="459"/>
      <c r="AN274" s="376"/>
      <c r="AO274" s="353"/>
      <c r="AP274" s="353"/>
      <c r="AQ274" s="183" t="str">
        <f>IF(AP273&lt;&gt;" ",MAX($AQ$9:AQ273)+AP273," ")</f>
        <v xml:space="preserve"> </v>
      </c>
      <c r="AR274" s="183" t="str">
        <f>IF(AP273&lt;&gt;" ",MAX($AR$9:AR273)+$AJ$29*AP273," ")</f>
        <v xml:space="preserve"> </v>
      </c>
      <c r="AS274" s="86" t="str">
        <f t="shared" si="762"/>
        <v xml:space="preserve"> </v>
      </c>
      <c r="AT274" s="264" t="str" cm="1">
        <f t="array" ref="AT274">IF(AS274&lt;&gt;" ",Interpol(31,8,Служебный!$H$54:$H$84,Служебный!$I$53:$P$53,Служебный!$I$54:$P$84,'Осадка поля'!$AS274,'Осадка поля'!$B$6)," ")</f>
        <v xml:space="preserve"> </v>
      </c>
      <c r="AU274" s="183" t="str">
        <f t="shared" si="787"/>
        <v xml:space="preserve"> </v>
      </c>
      <c r="AV274" s="183" t="str">
        <f>IF(AP273&lt;&gt;" ",AR274*0.5," ")</f>
        <v xml:space="preserve"> </v>
      </c>
      <c r="AW274" s="353"/>
      <c r="AX274" s="353"/>
      <c r="AY274" s="444"/>
      <c r="AZ274" s="444"/>
      <c r="BA274" s="445"/>
      <c r="BB274" s="444"/>
      <c r="BC274" s="353"/>
      <c r="BD274" s="444"/>
      <c r="BE274" s="353"/>
      <c r="BF274" s="232"/>
      <c r="BH274" s="418"/>
      <c r="BI274" s="419"/>
      <c r="BJ274" s="202"/>
      <c r="BK274" s="419"/>
      <c r="BL274" s="213"/>
    </row>
    <row r="275" spans="33:64">
      <c r="AG275" s="370"/>
      <c r="AH275" s="370"/>
      <c r="AI275" s="364"/>
      <c r="AJ275" s="425"/>
      <c r="AK275" s="364"/>
      <c r="AL275" s="370"/>
      <c r="AM275" s="459"/>
      <c r="AN275" s="376"/>
      <c r="AO275" s="353" t="str">
        <f>IF(AO273=" "," ", IF(AO273&lt;SUM(AN$9:AN$288),AO273+1, " "))</f>
        <v xml:space="preserve"> </v>
      </c>
      <c r="AP275" s="353" t="str">
        <f>IF(AO275&lt;&gt;" ",AM$109/COUNT(AO$109:AO$128), " ")</f>
        <v xml:space="preserve"> </v>
      </c>
      <c r="AQ275" s="183" t="str">
        <f>IF(AP275&lt;&gt;" ",SUM($AP$9:AP273)," ")</f>
        <v xml:space="preserve"> </v>
      </c>
      <c r="AR275" s="183" t="str">
        <f>IF(AP275&lt;&gt;" ",MAX($AR$9:AR274)," ")</f>
        <v xml:space="preserve"> </v>
      </c>
      <c r="AS275" s="86" t="str">
        <f t="shared" si="762"/>
        <v xml:space="preserve"> </v>
      </c>
      <c r="AT275" s="264" t="str" cm="1">
        <f t="array" ref="AT275">IF(AS275&lt;&gt;" ",Interpol(31,8,Служебный!$H$54:$H$84,Служебный!$I$53:$P$53,Служебный!$I$54:$P$84,'Осадка поля'!$AS275,'Осадка поля'!$B$6)," ")</f>
        <v xml:space="preserve"> </v>
      </c>
      <c r="AU275" s="183" t="str">
        <f t="shared" si="787"/>
        <v xml:space="preserve"> </v>
      </c>
      <c r="AV275" s="183" t="str">
        <f>IF(AP275&lt;&gt;" ",AR275*0.5," ")</f>
        <v xml:space="preserve"> </v>
      </c>
      <c r="AW275" s="353" t="str">
        <f>IF(AO275&lt;&gt;" ",(AU275+AU276)/2," ")</f>
        <v xml:space="preserve"> </v>
      </c>
      <c r="AX275" s="353"/>
      <c r="AY275" s="445" t="str">
        <f t="shared" ref="AY275" si="821">IF(AP275&lt;&gt;" ",IF(AQ275&gt;$B$15,"Нет","Да")," ")</f>
        <v xml:space="preserve"> </v>
      </c>
      <c r="AZ275" s="441" t="str">
        <f t="shared" ref="AZ275" si="822">IF(AP275&lt;&gt;" ",IF(AW275&gt;0.5*(AV275+AV276),"Да","Нет")," ")</f>
        <v xml:space="preserve"> </v>
      </c>
      <c r="BA275" s="441" t="str">
        <f t="shared" ref="BA275" si="823">IF(AP275&lt;&gt;" ",IF(OR($AX$269&lt;7,$AX$269=7),"Да","Нет")," ")</f>
        <v xml:space="preserve"> </v>
      </c>
      <c r="BB275" s="441" t="str">
        <f t="shared" ref="BB275" si="824">IF(AP275&lt;&gt;" ",IF(AW275&gt;0.2*0.5*(AR275+AR276),"Да","Нет")," ")</f>
        <v xml:space="preserve"> </v>
      </c>
      <c r="BC275" s="353">
        <f t="shared" ref="BC275:BC309" si="825">IF(AND(BE275&lt;&gt;0,BE275&lt;&gt;" "),AP275,0)</f>
        <v>0</v>
      </c>
      <c r="BD275" s="443" t="str">
        <f t="shared" ref="BD275" si="826">IF(AP275&lt;&gt;" ",IF(OR(AU275&lt;AR275,AU275=AR275),0.8*AW275*AP275/(5*$AX$269*10),0.8*AW275*AP275/($AX$269*10))," ")</f>
        <v xml:space="preserve"> </v>
      </c>
      <c r="BE275" s="353">
        <f t="shared" ref="BE275:BE315" si="827">IF(AP275&lt;&gt;" ",IF(AND(AY275="Нет",AZ275="Нет",BA275="Нет"),0,IF(AY275="Да",BD275,IF(AZ275="Да",BD275,IF(BA275="Да",BD275)))),0)</f>
        <v>0</v>
      </c>
      <c r="BF275" s="232"/>
      <c r="BH275" s="418"/>
      <c r="BI275" s="419"/>
      <c r="BJ275" s="202"/>
      <c r="BK275" s="419"/>
      <c r="BL275" s="213"/>
    </row>
    <row r="276" spans="33:64" ht="15.75" thickBot="1">
      <c r="AG276" s="370"/>
      <c r="AH276" s="370"/>
      <c r="AI276" s="364"/>
      <c r="AJ276" s="425"/>
      <c r="AK276" s="364"/>
      <c r="AL276" s="370"/>
      <c r="AM276" s="459"/>
      <c r="AN276" s="376"/>
      <c r="AO276" s="353"/>
      <c r="AP276" s="353"/>
      <c r="AQ276" s="183" t="str">
        <f>IF(AP275&lt;&gt;" ",MAX($AQ$9:AQ275)+AP275," ")</f>
        <v xml:space="preserve"> </v>
      </c>
      <c r="AR276" s="183" t="str">
        <f>IF(AP275&lt;&gt;" ",MAX($AR$9:AR275)+$AJ$29*AP275," ")</f>
        <v xml:space="preserve"> </v>
      </c>
      <c r="AS276" s="86" t="str">
        <f t="shared" si="762"/>
        <v xml:space="preserve"> </v>
      </c>
      <c r="AT276" s="264" t="str" cm="1">
        <f t="array" ref="AT276">IF(AS276&lt;&gt;" ",Interpol(31,8,Служебный!$H$54:$H$84,Служебный!$I$53:$P$53,Служебный!$I$54:$P$84,'Осадка поля'!$AS276,'Осадка поля'!$B$6)," ")</f>
        <v xml:space="preserve"> </v>
      </c>
      <c r="AU276" s="183" t="str">
        <f t="shared" si="787"/>
        <v xml:space="preserve"> </v>
      </c>
      <c r="AV276" s="183" t="str">
        <f>IF(AP275&lt;&gt;" ",AR276*0.5," ")</f>
        <v xml:space="preserve"> </v>
      </c>
      <c r="AW276" s="353"/>
      <c r="AX276" s="353"/>
      <c r="AY276" s="444"/>
      <c r="AZ276" s="444"/>
      <c r="BA276" s="445"/>
      <c r="BB276" s="444"/>
      <c r="BC276" s="353"/>
      <c r="BD276" s="444"/>
      <c r="BE276" s="353"/>
      <c r="BF276" s="232"/>
      <c r="BH276" s="418"/>
      <c r="BI276" s="419"/>
      <c r="BJ276" s="202"/>
      <c r="BK276" s="419"/>
      <c r="BL276" s="213"/>
    </row>
    <row r="277" spans="33:64">
      <c r="AG277" s="370"/>
      <c r="AH277" s="370"/>
      <c r="AI277" s="364"/>
      <c r="AJ277" s="425"/>
      <c r="AK277" s="364"/>
      <c r="AL277" s="370"/>
      <c r="AM277" s="459"/>
      <c r="AN277" s="376"/>
      <c r="AO277" s="353" t="str">
        <f>IF(AO275=" "," ", IF(AO275&lt;SUM(AN$9:AN$288),AO275+1, " "))</f>
        <v xml:space="preserve"> </v>
      </c>
      <c r="AP277" s="353" t="str">
        <f>IF(AO277&lt;&gt;" ",AM$109/COUNT(AO$109:AO$128), " ")</f>
        <v xml:space="preserve"> </v>
      </c>
      <c r="AQ277" s="183" t="str">
        <f>IF(AP277&lt;&gt;" ",SUM($AP$9:AP275)," ")</f>
        <v xml:space="preserve"> </v>
      </c>
      <c r="AR277" s="183" t="str">
        <f>IF(AP277&lt;&gt;" ",MAX($AR$9:AR276)," ")</f>
        <v xml:space="preserve"> </v>
      </c>
      <c r="AS277" s="86" t="str">
        <f t="shared" si="762"/>
        <v xml:space="preserve"> </v>
      </c>
      <c r="AT277" s="264" t="str" cm="1">
        <f t="array" ref="AT277">IF(AS277&lt;&gt;" ",Interpol(31,8,Служебный!$H$54:$H$84,Служебный!$I$53:$P$53,Служебный!$I$54:$P$84,'Осадка поля'!$AS277,'Осадка поля'!$B$6)," ")</f>
        <v xml:space="preserve"> </v>
      </c>
      <c r="AU277" s="183" t="str">
        <f t="shared" si="787"/>
        <v xml:space="preserve"> </v>
      </c>
      <c r="AV277" s="183" t="str">
        <f>IF(AP277&lt;&gt;" ",AR277*0.5," ")</f>
        <v xml:space="preserve"> </v>
      </c>
      <c r="AW277" s="353" t="str">
        <f>IF(AO277&lt;&gt;" ",(AU277+AU278)/2," ")</f>
        <v xml:space="preserve"> </v>
      </c>
      <c r="AX277" s="353"/>
      <c r="AY277" s="445" t="str">
        <f t="shared" ref="AY277" si="828">IF(AP277&lt;&gt;" ",IF(AQ277&gt;$B$15,"Нет","Да")," ")</f>
        <v xml:space="preserve"> </v>
      </c>
      <c r="AZ277" s="441" t="str">
        <f t="shared" ref="AZ277" si="829">IF(AP277&lt;&gt;" ",IF(AW277&gt;0.5*(AV277+AV278),"Да","Нет")," ")</f>
        <v xml:space="preserve"> </v>
      </c>
      <c r="BA277" s="441" t="str">
        <f t="shared" ref="BA277" si="830">IF(AP277&lt;&gt;" ",IF(OR($AX$269&lt;7,$AX$269=7),"Да","Нет")," ")</f>
        <v xml:space="preserve"> </v>
      </c>
      <c r="BB277" s="441" t="str">
        <f t="shared" ref="BB277" si="831">IF(AP277&lt;&gt;" ",IF(AW277&gt;0.2*0.5*(AR277+AR278),"Да","Нет")," ")</f>
        <v xml:space="preserve"> </v>
      </c>
      <c r="BC277" s="353">
        <f t="shared" ref="BC277:BC311" si="832">IF(AND(BE277&lt;&gt;0,BE277&lt;&gt;" "),AP277,0)</f>
        <v>0</v>
      </c>
      <c r="BD277" s="443" t="str">
        <f t="shared" ref="BD277" si="833">IF(AP277&lt;&gt;" ",IF(OR(AU277&lt;AR277,AU277=AR277),0.8*AW277*AP277/(5*$AX$269*10),0.8*AW277*AP277/($AX$269*10))," ")</f>
        <v xml:space="preserve"> </v>
      </c>
      <c r="BE277" s="353">
        <f t="shared" ref="BE277:BE317" si="834">IF(AP277&lt;&gt;" ",IF(AND(AY277="Нет",AZ277="Нет",BA277="Нет"),0,IF(AY277="Да",BD277,IF(AZ277="Да",BD277,IF(BA277="Да",BD277)))),0)</f>
        <v>0</v>
      </c>
      <c r="BF277" s="232"/>
      <c r="BH277" s="418"/>
      <c r="BI277" s="419"/>
      <c r="BJ277" s="202"/>
      <c r="BK277" s="419"/>
      <c r="BL277" s="213"/>
    </row>
    <row r="278" spans="33:64" ht="15.75" thickBot="1">
      <c r="AG278" s="370"/>
      <c r="AH278" s="370"/>
      <c r="AI278" s="364"/>
      <c r="AJ278" s="425"/>
      <c r="AK278" s="364"/>
      <c r="AL278" s="370"/>
      <c r="AM278" s="459"/>
      <c r="AN278" s="376"/>
      <c r="AO278" s="353"/>
      <c r="AP278" s="353"/>
      <c r="AQ278" s="183" t="str">
        <f>IF(AP277&lt;&gt;" ",MAX($AQ$9:AQ277)+AP277," ")</f>
        <v xml:space="preserve"> </v>
      </c>
      <c r="AR278" s="183" t="str">
        <f>IF(AP277&lt;&gt;" ",MAX($AR$9:AR277)+$AJ$29*AP277," ")</f>
        <v xml:space="preserve"> </v>
      </c>
      <c r="AS278" s="86" t="str">
        <f t="shared" si="762"/>
        <v xml:space="preserve"> </v>
      </c>
      <c r="AT278" s="264" t="str" cm="1">
        <f t="array" ref="AT278">IF(AS278&lt;&gt;" ",Interpol(31,8,Служебный!$H$54:$H$84,Служебный!$I$53:$P$53,Служебный!$I$54:$P$84,'Осадка поля'!$AS278,'Осадка поля'!$B$6)," ")</f>
        <v xml:space="preserve"> </v>
      </c>
      <c r="AU278" s="183" t="str">
        <f t="shared" si="787"/>
        <v xml:space="preserve"> </v>
      </c>
      <c r="AV278" s="183" t="str">
        <f>IF(AP277&lt;&gt;" ",AR278*0.5," ")</f>
        <v xml:space="preserve"> </v>
      </c>
      <c r="AW278" s="353"/>
      <c r="AX278" s="353"/>
      <c r="AY278" s="444"/>
      <c r="AZ278" s="444"/>
      <c r="BA278" s="445"/>
      <c r="BB278" s="444"/>
      <c r="BC278" s="353"/>
      <c r="BD278" s="444"/>
      <c r="BE278" s="353"/>
      <c r="BF278" s="232"/>
      <c r="BH278" s="418"/>
      <c r="BI278" s="419"/>
      <c r="BJ278" s="202"/>
      <c r="BK278" s="419"/>
      <c r="BL278" s="213"/>
    </row>
    <row r="279" spans="33:64">
      <c r="AG279" s="370"/>
      <c r="AH279" s="370"/>
      <c r="AI279" s="364"/>
      <c r="AJ279" s="425"/>
      <c r="AK279" s="364"/>
      <c r="AL279" s="370"/>
      <c r="AM279" s="459"/>
      <c r="AN279" s="376"/>
      <c r="AO279" s="353" t="str">
        <f>IF(AO277=" "," ", IF(AO277&lt;SUM(AN$9:AN$288),AO277+1, " "))</f>
        <v xml:space="preserve"> </v>
      </c>
      <c r="AP279" s="353" t="str">
        <f>IF(AO279&lt;&gt;" ",AM$109/COUNT(AO$109:AO$128), " ")</f>
        <v xml:space="preserve"> </v>
      </c>
      <c r="AQ279" s="183" t="str">
        <f>IF(AP279&lt;&gt;" ",SUM($AP$9:AP277)," ")</f>
        <v xml:space="preserve"> </v>
      </c>
      <c r="AR279" s="183" t="str">
        <f>IF(AP279&lt;&gt;" ",MAX($AR$9:AR278)," ")</f>
        <v xml:space="preserve"> </v>
      </c>
      <c r="AS279" s="86" t="str">
        <f t="shared" si="762"/>
        <v xml:space="preserve"> </v>
      </c>
      <c r="AT279" s="264" t="str" cm="1">
        <f t="array" ref="AT279">IF(AS279&lt;&gt;" ",Interpol(31,8,Служебный!$H$54:$H$84,Служебный!$I$53:$P$53,Служебный!$I$54:$P$84,'Осадка поля'!$AS279,'Осадка поля'!$B$6)," ")</f>
        <v xml:space="preserve"> </v>
      </c>
      <c r="AU279" s="183" t="str">
        <f t="shared" si="787"/>
        <v xml:space="preserve"> </v>
      </c>
      <c r="AV279" s="183" t="str">
        <f>IF(AP279&lt;&gt;" ",AR279*0.5," ")</f>
        <v xml:space="preserve"> </v>
      </c>
      <c r="AW279" s="353" t="str">
        <f>IF(AO279&lt;&gt;" ",(AU279+AU280)/2," ")</f>
        <v xml:space="preserve"> </v>
      </c>
      <c r="AX279" s="353"/>
      <c r="AY279" s="445" t="str">
        <f t="shared" ref="AY279" si="835">IF(AP279&lt;&gt;" ",IF(AQ279&gt;$B$15,"Нет","Да")," ")</f>
        <v xml:space="preserve"> </v>
      </c>
      <c r="AZ279" s="441" t="str">
        <f t="shared" ref="AZ279" si="836">IF(AP279&lt;&gt;" ",IF(AW279&gt;0.5*(AV279+AV280),"Да","Нет")," ")</f>
        <v xml:space="preserve"> </v>
      </c>
      <c r="BA279" s="441" t="str">
        <f t="shared" ref="BA279" si="837">IF(AP279&lt;&gt;" ",IF(OR($AX$269&lt;7,$AX$269=7),"Да","Нет")," ")</f>
        <v xml:space="preserve"> </v>
      </c>
      <c r="BB279" s="441" t="str">
        <f t="shared" ref="BB279" si="838">IF(AP279&lt;&gt;" ",IF(AW279&gt;0.2*0.5*(AR279+AR280),"Да","Нет")," ")</f>
        <v xml:space="preserve"> </v>
      </c>
      <c r="BC279" s="353">
        <f t="shared" ref="BC279:BC313" si="839">IF(AND(BE279&lt;&gt;0,BE279&lt;&gt;" "),AP279,0)</f>
        <v>0</v>
      </c>
      <c r="BD279" s="443" t="str">
        <f t="shared" ref="BD279" si="840">IF(AP279&lt;&gt;" ",IF(OR(AU279&lt;AR279,AU279=AR279),0.8*AW279*AP279/(5*$AX$269*10),0.8*AW279*AP279/($AX$269*10))," ")</f>
        <v xml:space="preserve"> </v>
      </c>
      <c r="BE279" s="353">
        <f t="shared" ref="BE279:BE319" si="841">IF(AP279&lt;&gt;" ",IF(AND(AY279="Нет",AZ279="Нет",BA279="Нет"),0,IF(AY279="Да",BD279,IF(AZ279="Да",BD279,IF(BA279="Да",BD279)))),0)</f>
        <v>0</v>
      </c>
      <c r="BF279" s="232"/>
      <c r="BH279" s="418"/>
      <c r="BI279" s="419"/>
      <c r="BJ279" s="202"/>
      <c r="BK279" s="419"/>
      <c r="BL279" s="213"/>
    </row>
    <row r="280" spans="33:64" ht="15.75" thickBot="1">
      <c r="AG280" s="370"/>
      <c r="AH280" s="370"/>
      <c r="AI280" s="364"/>
      <c r="AJ280" s="425"/>
      <c r="AK280" s="364"/>
      <c r="AL280" s="370"/>
      <c r="AM280" s="459"/>
      <c r="AN280" s="376"/>
      <c r="AO280" s="353"/>
      <c r="AP280" s="353"/>
      <c r="AQ280" s="183" t="str">
        <f>IF(AP279&lt;&gt;" ",MAX($AQ$9:AQ279)+AP279," ")</f>
        <v xml:space="preserve"> </v>
      </c>
      <c r="AR280" s="183" t="str">
        <f>IF(AP279&lt;&gt;" ",MAX($AR$9:AR279)+$AJ$29*AP279," ")</f>
        <v xml:space="preserve"> </v>
      </c>
      <c r="AS280" s="86" t="str">
        <f t="shared" si="762"/>
        <v xml:space="preserve"> </v>
      </c>
      <c r="AT280" s="264" t="str" cm="1">
        <f t="array" ref="AT280">IF(AS280&lt;&gt;" ",Interpol(31,8,Служебный!$H$54:$H$84,Служебный!$I$53:$P$53,Служебный!$I$54:$P$84,'Осадка поля'!$AS280,'Осадка поля'!$B$6)," ")</f>
        <v xml:space="preserve"> </v>
      </c>
      <c r="AU280" s="183" t="str">
        <f t="shared" si="787"/>
        <v xml:space="preserve"> </v>
      </c>
      <c r="AV280" s="183" t="str">
        <f>IF(AP279&lt;&gt;" ",AR280*0.5," ")</f>
        <v xml:space="preserve"> </v>
      </c>
      <c r="AW280" s="353"/>
      <c r="AX280" s="353"/>
      <c r="AY280" s="444"/>
      <c r="AZ280" s="444"/>
      <c r="BA280" s="445"/>
      <c r="BB280" s="444"/>
      <c r="BC280" s="353"/>
      <c r="BD280" s="444"/>
      <c r="BE280" s="353"/>
      <c r="BF280" s="232"/>
      <c r="BH280" s="418"/>
      <c r="BI280" s="419"/>
      <c r="BJ280" s="202"/>
      <c r="BK280" s="419"/>
      <c r="BL280" s="213"/>
    </row>
    <row r="281" spans="33:64">
      <c r="AG281" s="370"/>
      <c r="AH281" s="370"/>
      <c r="AI281" s="364"/>
      <c r="AJ281" s="425"/>
      <c r="AK281" s="364"/>
      <c r="AL281" s="370"/>
      <c r="AM281" s="459"/>
      <c r="AN281" s="376"/>
      <c r="AO281" s="353" t="str">
        <f>IF(AO279=" "," ", IF(AO279&lt;SUM(AN$9:AN$288),AO279+1, " "))</f>
        <v xml:space="preserve"> </v>
      </c>
      <c r="AP281" s="353" t="str">
        <f>IF(AO281&lt;&gt;" ",AM$109/COUNT(AO$109:AO$128), " ")</f>
        <v xml:space="preserve"> </v>
      </c>
      <c r="AQ281" s="183" t="str">
        <f>IF(AP281&lt;&gt;" ",SUM($AP$9:AP279)," ")</f>
        <v xml:space="preserve"> </v>
      </c>
      <c r="AR281" s="183" t="str">
        <f>IF(AP281&lt;&gt;" ",MAX($AR$9:AR280)," ")</f>
        <v xml:space="preserve"> </v>
      </c>
      <c r="AS281" s="86" t="str">
        <f t="shared" si="762"/>
        <v xml:space="preserve"> </v>
      </c>
      <c r="AT281" s="264" t="str" cm="1">
        <f t="array" ref="AT281">IF(AS281&lt;&gt;" ",Interpol(31,8,Служебный!$H$54:$H$84,Служебный!$I$53:$P$53,Служебный!$I$54:$P$84,'Осадка поля'!$AS281,'Осадка поля'!$B$6)," ")</f>
        <v xml:space="preserve"> </v>
      </c>
      <c r="AU281" s="183" t="str">
        <f t="shared" si="787"/>
        <v xml:space="preserve"> </v>
      </c>
      <c r="AV281" s="183" t="str">
        <f>IF(AP281&lt;&gt;" ",AR281*0.5," ")</f>
        <v xml:space="preserve"> </v>
      </c>
      <c r="AW281" s="353" t="str">
        <f>IF(AO281&lt;&gt;" ",(AU281+AU282)/2," ")</f>
        <v xml:space="preserve"> </v>
      </c>
      <c r="AX281" s="353"/>
      <c r="AY281" s="445" t="str">
        <f t="shared" ref="AY281" si="842">IF(AP281&lt;&gt;" ",IF(AQ281&gt;$B$15,"Нет","Да")," ")</f>
        <v xml:space="preserve"> </v>
      </c>
      <c r="AZ281" s="441" t="str">
        <f t="shared" ref="AZ281" si="843">IF(AP281&lt;&gt;" ",IF(AW281&gt;0.5*(AV281+AV282),"Да","Нет")," ")</f>
        <v xml:space="preserve"> </v>
      </c>
      <c r="BA281" s="441" t="str">
        <f t="shared" ref="BA281" si="844">IF(AP281&lt;&gt;" ",IF(OR($AX$269&lt;7,$AX$269=7),"Да","Нет")," ")</f>
        <v xml:space="preserve"> </v>
      </c>
      <c r="BB281" s="441" t="str">
        <f t="shared" ref="BB281" si="845">IF(AP281&lt;&gt;" ",IF(AW281&gt;0.2*0.5*(AR281+AR282),"Да","Нет")," ")</f>
        <v xml:space="preserve"> </v>
      </c>
      <c r="BC281" s="353">
        <f t="shared" ref="BC281" si="846">IF(AND(BE281&lt;&gt;0,BE281&lt;&gt;" "),AP281,0)</f>
        <v>0</v>
      </c>
      <c r="BD281" s="443" t="str">
        <f t="shared" ref="BD281" si="847">IF(AP281&lt;&gt;" ",IF(OR(AU281&lt;AR281,AU281=AR281),0.8*AW281*AP281/(5*$AX$269*10),0.8*AW281*AP281/($AX$269*10))," ")</f>
        <v xml:space="preserve"> </v>
      </c>
      <c r="BE281" s="353">
        <f t="shared" ref="BE281:BE321" si="848">IF(AP281&lt;&gt;" ",IF(AND(AY281="Нет",AZ281="Нет",BA281="Нет"),0,IF(AY281="Да",BD281,IF(AZ281="Да",BD281,IF(BA281="Да",BD281)))),0)</f>
        <v>0</v>
      </c>
      <c r="BF281" s="232"/>
      <c r="BH281" s="418"/>
      <c r="BI281" s="419"/>
      <c r="BJ281" s="202"/>
      <c r="BK281" s="419"/>
      <c r="BL281" s="213"/>
    </row>
    <row r="282" spans="33:64" ht="15.75" thickBot="1">
      <c r="AG282" s="370"/>
      <c r="AH282" s="370"/>
      <c r="AI282" s="364"/>
      <c r="AJ282" s="425"/>
      <c r="AK282" s="364"/>
      <c r="AL282" s="370"/>
      <c r="AM282" s="459"/>
      <c r="AN282" s="376"/>
      <c r="AO282" s="353"/>
      <c r="AP282" s="353"/>
      <c r="AQ282" s="183" t="str">
        <f>IF(AP281&lt;&gt;" ",MAX($AQ$9:AQ281)+AP281," ")</f>
        <v xml:space="preserve"> </v>
      </c>
      <c r="AR282" s="183" t="str">
        <f>IF(AP281&lt;&gt;" ",MAX($AR$9:AR281)+$AJ$29*AP281," ")</f>
        <v xml:space="preserve"> </v>
      </c>
      <c r="AS282" s="86" t="str">
        <f t="shared" si="762"/>
        <v xml:space="preserve"> </v>
      </c>
      <c r="AT282" s="264" t="str" cm="1">
        <f t="array" ref="AT282">IF(AS282&lt;&gt;" ",Interpol(31,8,Служебный!$H$54:$H$84,Служебный!$I$53:$P$53,Служебный!$I$54:$P$84,'Осадка поля'!$AS282,'Осадка поля'!$B$6)," ")</f>
        <v xml:space="preserve"> </v>
      </c>
      <c r="AU282" s="183" t="str">
        <f t="shared" si="787"/>
        <v xml:space="preserve"> </v>
      </c>
      <c r="AV282" s="183" t="str">
        <f>IF(AP281&lt;&gt;" ",AR282*0.5," ")</f>
        <v xml:space="preserve"> </v>
      </c>
      <c r="AW282" s="353"/>
      <c r="AX282" s="353"/>
      <c r="AY282" s="444"/>
      <c r="AZ282" s="444"/>
      <c r="BA282" s="445"/>
      <c r="BB282" s="444"/>
      <c r="BC282" s="353"/>
      <c r="BD282" s="444"/>
      <c r="BE282" s="353"/>
      <c r="BF282" s="232"/>
      <c r="BH282" s="418"/>
      <c r="BI282" s="419"/>
      <c r="BJ282" s="202"/>
      <c r="BK282" s="419"/>
      <c r="BL282" s="213"/>
    </row>
    <row r="283" spans="33:64">
      <c r="AG283" s="370"/>
      <c r="AH283" s="370"/>
      <c r="AI283" s="364"/>
      <c r="AJ283" s="425"/>
      <c r="AK283" s="364"/>
      <c r="AL283" s="370"/>
      <c r="AM283" s="459"/>
      <c r="AN283" s="376"/>
      <c r="AO283" s="353" t="str">
        <f>IF(AO281=" "," ", IF(AO281&lt;SUM(AN$9:AN$288),AO281+1, " "))</f>
        <v xml:space="preserve"> </v>
      </c>
      <c r="AP283" s="353" t="str">
        <f>IF(AO283&lt;&gt;" ",AM$109/COUNT(AO$109:AO$128), " ")</f>
        <v xml:space="preserve"> </v>
      </c>
      <c r="AQ283" s="183" t="str">
        <f>IF(AP283&lt;&gt;" ",SUM($AP$9:AP281)," ")</f>
        <v xml:space="preserve"> </v>
      </c>
      <c r="AR283" s="183" t="str">
        <f>IF(AP283&lt;&gt;" ",MAX($AR$9:AR282)," ")</f>
        <v xml:space="preserve"> </v>
      </c>
      <c r="AS283" s="86" t="str">
        <f t="shared" si="762"/>
        <v xml:space="preserve"> </v>
      </c>
      <c r="AT283" s="264" t="str" cm="1">
        <f t="array" ref="AT283">IF(AS283&lt;&gt;" ",Interpol(31,8,Служебный!$H$54:$H$84,Служебный!$I$53:$P$53,Служебный!$I$54:$P$84,'Осадка поля'!$AS283,'Осадка поля'!$B$6)," ")</f>
        <v xml:space="preserve"> </v>
      </c>
      <c r="AU283" s="183" t="str">
        <f t="shared" si="787"/>
        <v xml:space="preserve"> </v>
      </c>
      <c r="AV283" s="183" t="str">
        <f>IF(AP283&lt;&gt;" ",AR283*0.5," ")</f>
        <v xml:space="preserve"> </v>
      </c>
      <c r="AW283" s="353" t="str">
        <f>IF(AO283&lt;&gt;" ",(AU283+AU284)/2," ")</f>
        <v xml:space="preserve"> </v>
      </c>
      <c r="AX283" s="353"/>
      <c r="AY283" s="445" t="str">
        <f t="shared" ref="AY283" si="849">IF(AP283&lt;&gt;" ",IF(AQ283&gt;$B$15,"Нет","Да")," ")</f>
        <v xml:space="preserve"> </v>
      </c>
      <c r="AZ283" s="441" t="str">
        <f t="shared" ref="AZ283" si="850">IF(AP283&lt;&gt;" ",IF(AW283&gt;0.5*(AV283+AV284),"Да","Нет")," ")</f>
        <v xml:space="preserve"> </v>
      </c>
      <c r="BA283" s="441" t="str">
        <f t="shared" ref="BA283" si="851">IF(AP283&lt;&gt;" ",IF(OR($AX$269&lt;7,$AX$269=7),"Да","Нет")," ")</f>
        <v xml:space="preserve"> </v>
      </c>
      <c r="BB283" s="441" t="str">
        <f t="shared" ref="BB283" si="852">IF(AP283&lt;&gt;" ",IF(AW283&gt;0.2*0.5*(AR283+AR284),"Да","Нет")," ")</f>
        <v xml:space="preserve"> </v>
      </c>
      <c r="BC283" s="353">
        <f t="shared" si="742"/>
        <v>0</v>
      </c>
      <c r="BD283" s="443" t="str">
        <f t="shared" ref="BD283" si="853">IF(AP283&lt;&gt;" ",IF(OR(AU283&lt;AR283,AU283=AR283),0.8*AW283*AP283/(5*$AX$269*10),0.8*AW283*AP283/($AX$269*10))," ")</f>
        <v xml:space="preserve"> </v>
      </c>
      <c r="BE283" s="353">
        <f t="shared" ref="BE283:BE323" si="854">IF(AP283&lt;&gt;" ",IF(AND(AY283="Нет",AZ283="Нет",BA283="Нет"),0,IF(AY283="Да",BD283,IF(AZ283="Да",BD283,IF(BA283="Да",BD283)))),0)</f>
        <v>0</v>
      </c>
      <c r="BF283" s="232"/>
      <c r="BH283" s="418"/>
      <c r="BI283" s="419"/>
      <c r="BJ283" s="202"/>
      <c r="BK283" s="419"/>
      <c r="BL283" s="213"/>
    </row>
    <row r="284" spans="33:64" ht="15.75" thickBot="1">
      <c r="AG284" s="370"/>
      <c r="AH284" s="370"/>
      <c r="AI284" s="364"/>
      <c r="AJ284" s="425"/>
      <c r="AK284" s="364"/>
      <c r="AL284" s="370"/>
      <c r="AM284" s="459"/>
      <c r="AN284" s="376"/>
      <c r="AO284" s="353"/>
      <c r="AP284" s="353"/>
      <c r="AQ284" s="183" t="str">
        <f>IF(AP283&lt;&gt;" ",MAX($AQ$9:AQ283)+AP283," ")</f>
        <v xml:space="preserve"> </v>
      </c>
      <c r="AR284" s="183" t="str">
        <f>IF(AP283&lt;&gt;" ",MAX($AR$9:AR283)+$AJ$29*AP283," ")</f>
        <v xml:space="preserve"> </v>
      </c>
      <c r="AS284" s="86" t="str">
        <f t="shared" si="762"/>
        <v xml:space="preserve"> </v>
      </c>
      <c r="AT284" s="264" t="str" cm="1">
        <f t="array" ref="AT284">IF(AS284&lt;&gt;" ",Interpol(31,8,Служебный!$H$54:$H$84,Служебный!$I$53:$P$53,Служебный!$I$54:$P$84,'Осадка поля'!$AS284,'Осадка поля'!$B$6)," ")</f>
        <v xml:space="preserve"> </v>
      </c>
      <c r="AU284" s="183" t="str">
        <f t="shared" si="787"/>
        <v xml:space="preserve"> </v>
      </c>
      <c r="AV284" s="183" t="str">
        <f>IF(AP283&lt;&gt;" ",AR284*0.5," ")</f>
        <v xml:space="preserve"> </v>
      </c>
      <c r="AW284" s="353"/>
      <c r="AX284" s="353"/>
      <c r="AY284" s="444"/>
      <c r="AZ284" s="444"/>
      <c r="BA284" s="445"/>
      <c r="BB284" s="444"/>
      <c r="BC284" s="353"/>
      <c r="BD284" s="444"/>
      <c r="BE284" s="353"/>
      <c r="BF284" s="232"/>
      <c r="BH284" s="418"/>
      <c r="BI284" s="419"/>
      <c r="BJ284" s="202"/>
      <c r="BK284" s="419"/>
      <c r="BL284" s="213"/>
    </row>
    <row r="285" spans="33:64">
      <c r="AG285" s="370"/>
      <c r="AH285" s="370"/>
      <c r="AI285" s="364"/>
      <c r="AJ285" s="425"/>
      <c r="AK285" s="364"/>
      <c r="AL285" s="370"/>
      <c r="AM285" s="459"/>
      <c r="AN285" s="376"/>
      <c r="AO285" s="353" t="str">
        <f>IF(AO283=" "," ", IF(AO283&lt;SUM(AN$9:AN$288),AO283+1, " "))</f>
        <v xml:space="preserve"> </v>
      </c>
      <c r="AP285" s="353" t="str">
        <f>IF(AO285&lt;&gt;" ",AM$109/COUNT(AO$109:AO$128), " ")</f>
        <v xml:space="preserve"> </v>
      </c>
      <c r="AQ285" s="183" t="str">
        <f>IF(AP285&lt;&gt;" ",SUM($AP$9:AP283)," ")</f>
        <v xml:space="preserve"> </v>
      </c>
      <c r="AR285" s="183" t="str">
        <f>IF(AP285&lt;&gt;" ",MAX($AR$9:AR284)," ")</f>
        <v xml:space="preserve"> </v>
      </c>
      <c r="AS285" s="86" t="str">
        <f t="shared" si="762"/>
        <v xml:space="preserve"> </v>
      </c>
      <c r="AT285" s="264" t="str" cm="1">
        <f t="array" ref="AT285">IF(AS285&lt;&gt;" ",Interpol(31,8,Служебный!$H$54:$H$84,Служебный!$I$53:$P$53,Служебный!$I$54:$P$84,'Осадка поля'!$AS285,'Осадка поля'!$B$6)," ")</f>
        <v xml:space="preserve"> </v>
      </c>
      <c r="AU285" s="183" t="str">
        <f t="shared" si="787"/>
        <v xml:space="preserve"> </v>
      </c>
      <c r="AV285" s="183" t="str">
        <f>IF(AP285&lt;&gt;" ",AR285*0.5," ")</f>
        <v xml:space="preserve"> </v>
      </c>
      <c r="AW285" s="353" t="str">
        <f>IF(AO285&lt;&gt;" ",(AU285+AU286)/2," ")</f>
        <v xml:space="preserve"> </v>
      </c>
      <c r="AX285" s="353"/>
      <c r="AY285" s="445" t="str">
        <f t="shared" ref="AY285" si="855">IF(AP285&lt;&gt;" ",IF(AQ285&gt;$B$15,"Нет","Да")," ")</f>
        <v xml:space="preserve"> </v>
      </c>
      <c r="AZ285" s="441" t="str">
        <f t="shared" ref="AZ285" si="856">IF(AP285&lt;&gt;" ",IF(AW285&gt;0.5*(AV285+AV286),"Да","Нет")," ")</f>
        <v xml:space="preserve"> </v>
      </c>
      <c r="BA285" s="441" t="str">
        <f t="shared" ref="BA285" si="857">IF(AP285&lt;&gt;" ",IF(OR($AX$269&lt;7,$AX$269=7),"Да","Нет")," ")</f>
        <v xml:space="preserve"> </v>
      </c>
      <c r="BB285" s="441" t="str">
        <f t="shared" ref="BB285" si="858">IF(AP285&lt;&gt;" ",IF(AW285&gt;0.2*0.5*(AR285+AR286),"Да","Нет")," ")</f>
        <v xml:space="preserve"> </v>
      </c>
      <c r="BC285" s="353">
        <f t="shared" si="748"/>
        <v>0</v>
      </c>
      <c r="BD285" s="443" t="str">
        <f t="shared" ref="BD285" si="859">IF(AP285&lt;&gt;" ",IF(OR(AU285&lt;AR285,AU285=AR285),0.8*AW285*AP285/(5*$AX$269*10),0.8*AW285*AP285/($AX$269*10))," ")</f>
        <v xml:space="preserve"> </v>
      </c>
      <c r="BE285" s="353">
        <f t="shared" ref="BE285:BE325" si="860">IF(AP285&lt;&gt;" ",IF(AND(AY285="Нет",AZ285="Нет",BA285="Нет"),0,IF(AY285="Да",BD285,IF(AZ285="Да",BD285,IF(BA285="Да",BD285)))),0)</f>
        <v>0</v>
      </c>
      <c r="BF285" s="232"/>
      <c r="BH285" s="418"/>
      <c r="BI285" s="419"/>
      <c r="BJ285" s="202"/>
      <c r="BK285" s="419"/>
      <c r="BL285" s="213"/>
    </row>
    <row r="286" spans="33:64" ht="15.75" thickBot="1">
      <c r="AG286" s="370"/>
      <c r="AH286" s="370"/>
      <c r="AI286" s="364"/>
      <c r="AJ286" s="425"/>
      <c r="AK286" s="364"/>
      <c r="AL286" s="370"/>
      <c r="AM286" s="459"/>
      <c r="AN286" s="376"/>
      <c r="AO286" s="353"/>
      <c r="AP286" s="353"/>
      <c r="AQ286" s="183" t="str">
        <f>IF(AP285&lt;&gt;" ",MAX($AQ$9:AQ285)+AP285," ")</f>
        <v xml:space="preserve"> </v>
      </c>
      <c r="AR286" s="183" t="str">
        <f>IF(AP285&lt;&gt;" ",MAX($AR$9:AR285)+$AJ$29*AP285," ")</f>
        <v xml:space="preserve"> </v>
      </c>
      <c r="AS286" s="86" t="str">
        <f t="shared" si="762"/>
        <v xml:space="preserve"> </v>
      </c>
      <c r="AT286" s="264" t="str" cm="1">
        <f t="array" ref="AT286">IF(AS286&lt;&gt;" ",Interpol(31,8,Служебный!$H$54:$H$84,Служебный!$I$53:$P$53,Служебный!$I$54:$P$84,'Осадка поля'!$AS286,'Осадка поля'!$B$6)," ")</f>
        <v xml:space="preserve"> </v>
      </c>
      <c r="AU286" s="183" t="str">
        <f t="shared" si="787"/>
        <v xml:space="preserve"> </v>
      </c>
      <c r="AV286" s="183" t="str">
        <f>IF(AP285&lt;&gt;" ",AR286*0.5," ")</f>
        <v xml:space="preserve"> </v>
      </c>
      <c r="AW286" s="353"/>
      <c r="AX286" s="353"/>
      <c r="AY286" s="444"/>
      <c r="AZ286" s="444"/>
      <c r="BA286" s="445"/>
      <c r="BB286" s="444"/>
      <c r="BC286" s="353"/>
      <c r="BD286" s="444"/>
      <c r="BE286" s="353"/>
      <c r="BF286" s="232"/>
      <c r="BH286" s="418"/>
      <c r="BI286" s="419"/>
      <c r="BJ286" s="202"/>
      <c r="BK286" s="419"/>
      <c r="BL286" s="213"/>
    </row>
    <row r="287" spans="33:64">
      <c r="AG287" s="370"/>
      <c r="AH287" s="370"/>
      <c r="AI287" s="364"/>
      <c r="AJ287" s="425"/>
      <c r="AK287" s="364"/>
      <c r="AL287" s="370"/>
      <c r="AM287" s="459"/>
      <c r="AN287" s="376"/>
      <c r="AO287" s="353" t="str">
        <f>IF(AO285=" "," ", IF(AO285&lt;SUM(AN$9:AN$288),AO285+1, " "))</f>
        <v xml:space="preserve"> </v>
      </c>
      <c r="AP287" s="353" t="str">
        <f>IF(AO287&lt;&gt;" ",AM$109/COUNT(AO$109:AO$128), " ")</f>
        <v xml:space="preserve"> </v>
      </c>
      <c r="AQ287" s="183" t="str">
        <f>IF(AP287&lt;&gt;" ",SUM($AP$9:AP285)," ")</f>
        <v xml:space="preserve"> </v>
      </c>
      <c r="AR287" s="183" t="str">
        <f>IF(AP287&lt;&gt;" ",MAX($AR$9:AR286)," ")</f>
        <v xml:space="preserve"> </v>
      </c>
      <c r="AS287" s="86" t="str">
        <f t="shared" si="762"/>
        <v xml:space="preserve"> </v>
      </c>
      <c r="AT287" s="264" t="str" cm="1">
        <f t="array" ref="AT287">IF(AS287&lt;&gt;" ",Interpol(31,8,Служебный!$H$54:$H$84,Служебный!$I$53:$P$53,Служебный!$I$54:$P$84,'Осадка поля'!$AS287,'Осадка поля'!$B$6)," ")</f>
        <v xml:space="preserve"> </v>
      </c>
      <c r="AU287" s="183" t="str">
        <f t="shared" si="787"/>
        <v xml:space="preserve"> </v>
      </c>
      <c r="AV287" s="183" t="str">
        <f>IF(AP287&lt;&gt;" ",AR287*0.5," ")</f>
        <v xml:space="preserve"> </v>
      </c>
      <c r="AW287" s="353" t="str">
        <f>IF(AO287&lt;&gt;" ",(AU287+AU288)/2," ")</f>
        <v xml:space="preserve"> </v>
      </c>
      <c r="AX287" s="353"/>
      <c r="AY287" s="445" t="str">
        <f t="shared" ref="AY287" si="861">IF(AP287&lt;&gt;" ",IF(AQ287&gt;$B$15,"Нет","Да")," ")</f>
        <v xml:space="preserve"> </v>
      </c>
      <c r="AZ287" s="441" t="str">
        <f t="shared" ref="AZ287" si="862">IF(AP287&lt;&gt;" ",IF(AW287&gt;0.5*(AV287+AV288),"Да","Нет")," ")</f>
        <v xml:space="preserve"> </v>
      </c>
      <c r="BA287" s="441" t="str">
        <f t="shared" ref="BA287" si="863">IF(AP287&lt;&gt;" ",IF(OR($AX$269&lt;7,$AX$269=7),"Да","Нет")," ")</f>
        <v xml:space="preserve"> </v>
      </c>
      <c r="BB287" s="441" t="str">
        <f t="shared" ref="BB287" si="864">IF(AP287&lt;&gt;" ",IF(AW287&gt;0.2*0.5*(AR287+AR288),"Да","Нет")," ")</f>
        <v xml:space="preserve"> </v>
      </c>
      <c r="BC287" s="353">
        <f t="shared" si="754"/>
        <v>0</v>
      </c>
      <c r="BD287" s="443" t="str">
        <f t="shared" ref="BD287" si="865">IF(AP287&lt;&gt;" ",IF(OR(AU287&lt;AR287,AU287=AR287),0.8*AW287*AP287/(5*$AX$269*10),0.8*AW287*AP287/($AX$269*10))," ")</f>
        <v xml:space="preserve"> </v>
      </c>
      <c r="BE287" s="353">
        <f t="shared" ref="BE287:BE327" si="866">IF(AP287&lt;&gt;" ",IF(AND(AY287="Нет",AZ287="Нет",BA287="Нет"),0,IF(AY287="Да",BD287,IF(AZ287="Да",BD287,IF(BA287="Да",BD287)))),0)</f>
        <v>0</v>
      </c>
      <c r="BF287" s="232"/>
      <c r="BH287" s="418"/>
      <c r="BI287" s="419"/>
      <c r="BJ287" s="202"/>
      <c r="BK287" s="419"/>
      <c r="BL287" s="213"/>
    </row>
    <row r="288" spans="33:64" ht="15.75" thickBot="1">
      <c r="AG288" s="370"/>
      <c r="AH288" s="370"/>
      <c r="AI288" s="364"/>
      <c r="AJ288" s="425"/>
      <c r="AK288" s="364"/>
      <c r="AL288" s="370"/>
      <c r="AM288" s="459"/>
      <c r="AN288" s="376"/>
      <c r="AO288" s="353"/>
      <c r="AP288" s="353"/>
      <c r="AQ288" s="183" t="str">
        <f>IF(AP287&lt;&gt;" ",MAX($AQ$9:AQ287)+AP287," ")</f>
        <v xml:space="preserve"> </v>
      </c>
      <c r="AR288" s="183" t="str">
        <f>IF(AP287&lt;&gt;" ",MAX($AR$9:AR287)+$AJ$29*AP287," ")</f>
        <v xml:space="preserve"> </v>
      </c>
      <c r="AS288" s="86" t="str">
        <f t="shared" si="762"/>
        <v xml:space="preserve"> </v>
      </c>
      <c r="AT288" s="264" t="str" cm="1">
        <f t="array" ref="AT288">IF(AS288&lt;&gt;" ",Interpol(31,8,Служебный!$H$54:$H$84,Служебный!$I$53:$P$53,Служебный!$I$54:$P$84,'Осадка поля'!$AS288,'Осадка поля'!$B$6)," ")</f>
        <v xml:space="preserve"> </v>
      </c>
      <c r="AU288" s="183" t="str">
        <f t="shared" si="787"/>
        <v xml:space="preserve"> </v>
      </c>
      <c r="AV288" s="183" t="str">
        <f>IF(AP287&lt;&gt;" ",AR288*0.5," ")</f>
        <v xml:space="preserve"> </v>
      </c>
      <c r="AW288" s="353"/>
      <c r="AX288" s="353"/>
      <c r="AY288" s="444"/>
      <c r="AZ288" s="444"/>
      <c r="BA288" s="445"/>
      <c r="BB288" s="444"/>
      <c r="BC288" s="353"/>
      <c r="BD288" s="444"/>
      <c r="BE288" s="353"/>
      <c r="BF288" s="232"/>
      <c r="BH288" s="458"/>
      <c r="BI288" s="457"/>
      <c r="BJ288" s="203"/>
      <c r="BK288" s="457"/>
      <c r="BL288" s="214"/>
    </row>
    <row r="289" spans="33:64">
      <c r="AG289" s="370">
        <f t="shared" ref="AG289:AG309" si="867">AG269+1</f>
        <v>24</v>
      </c>
      <c r="AH289" s="390">
        <f>IF(AG289&gt;20,0,VLOOKUP(AG289,Скважина!$E$8:$K$27,2,FALSE))</f>
        <v>0</v>
      </c>
      <c r="AI289" s="388">
        <f>IF(OR(AH289=0,AG289&gt;20),0,VLOOKUP(AH289,Геология!$D$7:$BO$993,7,FALSE))</f>
        <v>0</v>
      </c>
      <c r="AJ289" s="425" t="e">
        <f>VLOOKUP(AH289,Геология!$D$7:$BO$993,23,FALSE)</f>
        <v>#N/A</v>
      </c>
      <c r="AK289" s="364">
        <f t="shared" ref="AK289" si="868">IF(AM269&lt;&gt;0,AL269,AK269)</f>
        <v>111.73</v>
      </c>
      <c r="AL289" s="390" t="e">
        <f>VLOOKUP(AG289,Скважина!$E$8:$K$27,5,FALSE)</f>
        <v>#N/A</v>
      </c>
      <c r="AM289" s="459">
        <f t="shared" ref="AM289" si="869">IF(IF(AH289&lt;&gt;0,AK289-AL289,0)&lt;0,0,IF(AH289&lt;&gt;0,AK289-AL289,0))</f>
        <v>0</v>
      </c>
      <c r="AN289" s="376"/>
      <c r="AO289" s="353" t="str">
        <f>IF(AN289&lt;&gt;0,MAX(AO$9:AO$288)+1," ")</f>
        <v xml:space="preserve"> </v>
      </c>
      <c r="AP289" s="353" t="str">
        <f>IF(AO289&lt;&gt;" ",AM$109/COUNT(AO$109:AO$128), " ")</f>
        <v xml:space="preserve"> </v>
      </c>
      <c r="AQ289" s="183" t="str">
        <f>IF(AP289&lt;&gt;" ",SUM($AP$9:AP287)," ")</f>
        <v xml:space="preserve"> </v>
      </c>
      <c r="AR289" s="183" t="str">
        <f>IF(AP289&lt;&gt;" ",MAX($AR$9:AR288)," ")</f>
        <v xml:space="preserve"> </v>
      </c>
      <c r="AS289" s="86" t="str">
        <f t="shared" si="762"/>
        <v xml:space="preserve"> </v>
      </c>
      <c r="AT289" s="264" t="str" cm="1">
        <f t="array" ref="AT289">IF(AS289&lt;&gt;" ",Interpol(31,8,Служебный!$H$54:$H$84,Служебный!$I$53:$P$53,Служебный!$I$54:$P$84,'Осадка поля'!$AS289,'Осадка поля'!$B$6)," ")</f>
        <v xml:space="preserve"> </v>
      </c>
      <c r="AU289" s="183" t="str">
        <f t="shared" si="787"/>
        <v xml:space="preserve"> </v>
      </c>
      <c r="AV289" s="183" t="str">
        <f>IF(AP289&lt;&gt;" ",AR289*0.5," ")</f>
        <v xml:space="preserve"> </v>
      </c>
      <c r="AW289" s="353" t="str">
        <f>IF(AO289&lt;&gt;" ",(AU289+AU290)/2," ")</f>
        <v xml:space="preserve"> </v>
      </c>
      <c r="AX289" s="444" t="str">
        <f>IF(AH289&lt;&gt;0,VLOOKUP(AH289,Геология!$D$7:$BO$993,21,FALSE)," ")</f>
        <v xml:space="preserve"> </v>
      </c>
      <c r="AY289" s="445" t="str">
        <f t="shared" ref="AY289" si="870">IF(AP289&lt;&gt;" ",IF(AQ289&gt;$B$15,"Нет","Да")," ")</f>
        <v xml:space="preserve"> </v>
      </c>
      <c r="AZ289" s="441" t="str">
        <f t="shared" ref="AZ289" si="871">IF(AP289&lt;&gt;" ",IF(AW289&gt;0.5*(AV289+AV290),"Да","Нет")," ")</f>
        <v xml:space="preserve"> </v>
      </c>
      <c r="BA289" s="441" t="str">
        <f>IF(AP289&lt;&gt;" ",IF(OR($AX$289&lt;7,$AX$289=7),"Да","Нет")," ")</f>
        <v xml:space="preserve"> </v>
      </c>
      <c r="BB289" s="441" t="str">
        <f t="shared" ref="BB289" si="872">IF(AP289&lt;&gt;" ",IF(AW289&gt;0.2*0.5*(AR289+AR290),"Да","Нет")," ")</f>
        <v xml:space="preserve"> </v>
      </c>
      <c r="BC289" s="353">
        <f t="shared" si="760"/>
        <v>0</v>
      </c>
      <c r="BD289" s="443" t="str">
        <f>IF(AP289&lt;&gt;" ",IF(OR(AU289&lt;AR289,AU289=AR289),0.8*AW289*AP289/(5*$AX$289*10),0.8*AW289*AP289/($AX$289*10))," ")</f>
        <v xml:space="preserve"> </v>
      </c>
      <c r="BE289" s="353">
        <f t="shared" ref="BE289" si="873">IF(AP289&lt;&gt;" ",IF(AND(AY289="Нет",AZ289="Нет",BA289="Нет"),0,IF(AY289="Да",BD289,IF(AZ289="Да",BD289,IF(BA289="Да",BD289)))),0)</f>
        <v>0</v>
      </c>
      <c r="BF289" s="232"/>
      <c r="BH289" s="448" t="str">
        <f>IF(AH289&lt;&gt;0,VLOOKUP(AH289,Геология!$D$7:$BO$993,24,FALSE)," ")</f>
        <v xml:space="preserve"> </v>
      </c>
      <c r="BI289" s="449" t="str">
        <f>IF(BH289&lt;&gt;" ",BH289*AM289," ")</f>
        <v xml:space="preserve"> </v>
      </c>
      <c r="BJ289" s="202"/>
      <c r="BK289" s="456" t="str">
        <f>IF(AM289&lt;&gt;0,AX289*AM289," ")</f>
        <v xml:space="preserve"> </v>
      </c>
      <c r="BL289" s="213"/>
    </row>
    <row r="290" spans="33:64" ht="15.75" thickBot="1">
      <c r="AG290" s="370"/>
      <c r="AH290" s="370"/>
      <c r="AI290" s="364"/>
      <c r="AJ290" s="425"/>
      <c r="AK290" s="364"/>
      <c r="AL290" s="370"/>
      <c r="AM290" s="459"/>
      <c r="AN290" s="376"/>
      <c r="AO290" s="353"/>
      <c r="AP290" s="353"/>
      <c r="AQ290" s="183" t="str">
        <f>IF(AP289&lt;&gt;" ",MAX($AQ$9:AQ289)+AP289," ")</f>
        <v xml:space="preserve"> </v>
      </c>
      <c r="AR290" s="183" t="str">
        <f>IF(AP289&lt;&gt;" ",MAX($AR$9:AR289)+$AJ$29*AP289," ")</f>
        <v xml:space="preserve"> </v>
      </c>
      <c r="AS290" s="86" t="str">
        <f t="shared" si="762"/>
        <v xml:space="preserve"> </v>
      </c>
      <c r="AT290" s="264" t="str" cm="1">
        <f t="array" ref="AT290">IF(AS290&lt;&gt;" ",Interpol(31,8,Служебный!$H$54:$H$84,Служебный!$I$53:$P$53,Служебный!$I$54:$P$84,'Осадка поля'!$AS290,'Осадка поля'!$B$6)," ")</f>
        <v xml:space="preserve"> </v>
      </c>
      <c r="AU290" s="183" t="str">
        <f t="shared" si="787"/>
        <v xml:space="preserve"> </v>
      </c>
      <c r="AV290" s="183" t="str">
        <f>IF(AP289&lt;&gt;" ",AR290*0.5," ")</f>
        <v xml:space="preserve"> </v>
      </c>
      <c r="AW290" s="353"/>
      <c r="AX290" s="353"/>
      <c r="AY290" s="444"/>
      <c r="AZ290" s="444"/>
      <c r="BA290" s="445"/>
      <c r="BB290" s="444"/>
      <c r="BC290" s="353"/>
      <c r="BD290" s="444"/>
      <c r="BE290" s="353"/>
      <c r="BF290" s="232"/>
      <c r="BH290" s="418"/>
      <c r="BI290" s="419"/>
      <c r="BJ290" s="202"/>
      <c r="BK290" s="419"/>
      <c r="BL290" s="213"/>
    </row>
    <row r="291" spans="33:64">
      <c r="AG291" s="370"/>
      <c r="AH291" s="370"/>
      <c r="AI291" s="364"/>
      <c r="AJ291" s="425"/>
      <c r="AK291" s="364"/>
      <c r="AL291" s="370"/>
      <c r="AM291" s="459"/>
      <c r="AN291" s="376"/>
      <c r="AO291" s="353" t="str">
        <f>IF(AO289=" "," ", IF(AO289&lt;SUM(AN$9:AN$308),AO289+1, " "))</f>
        <v xml:space="preserve"> </v>
      </c>
      <c r="AP291" s="353" t="str">
        <f>IF(AO291&lt;&gt;" ",AM$109/COUNT(AO$109:AO$128), " ")</f>
        <v xml:space="preserve"> </v>
      </c>
      <c r="AQ291" s="183" t="str">
        <f>IF(AP291&lt;&gt;" ",SUM($AP$9:AP289)," ")</f>
        <v xml:space="preserve"> </v>
      </c>
      <c r="AR291" s="183" t="str">
        <f>IF(AP291&lt;&gt;" ",MAX($AR$9:AR290)," ")</f>
        <v xml:space="preserve"> </v>
      </c>
      <c r="AS291" s="86" t="str">
        <f t="shared" si="762"/>
        <v xml:space="preserve"> </v>
      </c>
      <c r="AT291" s="264" t="str" cm="1">
        <f t="array" ref="AT291">IF(AS291&lt;&gt;" ",Interpol(31,8,Служебный!$H$54:$H$84,Служебный!$I$53:$P$53,Служебный!$I$54:$P$84,'Осадка поля'!$AS291,'Осадка поля'!$B$6)," ")</f>
        <v xml:space="preserve"> </v>
      </c>
      <c r="AU291" s="183" t="str">
        <f t="shared" si="787"/>
        <v xml:space="preserve"> </v>
      </c>
      <c r="AV291" s="183" t="str">
        <f>IF(AP291&lt;&gt;" ",AR291*0.5," ")</f>
        <v xml:space="preserve"> </v>
      </c>
      <c r="AW291" s="353" t="str">
        <f>IF(AO291&lt;&gt;" ",(AU291+AU292)/2," ")</f>
        <v xml:space="preserve"> </v>
      </c>
      <c r="AX291" s="353"/>
      <c r="AY291" s="445" t="str">
        <f t="shared" ref="AY291" si="874">IF(AP291&lt;&gt;" ",IF(AQ291&gt;$B$15,"Нет","Да")," ")</f>
        <v xml:space="preserve"> </v>
      </c>
      <c r="AZ291" s="441" t="str">
        <f t="shared" ref="AZ291" si="875">IF(AP291&lt;&gt;" ",IF(AW291&gt;0.5*(AV291+AV292),"Да","Нет")," ")</f>
        <v xml:space="preserve"> </v>
      </c>
      <c r="BA291" s="441" t="str">
        <f t="shared" ref="BA291" si="876">IF(AP291&lt;&gt;" ",IF(OR($AX$289&lt;7,$AX$289=7),"Да","Нет")," ")</f>
        <v xml:space="preserve"> </v>
      </c>
      <c r="BB291" s="441" t="str">
        <f t="shared" ref="BB291" si="877">IF(AP291&lt;&gt;" ",IF(AW291&gt;0.2*0.5*(AR291+AR292),"Да","Нет")," ")</f>
        <v xml:space="preserve"> </v>
      </c>
      <c r="BC291" s="353">
        <f t="shared" si="767"/>
        <v>0</v>
      </c>
      <c r="BD291" s="443" t="str">
        <f t="shared" ref="BD291" si="878">IF(AP291&lt;&gt;" ",IF(OR(AU291&lt;AR291,AU291=AR291),0.8*AW291*AP291/(5*$AX$289*10),0.8*AW291*AP291/($AX$289*10))," ")</f>
        <v xml:space="preserve"> </v>
      </c>
      <c r="BE291" s="353">
        <f t="shared" si="813"/>
        <v>0</v>
      </c>
      <c r="BF291" s="232"/>
      <c r="BH291" s="418"/>
      <c r="BI291" s="419"/>
      <c r="BJ291" s="202"/>
      <c r="BK291" s="419"/>
      <c r="BL291" s="213"/>
    </row>
    <row r="292" spans="33:64" ht="15.75" thickBot="1">
      <c r="AG292" s="370"/>
      <c r="AH292" s="370"/>
      <c r="AI292" s="364"/>
      <c r="AJ292" s="425"/>
      <c r="AK292" s="364"/>
      <c r="AL292" s="370"/>
      <c r="AM292" s="459"/>
      <c r="AN292" s="376"/>
      <c r="AO292" s="353"/>
      <c r="AP292" s="353"/>
      <c r="AQ292" s="183" t="str">
        <f>IF(AP291&lt;&gt;" ",MAX($AQ$9:AQ291)+AP291," ")</f>
        <v xml:space="preserve"> </v>
      </c>
      <c r="AR292" s="183" t="str">
        <f>IF(AP291&lt;&gt;" ",MAX($AR$9:AR291)+$AJ$29*AP291," ")</f>
        <v xml:space="preserve"> </v>
      </c>
      <c r="AS292" s="86" t="str">
        <f t="shared" si="762"/>
        <v xml:space="preserve"> </v>
      </c>
      <c r="AT292" s="264" t="str" cm="1">
        <f t="array" ref="AT292">IF(AS292&lt;&gt;" ",Interpol(31,8,Служебный!$H$54:$H$84,Служебный!$I$53:$P$53,Служебный!$I$54:$P$84,'Осадка поля'!$AS292,'Осадка поля'!$B$6)," ")</f>
        <v xml:space="preserve"> </v>
      </c>
      <c r="AU292" s="183" t="str">
        <f t="shared" si="787"/>
        <v xml:space="preserve"> </v>
      </c>
      <c r="AV292" s="183" t="str">
        <f>IF(AP291&lt;&gt;" ",AR292*0.5," ")</f>
        <v xml:space="preserve"> </v>
      </c>
      <c r="AW292" s="353"/>
      <c r="AX292" s="353"/>
      <c r="AY292" s="444"/>
      <c r="AZ292" s="444"/>
      <c r="BA292" s="445"/>
      <c r="BB292" s="444"/>
      <c r="BC292" s="353"/>
      <c r="BD292" s="444"/>
      <c r="BE292" s="353"/>
      <c r="BF292" s="232"/>
      <c r="BH292" s="418"/>
      <c r="BI292" s="419"/>
      <c r="BJ292" s="202"/>
      <c r="BK292" s="419"/>
      <c r="BL292" s="213"/>
    </row>
    <row r="293" spans="33:64">
      <c r="AG293" s="370"/>
      <c r="AH293" s="370"/>
      <c r="AI293" s="364"/>
      <c r="AJ293" s="425"/>
      <c r="AK293" s="364"/>
      <c r="AL293" s="370"/>
      <c r="AM293" s="459"/>
      <c r="AN293" s="376"/>
      <c r="AO293" s="353" t="str">
        <f>IF(AO291=" "," ", IF(AO291&lt;SUM(AN$9:AN$308),AO291+1, " "))</f>
        <v xml:space="preserve"> </v>
      </c>
      <c r="AP293" s="353" t="str">
        <f>IF(AO293&lt;&gt;" ",AM$109/COUNT(AO$109:AO$128), " ")</f>
        <v xml:space="preserve"> </v>
      </c>
      <c r="AQ293" s="183" t="str">
        <f>IF(AP293&lt;&gt;" ",SUM($AP$9:AP291)," ")</f>
        <v xml:space="preserve"> </v>
      </c>
      <c r="AR293" s="183" t="str">
        <f>IF(AP293&lt;&gt;" ",MAX($AR$9:AR292)," ")</f>
        <v xml:space="preserve"> </v>
      </c>
      <c r="AS293" s="86" t="str">
        <f t="shared" si="762"/>
        <v xml:space="preserve"> </v>
      </c>
      <c r="AT293" s="264" t="str" cm="1">
        <f t="array" ref="AT293">IF(AS293&lt;&gt;" ",Interpol(31,8,Служебный!$H$54:$H$84,Служебный!$I$53:$P$53,Служебный!$I$54:$P$84,'Осадка поля'!$AS293,'Осадка поля'!$B$6)," ")</f>
        <v xml:space="preserve"> </v>
      </c>
      <c r="AU293" s="183" t="str">
        <f t="shared" si="787"/>
        <v xml:space="preserve"> </v>
      </c>
      <c r="AV293" s="183" t="str">
        <f>IF(AP293&lt;&gt;" ",AR293*0.5," ")</f>
        <v xml:space="preserve"> </v>
      </c>
      <c r="AW293" s="353" t="str">
        <f>IF(AO293&lt;&gt;" ",(AU293+AU294)/2," ")</f>
        <v xml:space="preserve"> </v>
      </c>
      <c r="AX293" s="353"/>
      <c r="AY293" s="445" t="str">
        <f t="shared" ref="AY293" si="879">IF(AP293&lt;&gt;" ",IF(AQ293&gt;$B$15,"Нет","Да")," ")</f>
        <v xml:space="preserve"> </v>
      </c>
      <c r="AZ293" s="441" t="str">
        <f t="shared" ref="AZ293" si="880">IF(AP293&lt;&gt;" ",IF(AW293&gt;0.5*(AV293+AV294),"Да","Нет")," ")</f>
        <v xml:space="preserve"> </v>
      </c>
      <c r="BA293" s="441" t="str">
        <f t="shared" ref="BA293" si="881">IF(AP293&lt;&gt;" ",IF(OR($AX$289&lt;7,$AX$289=7),"Да","Нет")," ")</f>
        <v xml:space="preserve"> </v>
      </c>
      <c r="BB293" s="441" t="str">
        <f t="shared" ref="BB293" si="882">IF(AP293&lt;&gt;" ",IF(AW293&gt;0.2*0.5*(AR293+AR294),"Да","Нет")," ")</f>
        <v xml:space="preserve"> </v>
      </c>
      <c r="BC293" s="353">
        <f t="shared" si="773"/>
        <v>0</v>
      </c>
      <c r="BD293" s="443" t="str">
        <f t="shared" ref="BD293" si="883">IF(AP293&lt;&gt;" ",IF(OR(AU293&lt;AR293,AU293=AR293),0.8*AW293*AP293/(5*$AX$289*10),0.8*AW293*AP293/($AX$289*10))," ")</f>
        <v xml:space="preserve"> </v>
      </c>
      <c r="BE293" s="353">
        <f t="shared" si="820"/>
        <v>0</v>
      </c>
      <c r="BF293" s="232"/>
      <c r="BH293" s="418"/>
      <c r="BI293" s="419"/>
      <c r="BJ293" s="202"/>
      <c r="BK293" s="419"/>
      <c r="BL293" s="213"/>
    </row>
    <row r="294" spans="33:64" ht="15.75" thickBot="1">
      <c r="AG294" s="370"/>
      <c r="AH294" s="370"/>
      <c r="AI294" s="364"/>
      <c r="AJ294" s="425"/>
      <c r="AK294" s="364"/>
      <c r="AL294" s="370"/>
      <c r="AM294" s="459"/>
      <c r="AN294" s="376"/>
      <c r="AO294" s="353"/>
      <c r="AP294" s="353"/>
      <c r="AQ294" s="183" t="str">
        <f>IF(AP293&lt;&gt;" ",MAX($AQ$9:AQ293)+AP293," ")</f>
        <v xml:space="preserve"> </v>
      </c>
      <c r="AR294" s="183" t="str">
        <f>IF(AP293&lt;&gt;" ",MAX($AR$9:AR293)+$AJ$29*AP293," ")</f>
        <v xml:space="preserve"> </v>
      </c>
      <c r="AS294" s="86" t="str">
        <f t="shared" si="762"/>
        <v xml:space="preserve"> </v>
      </c>
      <c r="AT294" s="264" t="str" cm="1">
        <f t="array" ref="AT294">IF(AS294&lt;&gt;" ",Interpol(31,8,Служебный!$H$54:$H$84,Служебный!$I$53:$P$53,Служебный!$I$54:$P$84,'Осадка поля'!$AS294,'Осадка поля'!$B$6)," ")</f>
        <v xml:space="preserve"> </v>
      </c>
      <c r="AU294" s="183" t="str">
        <f t="shared" si="787"/>
        <v xml:space="preserve"> </v>
      </c>
      <c r="AV294" s="183" t="str">
        <f>IF(AP293&lt;&gt;" ",AR294*0.5," ")</f>
        <v xml:space="preserve"> </v>
      </c>
      <c r="AW294" s="353"/>
      <c r="AX294" s="353"/>
      <c r="AY294" s="444"/>
      <c r="AZ294" s="444"/>
      <c r="BA294" s="445"/>
      <c r="BB294" s="444"/>
      <c r="BC294" s="353"/>
      <c r="BD294" s="444"/>
      <c r="BE294" s="353"/>
      <c r="BF294" s="232"/>
      <c r="BH294" s="418"/>
      <c r="BI294" s="419"/>
      <c r="BJ294" s="202"/>
      <c r="BK294" s="419"/>
      <c r="BL294" s="213"/>
    </row>
    <row r="295" spans="33:64">
      <c r="AG295" s="370"/>
      <c r="AH295" s="370"/>
      <c r="AI295" s="364"/>
      <c r="AJ295" s="425"/>
      <c r="AK295" s="364"/>
      <c r="AL295" s="370"/>
      <c r="AM295" s="459"/>
      <c r="AN295" s="376"/>
      <c r="AO295" s="353" t="str">
        <f>IF(AO293=" "," ", IF(AO293&lt;SUM(AN$9:AN$308),AO293+1, " "))</f>
        <v xml:space="preserve"> </v>
      </c>
      <c r="AP295" s="353" t="str">
        <f>IF(AO295&lt;&gt;" ",AM$109/COUNT(AO$109:AO$128), " ")</f>
        <v xml:space="preserve"> </v>
      </c>
      <c r="AQ295" s="183" t="str">
        <f>IF(AP295&lt;&gt;" ",SUM($AP$9:AP293)," ")</f>
        <v xml:space="preserve"> </v>
      </c>
      <c r="AR295" s="183" t="str">
        <f>IF(AP295&lt;&gt;" ",MAX($AR$9:AR294)," ")</f>
        <v xml:space="preserve"> </v>
      </c>
      <c r="AS295" s="86" t="str">
        <f t="shared" si="762"/>
        <v xml:space="preserve"> </v>
      </c>
      <c r="AT295" s="264" t="str" cm="1">
        <f t="array" ref="AT295">IF(AS295&lt;&gt;" ",Interpol(31,8,Служебный!$H$54:$H$84,Служебный!$I$53:$P$53,Служебный!$I$54:$P$84,'Осадка поля'!$AS295,'Осадка поля'!$B$6)," ")</f>
        <v xml:space="preserve"> </v>
      </c>
      <c r="AU295" s="183" t="str">
        <f t="shared" si="787"/>
        <v xml:space="preserve"> </v>
      </c>
      <c r="AV295" s="183" t="str">
        <f>IF(AP295&lt;&gt;" ",AR295*0.5," ")</f>
        <v xml:space="preserve"> </v>
      </c>
      <c r="AW295" s="353" t="str">
        <f>IF(AO295&lt;&gt;" ",(AU295+AU296)/2," ")</f>
        <v xml:space="preserve"> </v>
      </c>
      <c r="AX295" s="353"/>
      <c r="AY295" s="445" t="str">
        <f t="shared" ref="AY295" si="884">IF(AP295&lt;&gt;" ",IF(AQ295&gt;$B$15,"Нет","Да")," ")</f>
        <v xml:space="preserve"> </v>
      </c>
      <c r="AZ295" s="441" t="str">
        <f t="shared" ref="AZ295" si="885">IF(AP295&lt;&gt;" ",IF(AW295&gt;0.5*(AV295+AV296),"Да","Нет")," ")</f>
        <v xml:space="preserve"> </v>
      </c>
      <c r="BA295" s="441" t="str">
        <f t="shared" ref="BA295" si="886">IF(AP295&lt;&gt;" ",IF(OR($AX$289&lt;7,$AX$289=7),"Да","Нет")," ")</f>
        <v xml:space="preserve"> </v>
      </c>
      <c r="BB295" s="441" t="str">
        <f t="shared" ref="BB295" si="887">IF(AP295&lt;&gt;" ",IF(AW295&gt;0.2*0.5*(AR295+AR296),"Да","Нет")," ")</f>
        <v xml:space="preserve"> </v>
      </c>
      <c r="BC295" s="353">
        <f t="shared" si="779"/>
        <v>0</v>
      </c>
      <c r="BD295" s="443" t="str">
        <f t="shared" ref="BD295" si="888">IF(AP295&lt;&gt;" ",IF(OR(AU295&lt;AR295,AU295=AR295),0.8*AW295*AP295/(5*$AX$289*10),0.8*AW295*AP295/($AX$289*10))," ")</f>
        <v xml:space="preserve"> </v>
      </c>
      <c r="BE295" s="353">
        <f t="shared" si="827"/>
        <v>0</v>
      </c>
      <c r="BF295" s="232"/>
      <c r="BH295" s="418"/>
      <c r="BI295" s="419"/>
      <c r="BJ295" s="202"/>
      <c r="BK295" s="419"/>
      <c r="BL295" s="213"/>
    </row>
    <row r="296" spans="33:64" ht="15.75" thickBot="1">
      <c r="AG296" s="370"/>
      <c r="AH296" s="370"/>
      <c r="AI296" s="364"/>
      <c r="AJ296" s="425"/>
      <c r="AK296" s="364"/>
      <c r="AL296" s="370"/>
      <c r="AM296" s="459"/>
      <c r="AN296" s="376"/>
      <c r="AO296" s="353"/>
      <c r="AP296" s="353"/>
      <c r="AQ296" s="183" t="str">
        <f>IF(AP295&lt;&gt;" ",MAX($AQ$9:AQ295)+AP295," ")</f>
        <v xml:space="preserve"> </v>
      </c>
      <c r="AR296" s="183" t="str">
        <f>IF(AP295&lt;&gt;" ",MAX($AR$9:AR295)+$AJ$29*AP295," ")</f>
        <v xml:space="preserve"> </v>
      </c>
      <c r="AS296" s="86" t="str">
        <f t="shared" si="762"/>
        <v xml:space="preserve"> </v>
      </c>
      <c r="AT296" s="264" t="str" cm="1">
        <f t="array" ref="AT296">IF(AS296&lt;&gt;" ",Interpol(31,8,Служебный!$H$54:$H$84,Служебный!$I$53:$P$53,Служебный!$I$54:$P$84,'Осадка поля'!$AS296,'Осадка поля'!$B$6)," ")</f>
        <v xml:space="preserve"> </v>
      </c>
      <c r="AU296" s="183" t="str">
        <f t="shared" si="787"/>
        <v xml:space="preserve"> </v>
      </c>
      <c r="AV296" s="183" t="str">
        <f>IF(AP295&lt;&gt;" ",AR296*0.5," ")</f>
        <v xml:space="preserve"> </v>
      </c>
      <c r="AW296" s="353"/>
      <c r="AX296" s="353"/>
      <c r="AY296" s="444"/>
      <c r="AZ296" s="444"/>
      <c r="BA296" s="445"/>
      <c r="BB296" s="444"/>
      <c r="BC296" s="353"/>
      <c r="BD296" s="444"/>
      <c r="BE296" s="353"/>
      <c r="BF296" s="232"/>
      <c r="BH296" s="418"/>
      <c r="BI296" s="419"/>
      <c r="BJ296" s="202"/>
      <c r="BK296" s="419"/>
      <c r="BL296" s="213"/>
    </row>
    <row r="297" spans="33:64">
      <c r="AG297" s="370"/>
      <c r="AH297" s="370"/>
      <c r="AI297" s="364"/>
      <c r="AJ297" s="425"/>
      <c r="AK297" s="364"/>
      <c r="AL297" s="370"/>
      <c r="AM297" s="459"/>
      <c r="AN297" s="376"/>
      <c r="AO297" s="353" t="str">
        <f>IF(AO295=" "," ", IF(AO295&lt;SUM(AN$9:AN$308),AO295+1, " "))</f>
        <v xml:space="preserve"> </v>
      </c>
      <c r="AP297" s="353" t="str">
        <f>IF(AO297&lt;&gt;" ",AM$109/COUNT(AO$109:AO$128), " ")</f>
        <v xml:space="preserve"> </v>
      </c>
      <c r="AQ297" s="183" t="str">
        <f>IF(AP297&lt;&gt;" ",SUM($AP$9:AP295)," ")</f>
        <v xml:space="preserve"> </v>
      </c>
      <c r="AR297" s="183" t="str">
        <f>IF(AP297&lt;&gt;" ",MAX($AR$9:AR296)," ")</f>
        <v xml:space="preserve"> </v>
      </c>
      <c r="AS297" s="86" t="str">
        <f t="shared" si="762"/>
        <v xml:space="preserve"> </v>
      </c>
      <c r="AT297" s="264" t="str" cm="1">
        <f t="array" ref="AT297">IF(AS297&lt;&gt;" ",Interpol(31,8,Служебный!$H$54:$H$84,Служебный!$I$53:$P$53,Служебный!$I$54:$P$84,'Осадка поля'!$AS297,'Осадка поля'!$B$6)," ")</f>
        <v xml:space="preserve"> </v>
      </c>
      <c r="AU297" s="183" t="str">
        <f t="shared" si="787"/>
        <v xml:space="preserve"> </v>
      </c>
      <c r="AV297" s="183" t="str">
        <f>IF(AP297&lt;&gt;" ",AR297*0.5," ")</f>
        <v xml:space="preserve"> </v>
      </c>
      <c r="AW297" s="353" t="str">
        <f>IF(AO297&lt;&gt;" ",(AU297+AU298)/2," ")</f>
        <v xml:space="preserve"> </v>
      </c>
      <c r="AX297" s="353"/>
      <c r="AY297" s="445" t="str">
        <f t="shared" ref="AY297" si="889">IF(AP297&lt;&gt;" ",IF(AQ297&gt;$B$15,"Нет","Да")," ")</f>
        <v xml:space="preserve"> </v>
      </c>
      <c r="AZ297" s="441" t="str">
        <f t="shared" ref="AZ297" si="890">IF(AP297&lt;&gt;" ",IF(AW297&gt;0.5*(AV297+AV298),"Да","Нет")," ")</f>
        <v xml:space="preserve"> </v>
      </c>
      <c r="BA297" s="441" t="str">
        <f t="shared" ref="BA297" si="891">IF(AP297&lt;&gt;" ",IF(OR($AX$289&lt;7,$AX$289=7),"Да","Нет")," ")</f>
        <v xml:space="preserve"> </v>
      </c>
      <c r="BB297" s="441" t="str">
        <f t="shared" ref="BB297" si="892">IF(AP297&lt;&gt;" ",IF(AW297&gt;0.2*0.5*(AR297+AR298),"Да","Нет")," ")</f>
        <v xml:space="preserve"> </v>
      </c>
      <c r="BC297" s="353">
        <f t="shared" si="785"/>
        <v>0</v>
      </c>
      <c r="BD297" s="443" t="str">
        <f t="shared" ref="BD297" si="893">IF(AP297&lt;&gt;" ",IF(OR(AU297&lt;AR297,AU297=AR297),0.8*AW297*AP297/(5*$AX$289*10),0.8*AW297*AP297/($AX$289*10))," ")</f>
        <v xml:space="preserve"> </v>
      </c>
      <c r="BE297" s="353">
        <f t="shared" si="834"/>
        <v>0</v>
      </c>
      <c r="BF297" s="232"/>
      <c r="BH297" s="418"/>
      <c r="BI297" s="419"/>
      <c r="BJ297" s="202"/>
      <c r="BK297" s="419"/>
      <c r="BL297" s="213"/>
    </row>
    <row r="298" spans="33:64" ht="15.75" thickBot="1">
      <c r="AG298" s="370"/>
      <c r="AH298" s="370"/>
      <c r="AI298" s="364"/>
      <c r="AJ298" s="425"/>
      <c r="AK298" s="364"/>
      <c r="AL298" s="370"/>
      <c r="AM298" s="459"/>
      <c r="AN298" s="376"/>
      <c r="AO298" s="353"/>
      <c r="AP298" s="353"/>
      <c r="AQ298" s="183" t="str">
        <f>IF(AP297&lt;&gt;" ",MAX($AQ$9:AQ297)+AP297," ")</f>
        <v xml:space="preserve"> </v>
      </c>
      <c r="AR298" s="183" t="str">
        <f>IF(AP297&lt;&gt;" ",MAX($AR$9:AR297)+$AJ$29*AP297," ")</f>
        <v xml:space="preserve"> </v>
      </c>
      <c r="AS298" s="86" t="str">
        <f t="shared" si="762"/>
        <v xml:space="preserve"> </v>
      </c>
      <c r="AT298" s="264" t="str" cm="1">
        <f t="array" ref="AT298">IF(AS298&lt;&gt;" ",Interpol(31,8,Служебный!$H$54:$H$84,Служебный!$I$53:$P$53,Служебный!$I$54:$P$84,'Осадка поля'!$AS298,'Осадка поля'!$B$6)," ")</f>
        <v xml:space="preserve"> </v>
      </c>
      <c r="AU298" s="183" t="str">
        <f t="shared" si="787"/>
        <v xml:space="preserve"> </v>
      </c>
      <c r="AV298" s="183" t="str">
        <f>IF(AP297&lt;&gt;" ",AR298*0.5," ")</f>
        <v xml:space="preserve"> </v>
      </c>
      <c r="AW298" s="353"/>
      <c r="AX298" s="353"/>
      <c r="AY298" s="444"/>
      <c r="AZ298" s="444"/>
      <c r="BA298" s="445"/>
      <c r="BB298" s="444"/>
      <c r="BC298" s="353"/>
      <c r="BD298" s="444"/>
      <c r="BE298" s="353"/>
      <c r="BF298" s="232"/>
      <c r="BH298" s="418"/>
      <c r="BI298" s="419"/>
      <c r="BJ298" s="202"/>
      <c r="BK298" s="419"/>
      <c r="BL298" s="213"/>
    </row>
    <row r="299" spans="33:64">
      <c r="AG299" s="370"/>
      <c r="AH299" s="370"/>
      <c r="AI299" s="364"/>
      <c r="AJ299" s="425"/>
      <c r="AK299" s="364"/>
      <c r="AL299" s="370"/>
      <c r="AM299" s="459"/>
      <c r="AN299" s="376"/>
      <c r="AO299" s="353" t="str">
        <f>IF(AO297=" "," ", IF(AO297&lt;SUM(AN$9:AN$308),AO297+1, " "))</f>
        <v xml:space="preserve"> </v>
      </c>
      <c r="AP299" s="353" t="str">
        <f>IF(AO299&lt;&gt;" ",AM$109/COUNT(AO$109:AO$128), " ")</f>
        <v xml:space="preserve"> </v>
      </c>
      <c r="AQ299" s="183" t="str">
        <f>IF(AP299&lt;&gt;" ",SUM($AP$9:AP297)," ")</f>
        <v xml:space="preserve"> </v>
      </c>
      <c r="AR299" s="183" t="str">
        <f>IF(AP299&lt;&gt;" ",MAX($AR$9:AR298)," ")</f>
        <v xml:space="preserve"> </v>
      </c>
      <c r="AS299" s="86" t="str">
        <f t="shared" si="762"/>
        <v xml:space="preserve"> </v>
      </c>
      <c r="AT299" s="264" t="str" cm="1">
        <f t="array" ref="AT299">IF(AS299&lt;&gt;" ",Interpol(31,8,Служебный!$H$54:$H$84,Служебный!$I$53:$P$53,Служебный!$I$54:$P$84,'Осадка поля'!$AS299,'Осадка поля'!$B$6)," ")</f>
        <v xml:space="preserve"> </v>
      </c>
      <c r="AU299" s="183" t="str">
        <f t="shared" si="787"/>
        <v xml:space="preserve"> </v>
      </c>
      <c r="AV299" s="183" t="str">
        <f>IF(AP299&lt;&gt;" ",AR299*0.5," ")</f>
        <v xml:space="preserve"> </v>
      </c>
      <c r="AW299" s="353" t="str">
        <f>IF(AO299&lt;&gt;" ",(AU299+AU300)/2," ")</f>
        <v xml:space="preserve"> </v>
      </c>
      <c r="AX299" s="353"/>
      <c r="AY299" s="445" t="str">
        <f t="shared" ref="AY299" si="894">IF(AP299&lt;&gt;" ",IF(AQ299&gt;$B$15,"Нет","Да")," ")</f>
        <v xml:space="preserve"> </v>
      </c>
      <c r="AZ299" s="441" t="str">
        <f t="shared" ref="AZ299" si="895">IF(AP299&lt;&gt;" ",IF(AW299&gt;0.5*(AV299+AV300),"Да","Нет")," ")</f>
        <v xml:space="preserve"> </v>
      </c>
      <c r="BA299" s="441" t="str">
        <f t="shared" ref="BA299" si="896">IF(AP299&lt;&gt;" ",IF(OR($AX$289&lt;7,$AX$289=7),"Да","Нет")," ")</f>
        <v xml:space="preserve"> </v>
      </c>
      <c r="BB299" s="441" t="str">
        <f t="shared" ref="BB299" si="897">IF(AP299&lt;&gt;" ",IF(AW299&gt;0.2*0.5*(AR299+AR300),"Да","Нет")," ")</f>
        <v xml:space="preserve"> </v>
      </c>
      <c r="BC299" s="353">
        <f t="shared" si="792"/>
        <v>0</v>
      </c>
      <c r="BD299" s="443" t="str">
        <f t="shared" ref="BD299" si="898">IF(AP299&lt;&gt;" ",IF(OR(AU299&lt;AR299,AU299=AR299),0.8*AW299*AP299/(5*$AX$289*10),0.8*AW299*AP299/($AX$289*10))," ")</f>
        <v xml:space="preserve"> </v>
      </c>
      <c r="BE299" s="353">
        <f t="shared" si="841"/>
        <v>0</v>
      </c>
      <c r="BF299" s="232"/>
      <c r="BH299" s="418"/>
      <c r="BI299" s="419"/>
      <c r="BJ299" s="202"/>
      <c r="BK299" s="419"/>
      <c r="BL299" s="213"/>
    </row>
    <row r="300" spans="33:64" ht="15.75" thickBot="1">
      <c r="AG300" s="370"/>
      <c r="AH300" s="370"/>
      <c r="AI300" s="364"/>
      <c r="AJ300" s="425"/>
      <c r="AK300" s="364"/>
      <c r="AL300" s="370"/>
      <c r="AM300" s="459"/>
      <c r="AN300" s="376"/>
      <c r="AO300" s="353"/>
      <c r="AP300" s="353"/>
      <c r="AQ300" s="183" t="str">
        <f>IF(AP299&lt;&gt;" ",MAX($AQ$9:AQ299)+AP299," ")</f>
        <v xml:space="preserve"> </v>
      </c>
      <c r="AR300" s="183" t="str">
        <f>IF(AP299&lt;&gt;" ",MAX($AR$9:AR299)+$AJ$29*AP299," ")</f>
        <v xml:space="preserve"> </v>
      </c>
      <c r="AS300" s="86" t="str">
        <f t="shared" si="762"/>
        <v xml:space="preserve"> </v>
      </c>
      <c r="AT300" s="264" t="str" cm="1">
        <f t="array" ref="AT300">IF(AS300&lt;&gt;" ",Interpol(31,8,Служебный!$H$54:$H$84,Служебный!$I$53:$P$53,Служебный!$I$54:$P$84,'Осадка поля'!$AS300,'Осадка поля'!$B$6)," ")</f>
        <v xml:space="preserve"> </v>
      </c>
      <c r="AU300" s="183" t="str">
        <f t="shared" si="787"/>
        <v xml:space="preserve"> </v>
      </c>
      <c r="AV300" s="183" t="str">
        <f>IF(AP299&lt;&gt;" ",AR300*0.5," ")</f>
        <v xml:space="preserve"> </v>
      </c>
      <c r="AW300" s="353"/>
      <c r="AX300" s="353"/>
      <c r="AY300" s="444"/>
      <c r="AZ300" s="444"/>
      <c r="BA300" s="445"/>
      <c r="BB300" s="444"/>
      <c r="BC300" s="353"/>
      <c r="BD300" s="444"/>
      <c r="BE300" s="353"/>
      <c r="BF300" s="232"/>
      <c r="BH300" s="418"/>
      <c r="BI300" s="419"/>
      <c r="BJ300" s="202"/>
      <c r="BK300" s="419"/>
      <c r="BL300" s="213"/>
    </row>
    <row r="301" spans="33:64">
      <c r="AG301" s="370"/>
      <c r="AH301" s="370"/>
      <c r="AI301" s="364"/>
      <c r="AJ301" s="425"/>
      <c r="AK301" s="364"/>
      <c r="AL301" s="370"/>
      <c r="AM301" s="459"/>
      <c r="AN301" s="376"/>
      <c r="AO301" s="353" t="str">
        <f>IF(AO299=" "," ", IF(AO299&lt;SUM(AN$9:AN$308),AO299+1, " "))</f>
        <v xml:space="preserve"> </v>
      </c>
      <c r="AP301" s="353" t="str">
        <f>IF(AO301&lt;&gt;" ",AM$109/COUNT(AO$109:AO$128), " ")</f>
        <v xml:space="preserve"> </v>
      </c>
      <c r="AQ301" s="183" t="str">
        <f>IF(AP301&lt;&gt;" ",SUM($AP$9:AP299)," ")</f>
        <v xml:space="preserve"> </v>
      </c>
      <c r="AR301" s="183" t="str">
        <f>IF(AP301&lt;&gt;" ",MAX($AR$9:AR300)," ")</f>
        <v xml:space="preserve"> </v>
      </c>
      <c r="AS301" s="86" t="str">
        <f t="shared" si="762"/>
        <v xml:space="preserve"> </v>
      </c>
      <c r="AT301" s="264" t="str" cm="1">
        <f t="array" ref="AT301">IF(AS301&lt;&gt;" ",Interpol(31,8,Служебный!$H$54:$H$84,Служебный!$I$53:$P$53,Служебный!$I$54:$P$84,'Осадка поля'!$AS301,'Осадка поля'!$B$6)," ")</f>
        <v xml:space="preserve"> </v>
      </c>
      <c r="AU301" s="183" t="str">
        <f t="shared" si="787"/>
        <v xml:space="preserve"> </v>
      </c>
      <c r="AV301" s="183" t="str">
        <f>IF(AP301&lt;&gt;" ",AR301*0.5," ")</f>
        <v xml:space="preserve"> </v>
      </c>
      <c r="AW301" s="353" t="str">
        <f>IF(AO301&lt;&gt;" ",(AU301+AU302)/2," ")</f>
        <v xml:space="preserve"> </v>
      </c>
      <c r="AX301" s="353"/>
      <c r="AY301" s="445" t="str">
        <f t="shared" ref="AY301" si="899">IF(AP301&lt;&gt;" ",IF(AQ301&gt;$B$15,"Нет","Да")," ")</f>
        <v xml:space="preserve"> </v>
      </c>
      <c r="AZ301" s="441" t="str">
        <f t="shared" ref="AZ301" si="900">IF(AP301&lt;&gt;" ",IF(AW301&gt;0.5*(AV301+AV302),"Да","Нет")," ")</f>
        <v xml:space="preserve"> </v>
      </c>
      <c r="BA301" s="441" t="str">
        <f t="shared" ref="BA301" si="901">IF(AP301&lt;&gt;" ",IF(OR($AX$289&lt;7,$AX$289=7),"Да","Нет")," ")</f>
        <v xml:space="preserve"> </v>
      </c>
      <c r="BB301" s="441" t="str">
        <f t="shared" ref="BB301" si="902">IF(AP301&lt;&gt;" ",IF(AW301&gt;0.2*0.5*(AR301+AR302),"Да","Нет")," ")</f>
        <v xml:space="preserve"> </v>
      </c>
      <c r="BC301" s="353">
        <f t="shared" si="798"/>
        <v>0</v>
      </c>
      <c r="BD301" s="443" t="str">
        <f t="shared" ref="BD301" si="903">IF(AP301&lt;&gt;" ",IF(OR(AU301&lt;AR301,AU301=AR301),0.8*AW301*AP301/(5*$AX$289*10),0.8*AW301*AP301/($AX$289*10))," ")</f>
        <v xml:space="preserve"> </v>
      </c>
      <c r="BE301" s="353">
        <f t="shared" si="848"/>
        <v>0</v>
      </c>
      <c r="BF301" s="232"/>
      <c r="BH301" s="418"/>
      <c r="BI301" s="419"/>
      <c r="BJ301" s="202"/>
      <c r="BK301" s="419"/>
      <c r="BL301" s="213"/>
    </row>
    <row r="302" spans="33:64" ht="15.75" thickBot="1">
      <c r="AG302" s="370"/>
      <c r="AH302" s="370"/>
      <c r="AI302" s="364"/>
      <c r="AJ302" s="425"/>
      <c r="AK302" s="364"/>
      <c r="AL302" s="370"/>
      <c r="AM302" s="459"/>
      <c r="AN302" s="376"/>
      <c r="AO302" s="353"/>
      <c r="AP302" s="353"/>
      <c r="AQ302" s="183" t="str">
        <f>IF(AP301&lt;&gt;" ",MAX($AQ$9:AQ301)+AP301," ")</f>
        <v xml:space="preserve"> </v>
      </c>
      <c r="AR302" s="183" t="str">
        <f>IF(AP301&lt;&gt;" ",MAX($AR$9:AR301)+$AJ$29*AP301," ")</f>
        <v xml:space="preserve"> </v>
      </c>
      <c r="AS302" s="86" t="str">
        <f t="shared" si="762"/>
        <v xml:space="preserve"> </v>
      </c>
      <c r="AT302" s="264" t="str" cm="1">
        <f t="array" ref="AT302">IF(AS302&lt;&gt;" ",Interpol(31,8,Служебный!$H$54:$H$84,Служебный!$I$53:$P$53,Служебный!$I$54:$P$84,'Осадка поля'!$AS302,'Осадка поля'!$B$6)," ")</f>
        <v xml:space="preserve"> </v>
      </c>
      <c r="AU302" s="183" t="str">
        <f t="shared" si="787"/>
        <v xml:space="preserve"> </v>
      </c>
      <c r="AV302" s="183" t="str">
        <f>IF(AP301&lt;&gt;" ",AR302*0.5," ")</f>
        <v xml:space="preserve"> </v>
      </c>
      <c r="AW302" s="353"/>
      <c r="AX302" s="353"/>
      <c r="AY302" s="444"/>
      <c r="AZ302" s="444"/>
      <c r="BA302" s="445"/>
      <c r="BB302" s="444"/>
      <c r="BC302" s="353"/>
      <c r="BD302" s="444"/>
      <c r="BE302" s="353"/>
      <c r="BF302" s="232"/>
      <c r="BH302" s="418"/>
      <c r="BI302" s="419"/>
      <c r="BJ302" s="202"/>
      <c r="BK302" s="419"/>
      <c r="BL302" s="213"/>
    </row>
    <row r="303" spans="33:64">
      <c r="AG303" s="370"/>
      <c r="AH303" s="370"/>
      <c r="AI303" s="364"/>
      <c r="AJ303" s="425"/>
      <c r="AK303" s="364"/>
      <c r="AL303" s="370"/>
      <c r="AM303" s="459"/>
      <c r="AN303" s="376"/>
      <c r="AO303" s="353" t="str">
        <f>IF(AO301=" "," ", IF(AO301&lt;SUM(AN$9:AN$308),AO301+1, " "))</f>
        <v xml:space="preserve"> </v>
      </c>
      <c r="AP303" s="353" t="str">
        <f>IF(AO303&lt;&gt;" ",AM$109/COUNT(AO$109:AO$128), " ")</f>
        <v xml:space="preserve"> </v>
      </c>
      <c r="AQ303" s="183" t="str">
        <f>IF(AP303&lt;&gt;" ",SUM($AP$9:AP301)," ")</f>
        <v xml:space="preserve"> </v>
      </c>
      <c r="AR303" s="183" t="str">
        <f>IF(AP303&lt;&gt;" ",MAX($AR$9:AR302)," ")</f>
        <v xml:space="preserve"> </v>
      </c>
      <c r="AS303" s="86" t="str">
        <f t="shared" si="762"/>
        <v xml:space="preserve"> </v>
      </c>
      <c r="AT303" s="264" t="str" cm="1">
        <f t="array" ref="AT303">IF(AS303&lt;&gt;" ",Interpol(31,8,Служебный!$H$54:$H$84,Служебный!$I$53:$P$53,Служебный!$I$54:$P$84,'Осадка поля'!$AS303,'Осадка поля'!$B$6)," ")</f>
        <v xml:space="preserve"> </v>
      </c>
      <c r="AU303" s="183" t="str">
        <f t="shared" si="787"/>
        <v xml:space="preserve"> </v>
      </c>
      <c r="AV303" s="183" t="str">
        <f>IF(AP303&lt;&gt;" ",AR303*0.5," ")</f>
        <v xml:space="preserve"> </v>
      </c>
      <c r="AW303" s="353" t="str">
        <f>IF(AO303&lt;&gt;" ",(AU303+AU304)/2," ")</f>
        <v xml:space="preserve"> </v>
      </c>
      <c r="AX303" s="353"/>
      <c r="AY303" s="445" t="str">
        <f t="shared" ref="AY303" si="904">IF(AP303&lt;&gt;" ",IF(AQ303&gt;$B$15,"Нет","Да")," ")</f>
        <v xml:space="preserve"> </v>
      </c>
      <c r="AZ303" s="441" t="str">
        <f t="shared" ref="AZ303" si="905">IF(AP303&lt;&gt;" ",IF(AW303&gt;0.5*(AV303+AV304),"Да","Нет")," ")</f>
        <v xml:space="preserve"> </v>
      </c>
      <c r="BA303" s="441" t="str">
        <f t="shared" ref="BA303" si="906">IF(AP303&lt;&gt;" ",IF(OR($AX$289&lt;7,$AX$289=7),"Да","Нет")," ")</f>
        <v xml:space="preserve"> </v>
      </c>
      <c r="BB303" s="441" t="str">
        <f t="shared" ref="BB303" si="907">IF(AP303&lt;&gt;" ",IF(AW303&gt;0.2*0.5*(AR303+AR304),"Да","Нет")," ")</f>
        <v xml:space="preserve"> </v>
      </c>
      <c r="BC303" s="353">
        <f t="shared" si="805"/>
        <v>0</v>
      </c>
      <c r="BD303" s="443" t="str">
        <f t="shared" ref="BD303" si="908">IF(AP303&lt;&gt;" ",IF(OR(AU303&lt;AR303,AU303=AR303),0.8*AW303*AP303/(5*$AX$289*10),0.8*AW303*AP303/($AX$289*10))," ")</f>
        <v xml:space="preserve"> </v>
      </c>
      <c r="BE303" s="353">
        <f t="shared" si="854"/>
        <v>0</v>
      </c>
      <c r="BF303" s="232"/>
      <c r="BH303" s="418"/>
      <c r="BI303" s="419"/>
      <c r="BJ303" s="202"/>
      <c r="BK303" s="419"/>
      <c r="BL303" s="213"/>
    </row>
    <row r="304" spans="33:64" ht="15.75" thickBot="1">
      <c r="AG304" s="370"/>
      <c r="AH304" s="370"/>
      <c r="AI304" s="364"/>
      <c r="AJ304" s="425"/>
      <c r="AK304" s="364"/>
      <c r="AL304" s="370"/>
      <c r="AM304" s="459"/>
      <c r="AN304" s="376"/>
      <c r="AO304" s="353"/>
      <c r="AP304" s="353"/>
      <c r="AQ304" s="183" t="str">
        <f>IF(AP303&lt;&gt;" ",MAX($AQ$9:AQ303)+AP303," ")</f>
        <v xml:space="preserve"> </v>
      </c>
      <c r="AR304" s="183" t="str">
        <f>IF(AP303&lt;&gt;" ",MAX($AR$9:AR303)+$AJ$29*AP303," ")</f>
        <v xml:space="preserve"> </v>
      </c>
      <c r="AS304" s="86" t="str">
        <f t="shared" si="762"/>
        <v xml:space="preserve"> </v>
      </c>
      <c r="AT304" s="264" t="str" cm="1">
        <f t="array" ref="AT304">IF(AS304&lt;&gt;" ",Interpol(31,8,Служебный!$H$54:$H$84,Служебный!$I$53:$P$53,Служебный!$I$54:$P$84,'Осадка поля'!$AS304,'Осадка поля'!$B$6)," ")</f>
        <v xml:space="preserve"> </v>
      </c>
      <c r="AU304" s="183" t="str">
        <f t="shared" si="787"/>
        <v xml:space="preserve"> </v>
      </c>
      <c r="AV304" s="183" t="str">
        <f>IF(AP303&lt;&gt;" ",AR304*0.5," ")</f>
        <v xml:space="preserve"> </v>
      </c>
      <c r="AW304" s="353"/>
      <c r="AX304" s="353"/>
      <c r="AY304" s="444"/>
      <c r="AZ304" s="444"/>
      <c r="BA304" s="445"/>
      <c r="BB304" s="444"/>
      <c r="BC304" s="353"/>
      <c r="BD304" s="444"/>
      <c r="BE304" s="353"/>
      <c r="BF304" s="232"/>
      <c r="BH304" s="418"/>
      <c r="BI304" s="419"/>
      <c r="BJ304" s="202"/>
      <c r="BK304" s="419"/>
      <c r="BL304" s="213"/>
    </row>
    <row r="305" spans="33:64">
      <c r="AG305" s="370"/>
      <c r="AH305" s="370"/>
      <c r="AI305" s="364"/>
      <c r="AJ305" s="425"/>
      <c r="AK305" s="364"/>
      <c r="AL305" s="370"/>
      <c r="AM305" s="459"/>
      <c r="AN305" s="376"/>
      <c r="AO305" s="353" t="str">
        <f>IF(AO303=" "," ", IF(AO303&lt;SUM(AN$9:AN$308),AO303+1, " "))</f>
        <v xml:space="preserve"> </v>
      </c>
      <c r="AP305" s="353" t="str">
        <f>IF(AO305&lt;&gt;" ",AM$109/COUNT(AO$109:AO$128), " ")</f>
        <v xml:space="preserve"> </v>
      </c>
      <c r="AQ305" s="183" t="str">
        <f>IF(AP305&lt;&gt;" ",SUM($AP$9:AP303)," ")</f>
        <v xml:space="preserve"> </v>
      </c>
      <c r="AR305" s="183" t="str">
        <f>IF(AP305&lt;&gt;" ",MAX($AR$9:AR304)," ")</f>
        <v xml:space="preserve"> </v>
      </c>
      <c r="AS305" s="86" t="str">
        <f t="shared" si="762"/>
        <v xml:space="preserve"> </v>
      </c>
      <c r="AT305" s="264" t="str" cm="1">
        <f t="array" ref="AT305">IF(AS305&lt;&gt;" ",Interpol(31,8,Служебный!$H$54:$H$84,Служебный!$I$53:$P$53,Служебный!$I$54:$P$84,'Осадка поля'!$AS305,'Осадка поля'!$B$6)," ")</f>
        <v xml:space="preserve"> </v>
      </c>
      <c r="AU305" s="183" t="str">
        <f t="shared" si="787"/>
        <v xml:space="preserve"> </v>
      </c>
      <c r="AV305" s="183" t="str">
        <f>IF(AP305&lt;&gt;" ",AR305*0.5," ")</f>
        <v xml:space="preserve"> </v>
      </c>
      <c r="AW305" s="353" t="str">
        <f>IF(AO305&lt;&gt;" ",(AU305+AU306)/2," ")</f>
        <v xml:space="preserve"> </v>
      </c>
      <c r="AX305" s="353"/>
      <c r="AY305" s="445" t="str">
        <f t="shared" ref="AY305" si="909">IF(AP305&lt;&gt;" ",IF(AQ305&gt;$B$15,"Нет","Да")," ")</f>
        <v xml:space="preserve"> </v>
      </c>
      <c r="AZ305" s="441" t="str">
        <f t="shared" ref="AZ305" si="910">IF(AP305&lt;&gt;" ",IF(AW305&gt;0.5*(AV305+AV306),"Да","Нет")," ")</f>
        <v xml:space="preserve"> </v>
      </c>
      <c r="BA305" s="441" t="str">
        <f t="shared" ref="BA305" si="911">IF(AP305&lt;&gt;" ",IF(OR($AX$289&lt;7,$AX$289=7),"Да","Нет")," ")</f>
        <v xml:space="preserve"> </v>
      </c>
      <c r="BB305" s="441" t="str">
        <f t="shared" ref="BB305" si="912">IF(AP305&lt;&gt;" ",IF(AW305&gt;0.2*0.5*(AR305+AR306),"Да","Нет")," ")</f>
        <v xml:space="preserve"> </v>
      </c>
      <c r="BC305" s="353">
        <f t="shared" si="811"/>
        <v>0</v>
      </c>
      <c r="BD305" s="443" t="str">
        <f t="shared" ref="BD305" si="913">IF(AP305&lt;&gt;" ",IF(OR(AU305&lt;AR305,AU305=AR305),0.8*AW305*AP305/(5*$AX$289*10),0.8*AW305*AP305/($AX$289*10))," ")</f>
        <v xml:space="preserve"> </v>
      </c>
      <c r="BE305" s="353">
        <f t="shared" si="860"/>
        <v>0</v>
      </c>
      <c r="BF305" s="232"/>
      <c r="BH305" s="418"/>
      <c r="BI305" s="419"/>
      <c r="BJ305" s="202"/>
      <c r="BK305" s="419"/>
      <c r="BL305" s="213"/>
    </row>
    <row r="306" spans="33:64" ht="15.75" thickBot="1">
      <c r="AG306" s="370"/>
      <c r="AH306" s="370"/>
      <c r="AI306" s="364"/>
      <c r="AJ306" s="425"/>
      <c r="AK306" s="364"/>
      <c r="AL306" s="370"/>
      <c r="AM306" s="459"/>
      <c r="AN306" s="376"/>
      <c r="AO306" s="353"/>
      <c r="AP306" s="353"/>
      <c r="AQ306" s="183" t="str">
        <f>IF(AP305&lt;&gt;" ",MAX($AQ$9:AQ305)+AP305," ")</f>
        <v xml:space="preserve"> </v>
      </c>
      <c r="AR306" s="183" t="str">
        <f>IF(AP305&lt;&gt;" ",MAX($AR$9:AR305)+$AJ$29*AP305," ")</f>
        <v xml:space="preserve"> </v>
      </c>
      <c r="AS306" s="86" t="str">
        <f t="shared" si="762"/>
        <v xml:space="preserve"> </v>
      </c>
      <c r="AT306" s="264" t="str" cm="1">
        <f t="array" ref="AT306">IF(AS306&lt;&gt;" ",Interpol(31,8,Служебный!$H$54:$H$84,Служебный!$I$53:$P$53,Служебный!$I$54:$P$84,'Осадка поля'!$AS306,'Осадка поля'!$B$6)," ")</f>
        <v xml:space="preserve"> </v>
      </c>
      <c r="AU306" s="183" t="str">
        <f t="shared" si="787"/>
        <v xml:space="preserve"> </v>
      </c>
      <c r="AV306" s="183" t="str">
        <f>IF(AP305&lt;&gt;" ",AR306*0.5," ")</f>
        <v xml:space="preserve"> </v>
      </c>
      <c r="AW306" s="353"/>
      <c r="AX306" s="353"/>
      <c r="AY306" s="444"/>
      <c r="AZ306" s="444"/>
      <c r="BA306" s="445"/>
      <c r="BB306" s="444"/>
      <c r="BC306" s="353"/>
      <c r="BD306" s="444"/>
      <c r="BE306" s="353"/>
      <c r="BF306" s="232"/>
      <c r="BH306" s="418"/>
      <c r="BI306" s="419"/>
      <c r="BJ306" s="202"/>
      <c r="BK306" s="419"/>
      <c r="BL306" s="213"/>
    </row>
    <row r="307" spans="33:64">
      <c r="AG307" s="370"/>
      <c r="AH307" s="370"/>
      <c r="AI307" s="364"/>
      <c r="AJ307" s="425"/>
      <c r="AK307" s="364"/>
      <c r="AL307" s="370"/>
      <c r="AM307" s="459"/>
      <c r="AN307" s="376"/>
      <c r="AO307" s="353" t="str">
        <f>IF(AO305=" "," ", IF(AO305&lt;SUM(AN$9:AN$308),AO305+1, " "))</f>
        <v xml:space="preserve"> </v>
      </c>
      <c r="AP307" s="353" t="str">
        <f>IF(AO307&lt;&gt;" ",AM$109/COUNT(AO$109:AO$128), " ")</f>
        <v xml:space="preserve"> </v>
      </c>
      <c r="AQ307" s="183" t="str">
        <f>IF(AP307&lt;&gt;" ",SUM($AP$9:AP305)," ")</f>
        <v xml:space="preserve"> </v>
      </c>
      <c r="AR307" s="183" t="str">
        <f>IF(AP307&lt;&gt;" ",MAX($AR$9:AR306)," ")</f>
        <v xml:space="preserve"> </v>
      </c>
      <c r="AS307" s="86" t="str">
        <f t="shared" si="762"/>
        <v xml:space="preserve"> </v>
      </c>
      <c r="AT307" s="264" t="str" cm="1">
        <f t="array" ref="AT307">IF(AS307&lt;&gt;" ",Interpol(31,8,Служебный!$H$54:$H$84,Служебный!$I$53:$P$53,Служебный!$I$54:$P$84,'Осадка поля'!$AS307,'Осадка поля'!$B$6)," ")</f>
        <v xml:space="preserve"> </v>
      </c>
      <c r="AU307" s="183" t="str">
        <f t="shared" si="787"/>
        <v xml:space="preserve"> </v>
      </c>
      <c r="AV307" s="183" t="str">
        <f>IF(AP307&lt;&gt;" ",AR307*0.5," ")</f>
        <v xml:space="preserve"> </v>
      </c>
      <c r="AW307" s="353" t="str">
        <f>IF(AO307&lt;&gt;" ",(AU307+AU308)/2," ")</f>
        <v xml:space="preserve"> </v>
      </c>
      <c r="AX307" s="353"/>
      <c r="AY307" s="445" t="str">
        <f t="shared" ref="AY307" si="914">IF(AP307&lt;&gt;" ",IF(AQ307&gt;$B$15,"Нет","Да")," ")</f>
        <v xml:space="preserve"> </v>
      </c>
      <c r="AZ307" s="441" t="str">
        <f t="shared" ref="AZ307" si="915">IF(AP307&lt;&gt;" ",IF(AW307&gt;0.5*(AV307+AV308),"Да","Нет")," ")</f>
        <v xml:space="preserve"> </v>
      </c>
      <c r="BA307" s="441" t="str">
        <f>IF(AP307&lt;&gt;" ",IF(OR($AX$289&lt;7,$AX$289=7),"Да","Нет")," ")</f>
        <v xml:space="preserve"> </v>
      </c>
      <c r="BB307" s="441" t="str">
        <f t="shared" ref="BB307" si="916">IF(AP307&lt;&gt;" ",IF(AW307&gt;0.2*0.5*(AR307+AR308),"Да","Нет")," ")</f>
        <v xml:space="preserve"> </v>
      </c>
      <c r="BC307" s="353">
        <f t="shared" si="818"/>
        <v>0</v>
      </c>
      <c r="BD307" s="443" t="str">
        <f t="shared" ref="BD307" si="917">IF(AP307&lt;&gt;" ",IF(OR(AU307&lt;AR307,AU307=AR307),0.8*AW307*AP307/(5*$AX$289*10),0.8*AW307*AP307/($AX$289*10))," ")</f>
        <v xml:space="preserve"> </v>
      </c>
      <c r="BE307" s="353">
        <f t="shared" si="866"/>
        <v>0</v>
      </c>
      <c r="BF307" s="232"/>
      <c r="BH307" s="418"/>
      <c r="BI307" s="419"/>
      <c r="BJ307" s="202"/>
      <c r="BK307" s="419"/>
      <c r="BL307" s="213"/>
    </row>
    <row r="308" spans="33:64" ht="15.75" thickBot="1">
      <c r="AG308" s="370"/>
      <c r="AH308" s="370"/>
      <c r="AI308" s="364"/>
      <c r="AJ308" s="425"/>
      <c r="AK308" s="364"/>
      <c r="AL308" s="370"/>
      <c r="AM308" s="459"/>
      <c r="AN308" s="376"/>
      <c r="AO308" s="353"/>
      <c r="AP308" s="353"/>
      <c r="AQ308" s="183" t="str">
        <f>IF(AP307&lt;&gt;" ",MAX($AQ$9:AQ307)+AP307," ")</f>
        <v xml:space="preserve"> </v>
      </c>
      <c r="AR308" s="183" t="str">
        <f>IF(AP307&lt;&gt;" ",MAX($AR$9:AR307)+$AJ$29*AP307," ")</f>
        <v xml:space="preserve"> </v>
      </c>
      <c r="AS308" s="86" t="str">
        <f t="shared" si="762"/>
        <v xml:space="preserve"> </v>
      </c>
      <c r="AT308" s="264" t="str" cm="1">
        <f t="array" ref="AT308">IF(AS308&lt;&gt;" ",Interpol(31,8,Служебный!$H$54:$H$84,Служебный!$I$53:$P$53,Служебный!$I$54:$P$84,'Осадка поля'!$AS308,'Осадка поля'!$B$6)," ")</f>
        <v xml:space="preserve"> </v>
      </c>
      <c r="AU308" s="183" t="str">
        <f t="shared" si="787"/>
        <v xml:space="preserve"> </v>
      </c>
      <c r="AV308" s="183" t="str">
        <f>IF(AP307&lt;&gt;" ",AR308*0.5," ")</f>
        <v xml:space="preserve"> </v>
      </c>
      <c r="AW308" s="353"/>
      <c r="AX308" s="353"/>
      <c r="AY308" s="444"/>
      <c r="AZ308" s="444"/>
      <c r="BA308" s="445"/>
      <c r="BB308" s="444"/>
      <c r="BC308" s="353"/>
      <c r="BD308" s="444"/>
      <c r="BE308" s="353"/>
      <c r="BF308" s="232"/>
      <c r="BH308" s="458"/>
      <c r="BI308" s="457"/>
      <c r="BJ308" s="203"/>
      <c r="BK308" s="457"/>
      <c r="BL308" s="214"/>
    </row>
    <row r="309" spans="33:64">
      <c r="AG309" s="370">
        <f t="shared" si="867"/>
        <v>25</v>
      </c>
      <c r="AH309" s="390">
        <f>IF(AG309&gt;20,0,VLOOKUP(AG309,Скважина!$E$8:$K$27,2,FALSE))</f>
        <v>0</v>
      </c>
      <c r="AI309" s="388">
        <f>IF(OR(AH309=0,AG309&gt;20),0,VLOOKUP(AH309,Геология!$D$7:$BO$993,7,FALSE))</f>
        <v>0</v>
      </c>
      <c r="AJ309" s="425" t="e">
        <f>VLOOKUP(AH309,Геология!$D$7:$BO$993,23,FALSE)</f>
        <v>#N/A</v>
      </c>
      <c r="AK309" s="364">
        <f t="shared" ref="AK309" si="918">IF(AM289&lt;&gt;0,AL289,AK289)</f>
        <v>111.73</v>
      </c>
      <c r="AL309" s="390" t="e">
        <f>VLOOKUP(AG309,Скважина!$E$8:$K$27,5,FALSE)</f>
        <v>#N/A</v>
      </c>
      <c r="AM309" s="459">
        <f t="shared" ref="AM309" si="919">IF(IF(AH309&lt;&gt;0,AK309-AL309,0)&lt;0,0,IF(AH309&lt;&gt;0,AK309-AL309,0))</f>
        <v>0</v>
      </c>
      <c r="AN309" s="376"/>
      <c r="AO309" s="353" t="str">
        <f>IF(AN309&lt;&gt;0,MAX(AO$9:AO$308)+1," ")</f>
        <v xml:space="preserve"> </v>
      </c>
      <c r="AP309" s="353" t="str">
        <f>IF(AO309&lt;&gt;" ",AM$109/COUNT(AO$109:AO$128), " ")</f>
        <v xml:space="preserve"> </v>
      </c>
      <c r="AQ309" s="183" t="str">
        <f>IF(AP309&lt;&gt;" ",SUM($AP$9:AP307)," ")</f>
        <v xml:space="preserve"> </v>
      </c>
      <c r="AR309" s="183" t="str">
        <f>IF(AP309&lt;&gt;" ",MAX($AR$9:AR308)," ")</f>
        <v xml:space="preserve"> </v>
      </c>
      <c r="AS309" s="86" t="str">
        <f t="shared" si="762"/>
        <v xml:space="preserve"> </v>
      </c>
      <c r="AT309" s="264" t="str" cm="1">
        <f t="array" ref="AT309">IF(AS309&lt;&gt;" ",Interpol(31,8,Служебный!$H$54:$H$84,Служебный!$I$53:$P$53,Служебный!$I$54:$P$84,'Осадка поля'!$AS309,'Осадка поля'!$B$6)," ")</f>
        <v xml:space="preserve"> </v>
      </c>
      <c r="AU309" s="183" t="str">
        <f t="shared" si="787"/>
        <v xml:space="preserve"> </v>
      </c>
      <c r="AV309" s="183" t="str">
        <f>IF(AP309&lt;&gt;" ",AR309*0.5," ")</f>
        <v xml:space="preserve"> </v>
      </c>
      <c r="AW309" s="353" t="str">
        <f>IF(AO309&lt;&gt;" ",(AU309+AU310)/2," ")</f>
        <v xml:space="preserve"> </v>
      </c>
      <c r="AX309" s="444" t="str">
        <f>IF(AH309&lt;&gt;0,VLOOKUP(AH309,Геология!$D$7:$BO$993,21,FALSE)," ")</f>
        <v xml:space="preserve"> </v>
      </c>
      <c r="AY309" s="445" t="str">
        <f t="shared" ref="AY309" si="920">IF(AP309&lt;&gt;" ",IF(AQ309&gt;$B$15,"Нет","Да")," ")</f>
        <v xml:space="preserve"> </v>
      </c>
      <c r="AZ309" s="441" t="str">
        <f t="shared" ref="AZ309" si="921">IF(AP309&lt;&gt;" ",IF(AW309&gt;0.5*(AV309+AV310),"Да","Нет")," ")</f>
        <v xml:space="preserve"> </v>
      </c>
      <c r="BA309" s="441" t="str">
        <f>IF(AP309&lt;&gt;" ",IF(OR($AX$309&lt;7,$AX$309=7),"Да","Нет")," ")</f>
        <v xml:space="preserve"> </v>
      </c>
      <c r="BB309" s="441" t="str">
        <f t="shared" ref="BB309" si="922">IF(AP309&lt;&gt;" ",IF(AW309&gt;0.2*0.5*(AR309+AR310),"Да","Нет")," ")</f>
        <v xml:space="preserve"> </v>
      </c>
      <c r="BC309" s="353">
        <f t="shared" si="825"/>
        <v>0</v>
      </c>
      <c r="BD309" s="443" t="str">
        <f>IF(AP309&lt;&gt;" ",IF(OR(AU309&lt;AR309,AU309=AR309),0.8*AW309*AP309/(5*$AX$309*10),0.8*AW309*AP309/($AX$309*10))," ")</f>
        <v xml:space="preserve"> </v>
      </c>
      <c r="BE309" s="353">
        <f t="shared" ref="BE309" si="923">IF(AP309&lt;&gt;" ",IF(AND(AY309="Нет",AZ309="Нет",BA309="Нет"),0,IF(AY309="Да",BD309,IF(AZ309="Да",BD309,IF(BA309="Да",BD309)))),0)</f>
        <v>0</v>
      </c>
      <c r="BF309" s="232"/>
      <c r="BH309" s="448" t="str">
        <f>IF(AH309&lt;&gt;0,VLOOKUP(AH309,Геология!$D$7:$BO$993,24,FALSE)," ")</f>
        <v xml:space="preserve"> </v>
      </c>
      <c r="BI309" s="449" t="str">
        <f>IF(BH309&lt;&gt;" ",BH309*AM309," ")</f>
        <v xml:space="preserve"> </v>
      </c>
      <c r="BJ309" s="202"/>
      <c r="BK309" s="456" t="str">
        <f>IF(AM309&lt;&gt;0,AX309*AM309," ")</f>
        <v xml:space="preserve"> </v>
      </c>
      <c r="BL309" s="213"/>
    </row>
    <row r="310" spans="33:64" ht="15.75" thickBot="1">
      <c r="AG310" s="370"/>
      <c r="AH310" s="370"/>
      <c r="AI310" s="364"/>
      <c r="AJ310" s="425"/>
      <c r="AK310" s="364"/>
      <c r="AL310" s="370"/>
      <c r="AM310" s="459"/>
      <c r="AN310" s="376"/>
      <c r="AO310" s="353"/>
      <c r="AP310" s="353"/>
      <c r="AQ310" s="183" t="str">
        <f>IF(AP309&lt;&gt;" ",MAX($AQ$9:AQ309)+AP309," ")</f>
        <v xml:space="preserve"> </v>
      </c>
      <c r="AR310" s="183" t="str">
        <f>IF(AP309&lt;&gt;" ",MAX($AR$9:AR309)+$AJ$29*AP309," ")</f>
        <v xml:space="preserve"> </v>
      </c>
      <c r="AS310" s="86" t="str">
        <f t="shared" si="762"/>
        <v xml:space="preserve"> </v>
      </c>
      <c r="AT310" s="264" t="str" cm="1">
        <f t="array" ref="AT310">IF(AS310&lt;&gt;" ",Interpol(31,8,Служебный!$H$54:$H$84,Служебный!$I$53:$P$53,Служебный!$I$54:$P$84,'Осадка поля'!$AS310,'Осадка поля'!$B$6)," ")</f>
        <v xml:space="preserve"> </v>
      </c>
      <c r="AU310" s="183" t="str">
        <f t="shared" si="787"/>
        <v xml:space="preserve"> </v>
      </c>
      <c r="AV310" s="183" t="str">
        <f>IF(AP309&lt;&gt;" ",AR310*0.5," ")</f>
        <v xml:space="preserve"> </v>
      </c>
      <c r="AW310" s="353"/>
      <c r="AX310" s="353"/>
      <c r="AY310" s="444"/>
      <c r="AZ310" s="444"/>
      <c r="BA310" s="445"/>
      <c r="BB310" s="444"/>
      <c r="BC310" s="353"/>
      <c r="BD310" s="444"/>
      <c r="BE310" s="353"/>
      <c r="BF310" s="232"/>
      <c r="BH310" s="418"/>
      <c r="BI310" s="419"/>
      <c r="BJ310" s="202"/>
      <c r="BK310" s="419"/>
      <c r="BL310" s="213"/>
    </row>
    <row r="311" spans="33:64">
      <c r="AG311" s="370"/>
      <c r="AH311" s="370"/>
      <c r="AI311" s="364"/>
      <c r="AJ311" s="425"/>
      <c r="AK311" s="364"/>
      <c r="AL311" s="370"/>
      <c r="AM311" s="459"/>
      <c r="AN311" s="376"/>
      <c r="AO311" s="353" t="str">
        <f>IF(AO309=" "," ", IF(AO309&lt;SUM(AN$9:AN$328),AO309+1, " "))</f>
        <v xml:space="preserve"> </v>
      </c>
      <c r="AP311" s="353" t="str">
        <f>IF(AO311&lt;&gt;" ",AM$109/COUNT(AO$109:AO$128), " ")</f>
        <v xml:space="preserve"> </v>
      </c>
      <c r="AQ311" s="183" t="str">
        <f>IF(AP311&lt;&gt;" ",SUM($AP$9:AP309)," ")</f>
        <v xml:space="preserve"> </v>
      </c>
      <c r="AR311" s="183" t="str">
        <f>IF(AP311&lt;&gt;" ",MAX($AR$9:AR310)," ")</f>
        <v xml:space="preserve"> </v>
      </c>
      <c r="AS311" s="86" t="str">
        <f t="shared" si="762"/>
        <v xml:space="preserve"> </v>
      </c>
      <c r="AT311" s="264" t="str" cm="1">
        <f t="array" ref="AT311">IF(AS311&lt;&gt;" ",Interpol(31,8,Служебный!$H$54:$H$84,Служебный!$I$53:$P$53,Служебный!$I$54:$P$84,'Осадка поля'!$AS311,'Осадка поля'!$B$6)," ")</f>
        <v xml:space="preserve"> </v>
      </c>
      <c r="AU311" s="183" t="str">
        <f t="shared" si="787"/>
        <v xml:space="preserve"> </v>
      </c>
      <c r="AV311" s="183" t="str">
        <f>IF(AP311&lt;&gt;" ",AR311*0.5," ")</f>
        <v xml:space="preserve"> </v>
      </c>
      <c r="AW311" s="353" t="str">
        <f>IF(AO311&lt;&gt;" ",(AU311+AU312)/2," ")</f>
        <v xml:space="preserve"> </v>
      </c>
      <c r="AX311" s="353"/>
      <c r="AY311" s="445" t="str">
        <f t="shared" ref="AY311" si="924">IF(AP311&lt;&gt;" ",IF(AQ311&gt;$B$15,"Нет","Да")," ")</f>
        <v xml:space="preserve"> </v>
      </c>
      <c r="AZ311" s="441" t="str">
        <f t="shared" ref="AZ311" si="925">IF(AP311&lt;&gt;" ",IF(AW311&gt;0.5*(AV311+AV312),"Да","Нет")," ")</f>
        <v xml:space="preserve"> </v>
      </c>
      <c r="BA311" s="441" t="str">
        <f t="shared" ref="BA311" si="926">IF(AP311&lt;&gt;" ",IF(OR($AX$309&lt;7,$AX$309=7),"Да","Нет")," ")</f>
        <v xml:space="preserve"> </v>
      </c>
      <c r="BB311" s="441" t="str">
        <f t="shared" ref="BB311" si="927">IF(AP311&lt;&gt;" ",IF(AW311&gt;0.2*0.5*(AR311+AR312),"Да","Нет")," ")</f>
        <v xml:space="preserve"> </v>
      </c>
      <c r="BC311" s="353">
        <f t="shared" si="832"/>
        <v>0</v>
      </c>
      <c r="BD311" s="443" t="str">
        <f t="shared" ref="BD311" si="928">IF(AP311&lt;&gt;" ",IF(OR(AU311&lt;AR311,AU311=AR311),0.8*AW311*AP311/(5*$AX$309*10),0.8*AW311*AP311/($AX$309*10))," ")</f>
        <v xml:space="preserve"> </v>
      </c>
      <c r="BE311" s="353">
        <f t="shared" si="813"/>
        <v>0</v>
      </c>
      <c r="BF311" s="232"/>
      <c r="BH311" s="418"/>
      <c r="BI311" s="419"/>
      <c r="BJ311" s="202"/>
      <c r="BK311" s="419"/>
      <c r="BL311" s="213"/>
    </row>
    <row r="312" spans="33:64" ht="15.75" thickBot="1">
      <c r="AG312" s="370"/>
      <c r="AH312" s="370"/>
      <c r="AI312" s="364"/>
      <c r="AJ312" s="425"/>
      <c r="AK312" s="364"/>
      <c r="AL312" s="370"/>
      <c r="AM312" s="459"/>
      <c r="AN312" s="376"/>
      <c r="AO312" s="353"/>
      <c r="AP312" s="353"/>
      <c r="AQ312" s="183" t="str">
        <f>IF(AP311&lt;&gt;" ",MAX($AQ$9:AQ311)+AP311," ")</f>
        <v xml:space="preserve"> </v>
      </c>
      <c r="AR312" s="183" t="str">
        <f>IF(AP311&lt;&gt;" ",MAX($AR$9:AR311)+$AJ$29*AP311," ")</f>
        <v xml:space="preserve"> </v>
      </c>
      <c r="AS312" s="86" t="str">
        <f t="shared" si="762"/>
        <v xml:space="preserve"> </v>
      </c>
      <c r="AT312" s="264" t="str" cm="1">
        <f t="array" ref="AT312">IF(AS312&lt;&gt;" ",Interpol(31,8,Служебный!$H$54:$H$84,Служебный!$I$53:$P$53,Служебный!$I$54:$P$84,'Осадка поля'!$AS312,'Осадка поля'!$B$6)," ")</f>
        <v xml:space="preserve"> </v>
      </c>
      <c r="AU312" s="183" t="str">
        <f t="shared" si="787"/>
        <v xml:space="preserve"> </v>
      </c>
      <c r="AV312" s="183" t="str">
        <f>IF(AP311&lt;&gt;" ",AR312*0.5," ")</f>
        <v xml:space="preserve"> </v>
      </c>
      <c r="AW312" s="353"/>
      <c r="AX312" s="353"/>
      <c r="AY312" s="444"/>
      <c r="AZ312" s="444"/>
      <c r="BA312" s="445"/>
      <c r="BB312" s="444"/>
      <c r="BC312" s="353"/>
      <c r="BD312" s="444"/>
      <c r="BE312" s="353"/>
      <c r="BF312" s="232"/>
      <c r="BH312" s="418"/>
      <c r="BI312" s="419"/>
      <c r="BJ312" s="202"/>
      <c r="BK312" s="419"/>
      <c r="BL312" s="213"/>
    </row>
    <row r="313" spans="33:64">
      <c r="AG313" s="370"/>
      <c r="AH313" s="370"/>
      <c r="AI313" s="364"/>
      <c r="AJ313" s="425"/>
      <c r="AK313" s="364"/>
      <c r="AL313" s="370"/>
      <c r="AM313" s="459"/>
      <c r="AN313" s="376"/>
      <c r="AO313" s="353" t="str">
        <f>IF(AO311=" "," ", IF(AO311&lt;SUM(AN$9:AN$328),AO311+1, " "))</f>
        <v xml:space="preserve"> </v>
      </c>
      <c r="AP313" s="353" t="str">
        <f>IF(AO313&lt;&gt;" ",AM$109/COUNT(AO$109:AO$128), " ")</f>
        <v xml:space="preserve"> </v>
      </c>
      <c r="AQ313" s="183" t="str">
        <f>IF(AP313&lt;&gt;" ",SUM($AP$9:AP311)," ")</f>
        <v xml:space="preserve"> </v>
      </c>
      <c r="AR313" s="183" t="str">
        <f>IF(AP313&lt;&gt;" ",MAX($AR$9:AR312)," ")</f>
        <v xml:space="preserve"> </v>
      </c>
      <c r="AS313" s="86" t="str">
        <f t="shared" si="762"/>
        <v xml:space="preserve"> </v>
      </c>
      <c r="AT313" s="264" t="str" cm="1">
        <f t="array" ref="AT313">IF(AS313&lt;&gt;" ",Interpol(31,8,Служебный!$H$54:$H$84,Служебный!$I$53:$P$53,Служебный!$I$54:$P$84,'Осадка поля'!$AS313,'Осадка поля'!$B$6)," ")</f>
        <v xml:space="preserve"> </v>
      </c>
      <c r="AU313" s="183" t="str">
        <f t="shared" si="787"/>
        <v xml:space="preserve"> </v>
      </c>
      <c r="AV313" s="183" t="str">
        <f>IF(AP313&lt;&gt;" ",AR313*0.5," ")</f>
        <v xml:space="preserve"> </v>
      </c>
      <c r="AW313" s="353" t="str">
        <f>IF(AO313&lt;&gt;" ",(AU313+AU314)/2," ")</f>
        <v xml:space="preserve"> </v>
      </c>
      <c r="AX313" s="353"/>
      <c r="AY313" s="445" t="str">
        <f t="shared" ref="AY313" si="929">IF(AP313&lt;&gt;" ",IF(AQ313&gt;$B$15,"Нет","Да")," ")</f>
        <v xml:space="preserve"> </v>
      </c>
      <c r="AZ313" s="441" t="str">
        <f t="shared" ref="AZ313" si="930">IF(AP313&lt;&gt;" ",IF(AW313&gt;0.5*(AV313+AV314),"Да","Нет")," ")</f>
        <v xml:space="preserve"> </v>
      </c>
      <c r="BA313" s="441" t="str">
        <f t="shared" ref="BA313" si="931">IF(AP313&lt;&gt;" ",IF(OR($AX$309&lt;7,$AX$309=7),"Да","Нет")," ")</f>
        <v xml:space="preserve"> </v>
      </c>
      <c r="BB313" s="441" t="str">
        <f t="shared" ref="BB313" si="932">IF(AP313&lt;&gt;" ",IF(AW313&gt;0.2*0.5*(AR313+AR314),"Да","Нет")," ")</f>
        <v xml:space="preserve"> </v>
      </c>
      <c r="BC313" s="353">
        <f t="shared" si="839"/>
        <v>0</v>
      </c>
      <c r="BD313" s="443" t="str">
        <f t="shared" ref="BD313" si="933">IF(AP313&lt;&gt;" ",IF(OR(AU313&lt;AR313,AU313=AR313),0.8*AW313*AP313/(5*$AX$309*10),0.8*AW313*AP313/($AX$309*10))," ")</f>
        <v xml:space="preserve"> </v>
      </c>
      <c r="BE313" s="353">
        <f t="shared" si="820"/>
        <v>0</v>
      </c>
      <c r="BF313" s="232"/>
      <c r="BH313" s="418"/>
      <c r="BI313" s="419"/>
      <c r="BJ313" s="202"/>
      <c r="BK313" s="419"/>
      <c r="BL313" s="213"/>
    </row>
    <row r="314" spans="33:64" ht="15.75" thickBot="1">
      <c r="AG314" s="370"/>
      <c r="AH314" s="370"/>
      <c r="AI314" s="364"/>
      <c r="AJ314" s="425"/>
      <c r="AK314" s="364"/>
      <c r="AL314" s="370"/>
      <c r="AM314" s="459"/>
      <c r="AN314" s="376"/>
      <c r="AO314" s="353"/>
      <c r="AP314" s="353"/>
      <c r="AQ314" s="183" t="str">
        <f>IF(AP313&lt;&gt;" ",MAX($AQ$9:AQ313)+AP313," ")</f>
        <v xml:space="preserve"> </v>
      </c>
      <c r="AR314" s="183" t="str">
        <f>IF(AP313&lt;&gt;" ",MAX($AR$9:AR313)+$AJ$29*AP313," ")</f>
        <v xml:space="preserve"> </v>
      </c>
      <c r="AS314" s="86" t="str">
        <f t="shared" si="762"/>
        <v xml:space="preserve"> </v>
      </c>
      <c r="AT314" s="264" t="str" cm="1">
        <f t="array" ref="AT314">IF(AS314&lt;&gt;" ",Interpol(31,8,Служебный!$H$54:$H$84,Служебный!$I$53:$P$53,Служебный!$I$54:$P$84,'Осадка поля'!$AS314,'Осадка поля'!$B$6)," ")</f>
        <v xml:space="preserve"> </v>
      </c>
      <c r="AU314" s="183" t="str">
        <f t="shared" si="787"/>
        <v xml:space="preserve"> </v>
      </c>
      <c r="AV314" s="183" t="str">
        <f>IF(AP313&lt;&gt;" ",AR314*0.5," ")</f>
        <v xml:space="preserve"> </v>
      </c>
      <c r="AW314" s="353"/>
      <c r="AX314" s="353"/>
      <c r="AY314" s="444"/>
      <c r="AZ314" s="444"/>
      <c r="BA314" s="445"/>
      <c r="BB314" s="444"/>
      <c r="BC314" s="353"/>
      <c r="BD314" s="444"/>
      <c r="BE314" s="353"/>
      <c r="BF314" s="232"/>
      <c r="BH314" s="418"/>
      <c r="BI314" s="419"/>
      <c r="BJ314" s="202"/>
      <c r="BK314" s="419"/>
      <c r="BL314" s="213"/>
    </row>
    <row r="315" spans="33:64">
      <c r="AG315" s="370"/>
      <c r="AH315" s="370"/>
      <c r="AI315" s="364"/>
      <c r="AJ315" s="425"/>
      <c r="AK315" s="364"/>
      <c r="AL315" s="370"/>
      <c r="AM315" s="459"/>
      <c r="AN315" s="376"/>
      <c r="AO315" s="353" t="str">
        <f>IF(AO313=" "," ", IF(AO313&lt;SUM(AN$9:AN$328),AO313+1, " "))</f>
        <v xml:space="preserve"> </v>
      </c>
      <c r="AP315" s="353" t="str">
        <f>IF(AO315&lt;&gt;" ",AM$109/COUNT(AO$109:AO$128), " ")</f>
        <v xml:space="preserve"> </v>
      </c>
      <c r="AQ315" s="183" t="str">
        <f>IF(AP315&lt;&gt;" ",SUM($AP$9:AP313)," ")</f>
        <v xml:space="preserve"> </v>
      </c>
      <c r="AR315" s="183" t="str">
        <f>IF(AP315&lt;&gt;" ",MAX($AR$9:AR314)," ")</f>
        <v xml:space="preserve"> </v>
      </c>
      <c r="AS315" s="86" t="str">
        <f t="shared" si="762"/>
        <v xml:space="preserve"> </v>
      </c>
      <c r="AT315" s="264" t="str" cm="1">
        <f t="array" ref="AT315">IF(AS315&lt;&gt;" ",Interpol(31,8,Служебный!$H$54:$H$84,Служебный!$I$53:$P$53,Служебный!$I$54:$P$84,'Осадка поля'!$AS315,'Осадка поля'!$B$6)," ")</f>
        <v xml:space="preserve"> </v>
      </c>
      <c r="AU315" s="183" t="str">
        <f t="shared" si="787"/>
        <v xml:space="preserve"> </v>
      </c>
      <c r="AV315" s="183" t="str">
        <f>IF(AP315&lt;&gt;" ",AR315*0.5," ")</f>
        <v xml:space="preserve"> </v>
      </c>
      <c r="AW315" s="353" t="str">
        <f>IF(AO315&lt;&gt;" ",(AU315+AU316)/2," ")</f>
        <v xml:space="preserve"> </v>
      </c>
      <c r="AX315" s="353"/>
      <c r="AY315" s="445" t="str">
        <f t="shared" ref="AY315" si="934">IF(AP315&lt;&gt;" ",IF(AQ315&gt;$B$15,"Нет","Да")," ")</f>
        <v xml:space="preserve"> </v>
      </c>
      <c r="AZ315" s="441" t="str">
        <f t="shared" ref="AZ315" si="935">IF(AP315&lt;&gt;" ",IF(AW315&gt;0.5*(AV315+AV316),"Да","Нет")," ")</f>
        <v xml:space="preserve"> </v>
      </c>
      <c r="BA315" s="441" t="str">
        <f t="shared" ref="BA315" si="936">IF(AP315&lt;&gt;" ",IF(OR($AX$309&lt;7,$AX$309=7),"Да","Нет")," ")</f>
        <v xml:space="preserve"> </v>
      </c>
      <c r="BB315" s="441" t="str">
        <f t="shared" ref="BB315" si="937">IF(AP315&lt;&gt;" ",IF(AW315&gt;0.2*0.5*(AR315+AR316),"Да","Нет")," ")</f>
        <v xml:space="preserve"> </v>
      </c>
      <c r="BC315" s="353">
        <f t="shared" ref="BC315" si="938">IF(AND(BE315&lt;&gt;0,BE315&lt;&gt;" "),AP315,0)</f>
        <v>0</v>
      </c>
      <c r="BD315" s="443" t="str">
        <f t="shared" ref="BD315" si="939">IF(AP315&lt;&gt;" ",IF(OR(AU315&lt;AR315,AU315=AR315),0.8*AW315*AP315/(5*$AX$309*10),0.8*AW315*AP315/($AX$309*10))," ")</f>
        <v xml:space="preserve"> </v>
      </c>
      <c r="BE315" s="353">
        <f t="shared" si="827"/>
        <v>0</v>
      </c>
      <c r="BF315" s="232"/>
      <c r="BH315" s="418"/>
      <c r="BI315" s="419"/>
      <c r="BJ315" s="202"/>
      <c r="BK315" s="419"/>
      <c r="BL315" s="213"/>
    </row>
    <row r="316" spans="33:64" ht="15.75" thickBot="1">
      <c r="AG316" s="370"/>
      <c r="AH316" s="370"/>
      <c r="AI316" s="364"/>
      <c r="AJ316" s="425"/>
      <c r="AK316" s="364"/>
      <c r="AL316" s="370"/>
      <c r="AM316" s="459"/>
      <c r="AN316" s="376"/>
      <c r="AO316" s="353"/>
      <c r="AP316" s="353"/>
      <c r="AQ316" s="183" t="str">
        <f>IF(AP315&lt;&gt;" ",MAX($AQ$9:AQ315)+AP315," ")</f>
        <v xml:space="preserve"> </v>
      </c>
      <c r="AR316" s="183" t="str">
        <f>IF(AP315&lt;&gt;" ",MAX($AR$9:AR315)+$AJ$29*AP315," ")</f>
        <v xml:space="preserve"> </v>
      </c>
      <c r="AS316" s="86" t="str">
        <f t="shared" si="762"/>
        <v xml:space="preserve"> </v>
      </c>
      <c r="AT316" s="264" t="str" cm="1">
        <f t="array" ref="AT316">IF(AS316&lt;&gt;" ",Interpol(31,8,Служебный!$H$54:$H$84,Служебный!$I$53:$P$53,Служебный!$I$54:$P$84,'Осадка поля'!$AS316,'Осадка поля'!$B$6)," ")</f>
        <v xml:space="preserve"> </v>
      </c>
      <c r="AU316" s="183" t="str">
        <f t="shared" si="787"/>
        <v xml:space="preserve"> </v>
      </c>
      <c r="AV316" s="183" t="str">
        <f>IF(AP315&lt;&gt;" ",AR316*0.5," ")</f>
        <v xml:space="preserve"> </v>
      </c>
      <c r="AW316" s="353"/>
      <c r="AX316" s="353"/>
      <c r="AY316" s="444"/>
      <c r="AZ316" s="444"/>
      <c r="BA316" s="445"/>
      <c r="BB316" s="444"/>
      <c r="BC316" s="353"/>
      <c r="BD316" s="444"/>
      <c r="BE316" s="353"/>
      <c r="BF316" s="232"/>
      <c r="BH316" s="418"/>
      <c r="BI316" s="419"/>
      <c r="BJ316" s="202"/>
      <c r="BK316" s="419"/>
      <c r="BL316" s="213"/>
    </row>
    <row r="317" spans="33:64">
      <c r="AG317" s="370"/>
      <c r="AH317" s="370"/>
      <c r="AI317" s="364"/>
      <c r="AJ317" s="425"/>
      <c r="AK317" s="364"/>
      <c r="AL317" s="370"/>
      <c r="AM317" s="459"/>
      <c r="AN317" s="376"/>
      <c r="AO317" s="353" t="str">
        <f>IF(AO315=" "," ", IF(AO315&lt;SUM(AN$9:AN$328),AO315+1, " "))</f>
        <v xml:space="preserve"> </v>
      </c>
      <c r="AP317" s="353" t="str">
        <f>IF(AO317&lt;&gt;" ",AM$109/COUNT(AO$109:AO$128), " ")</f>
        <v xml:space="preserve"> </v>
      </c>
      <c r="AQ317" s="183" t="str">
        <f>IF(AP317&lt;&gt;" ",SUM($AP$9:AP315)," ")</f>
        <v xml:space="preserve"> </v>
      </c>
      <c r="AR317" s="183" t="str">
        <f>IF(AP317&lt;&gt;" ",MAX($AR$9:AR316)," ")</f>
        <v xml:space="preserve"> </v>
      </c>
      <c r="AS317" s="86" t="str">
        <f t="shared" si="762"/>
        <v xml:space="preserve"> </v>
      </c>
      <c r="AT317" s="264" t="str" cm="1">
        <f t="array" ref="AT317">IF(AS317&lt;&gt;" ",Interpol(31,8,Служебный!$H$54:$H$84,Служебный!$I$53:$P$53,Служебный!$I$54:$P$84,'Осадка поля'!$AS317,'Осадка поля'!$B$6)," ")</f>
        <v xml:space="preserve"> </v>
      </c>
      <c r="AU317" s="183" t="str">
        <f t="shared" si="787"/>
        <v xml:space="preserve"> </v>
      </c>
      <c r="AV317" s="183" t="str">
        <f>IF(AP317&lt;&gt;" ",AR317*0.5," ")</f>
        <v xml:space="preserve"> </v>
      </c>
      <c r="AW317" s="353" t="str">
        <f>IF(AO317&lt;&gt;" ",(AU317+AU318)/2," ")</f>
        <v xml:space="preserve"> </v>
      </c>
      <c r="AX317" s="353"/>
      <c r="AY317" s="445" t="str">
        <f t="shared" ref="AY317" si="940">IF(AP317&lt;&gt;" ",IF(AQ317&gt;$B$15,"Нет","Да")," ")</f>
        <v xml:space="preserve"> </v>
      </c>
      <c r="AZ317" s="441" t="str">
        <f t="shared" ref="AZ317" si="941">IF(AP317&lt;&gt;" ",IF(AW317&gt;0.5*(AV317+AV318),"Да","Нет")," ")</f>
        <v xml:space="preserve"> </v>
      </c>
      <c r="BA317" s="441" t="str">
        <f t="shared" ref="BA317" si="942">IF(AP317&lt;&gt;" ",IF(OR($AX$309&lt;7,$AX$309=7),"Да","Нет")," ")</f>
        <v xml:space="preserve"> </v>
      </c>
      <c r="BB317" s="441" t="str">
        <f t="shared" ref="BB317" si="943">IF(AP317&lt;&gt;" ",IF(AW317&gt;0.2*0.5*(AR317+AR318),"Да","Нет")," ")</f>
        <v xml:space="preserve"> </v>
      </c>
      <c r="BC317" s="353">
        <f t="shared" ref="BC317" si="944">IF(AND(BE317&lt;&gt;0,BE317&lt;&gt;" "),AP317,0)</f>
        <v>0</v>
      </c>
      <c r="BD317" s="443" t="str">
        <f t="shared" ref="BD317" si="945">IF(AP317&lt;&gt;" ",IF(OR(AU317&lt;AR317,AU317=AR317),0.8*AW317*AP317/(5*$AX$309*10),0.8*AW317*AP317/($AX$309*10))," ")</f>
        <v xml:space="preserve"> </v>
      </c>
      <c r="BE317" s="353">
        <f t="shared" si="834"/>
        <v>0</v>
      </c>
      <c r="BF317" s="232"/>
      <c r="BH317" s="418"/>
      <c r="BI317" s="419"/>
      <c r="BJ317" s="202"/>
      <c r="BK317" s="419"/>
      <c r="BL317" s="213"/>
    </row>
    <row r="318" spans="33:64" ht="15.75" thickBot="1">
      <c r="AG318" s="370"/>
      <c r="AH318" s="370"/>
      <c r="AI318" s="364"/>
      <c r="AJ318" s="425"/>
      <c r="AK318" s="364"/>
      <c r="AL318" s="370"/>
      <c r="AM318" s="459"/>
      <c r="AN318" s="376"/>
      <c r="AO318" s="353"/>
      <c r="AP318" s="353"/>
      <c r="AQ318" s="183" t="str">
        <f>IF(AP317&lt;&gt;" ",MAX($AQ$9:AQ317)+AP317," ")</f>
        <v xml:space="preserve"> </v>
      </c>
      <c r="AR318" s="183" t="str">
        <f>IF(AP317&lt;&gt;" ",MAX($AR$9:AR317)+$AJ$29*AP317," ")</f>
        <v xml:space="preserve"> </v>
      </c>
      <c r="AS318" s="86" t="str">
        <f t="shared" si="762"/>
        <v xml:space="preserve"> </v>
      </c>
      <c r="AT318" s="264" t="str" cm="1">
        <f t="array" ref="AT318">IF(AS318&lt;&gt;" ",Interpol(31,8,Служебный!$H$54:$H$84,Служебный!$I$53:$P$53,Служебный!$I$54:$P$84,'Осадка поля'!$AS318,'Осадка поля'!$B$6)," ")</f>
        <v xml:space="preserve"> </v>
      </c>
      <c r="AU318" s="183" t="str">
        <f t="shared" si="787"/>
        <v xml:space="preserve"> </v>
      </c>
      <c r="AV318" s="183" t="str">
        <f>IF(AP317&lt;&gt;" ",AR318*0.5," ")</f>
        <v xml:space="preserve"> </v>
      </c>
      <c r="AW318" s="353"/>
      <c r="AX318" s="353"/>
      <c r="AY318" s="444"/>
      <c r="AZ318" s="444"/>
      <c r="BA318" s="445"/>
      <c r="BB318" s="444"/>
      <c r="BC318" s="353"/>
      <c r="BD318" s="444"/>
      <c r="BE318" s="353"/>
      <c r="BF318" s="232"/>
      <c r="BH318" s="418"/>
      <c r="BI318" s="419"/>
      <c r="BJ318" s="202"/>
      <c r="BK318" s="419"/>
      <c r="BL318" s="213"/>
    </row>
    <row r="319" spans="33:64">
      <c r="AG319" s="370"/>
      <c r="AH319" s="370"/>
      <c r="AI319" s="364"/>
      <c r="AJ319" s="425"/>
      <c r="AK319" s="364"/>
      <c r="AL319" s="370"/>
      <c r="AM319" s="459"/>
      <c r="AN319" s="376"/>
      <c r="AO319" s="353" t="str">
        <f>IF(AO317=" "," ", IF(AO317&lt;SUM(AN$9:AN$328),AO317+1, " "))</f>
        <v xml:space="preserve"> </v>
      </c>
      <c r="AP319" s="353" t="str">
        <f>IF(AO319&lt;&gt;" ",AM$109/COUNT(AO$109:AO$128), " ")</f>
        <v xml:space="preserve"> </v>
      </c>
      <c r="AQ319" s="183" t="str">
        <f>IF(AP319&lt;&gt;" ",SUM($AP$9:AP317)," ")</f>
        <v xml:space="preserve"> </v>
      </c>
      <c r="AR319" s="183" t="str">
        <f>IF(AP319&lt;&gt;" ",MAX($AR$9:AR318)," ")</f>
        <v xml:space="preserve"> </v>
      </c>
      <c r="AS319" s="86" t="str">
        <f t="shared" si="762"/>
        <v xml:space="preserve"> </v>
      </c>
      <c r="AT319" s="264" t="str" cm="1">
        <f t="array" ref="AT319">IF(AS319&lt;&gt;" ",Interpol(31,8,Служебный!$H$54:$H$84,Служебный!$I$53:$P$53,Служебный!$I$54:$P$84,'Осадка поля'!$AS319,'Осадка поля'!$B$6)," ")</f>
        <v xml:space="preserve"> </v>
      </c>
      <c r="AU319" s="183" t="str">
        <f t="shared" si="787"/>
        <v xml:space="preserve"> </v>
      </c>
      <c r="AV319" s="183" t="str">
        <f>IF(AP319&lt;&gt;" ",AR319*0.5," ")</f>
        <v xml:space="preserve"> </v>
      </c>
      <c r="AW319" s="353" t="str">
        <f>IF(AO319&lt;&gt;" ",(AU319+AU320)/2," ")</f>
        <v xml:space="preserve"> </v>
      </c>
      <c r="AX319" s="353"/>
      <c r="AY319" s="445" t="str">
        <f t="shared" ref="AY319" si="946">IF(AP319&lt;&gt;" ",IF(AQ319&gt;$B$15,"Нет","Да")," ")</f>
        <v xml:space="preserve"> </v>
      </c>
      <c r="AZ319" s="441" t="str">
        <f t="shared" ref="AZ319" si="947">IF(AP319&lt;&gt;" ",IF(AW319&gt;0.5*(AV319+AV320),"Да","Нет")," ")</f>
        <v xml:space="preserve"> </v>
      </c>
      <c r="BA319" s="441" t="str">
        <f t="shared" ref="BA319" si="948">IF(AP319&lt;&gt;" ",IF(OR($AX$309&lt;7,$AX$309=7),"Да","Нет")," ")</f>
        <v xml:space="preserve"> </v>
      </c>
      <c r="BB319" s="441" t="str">
        <f t="shared" ref="BB319" si="949">IF(AP319&lt;&gt;" ",IF(AW319&gt;0.2*0.5*(AR319+AR320),"Да","Нет")," ")</f>
        <v xml:space="preserve"> </v>
      </c>
      <c r="BC319" s="353">
        <f t="shared" ref="BC319" si="950">IF(AND(BE319&lt;&gt;0,BE319&lt;&gt;" "),AP319,0)</f>
        <v>0</v>
      </c>
      <c r="BD319" s="443" t="str">
        <f t="shared" ref="BD319" si="951">IF(AP319&lt;&gt;" ",IF(OR(AU319&lt;AR319,AU319=AR319),0.8*AW319*AP319/(5*$AX$309*10),0.8*AW319*AP319/($AX$309*10))," ")</f>
        <v xml:space="preserve"> </v>
      </c>
      <c r="BE319" s="353">
        <f t="shared" si="841"/>
        <v>0</v>
      </c>
      <c r="BF319" s="232"/>
      <c r="BH319" s="418"/>
      <c r="BI319" s="419"/>
      <c r="BJ319" s="202"/>
      <c r="BK319" s="419"/>
      <c r="BL319" s="213"/>
    </row>
    <row r="320" spans="33:64" ht="15.75" thickBot="1">
      <c r="AG320" s="370"/>
      <c r="AH320" s="370"/>
      <c r="AI320" s="364"/>
      <c r="AJ320" s="425"/>
      <c r="AK320" s="364"/>
      <c r="AL320" s="370"/>
      <c r="AM320" s="459"/>
      <c r="AN320" s="376"/>
      <c r="AO320" s="353"/>
      <c r="AP320" s="353"/>
      <c r="AQ320" s="183" t="str">
        <f>IF(AP319&lt;&gt;" ",MAX($AQ$9:AQ319)+AP319," ")</f>
        <v xml:space="preserve"> </v>
      </c>
      <c r="AR320" s="183" t="str">
        <f>IF(AP319&lt;&gt;" ",MAX($AR$9:AR319)+$AJ$29*AP319," ")</f>
        <v xml:space="preserve"> </v>
      </c>
      <c r="AS320" s="86" t="str">
        <f t="shared" si="762"/>
        <v xml:space="preserve"> </v>
      </c>
      <c r="AT320" s="264" t="str" cm="1">
        <f t="array" ref="AT320">IF(AS320&lt;&gt;" ",Interpol(31,8,Служебный!$H$54:$H$84,Служебный!$I$53:$P$53,Служебный!$I$54:$P$84,'Осадка поля'!$AS320,'Осадка поля'!$B$6)," ")</f>
        <v xml:space="preserve"> </v>
      </c>
      <c r="AU320" s="183" t="str">
        <f t="shared" si="787"/>
        <v xml:space="preserve"> </v>
      </c>
      <c r="AV320" s="183" t="str">
        <f>IF(AP319&lt;&gt;" ",AR320*0.5," ")</f>
        <v xml:space="preserve"> </v>
      </c>
      <c r="AW320" s="353"/>
      <c r="AX320" s="353"/>
      <c r="AY320" s="444"/>
      <c r="AZ320" s="444"/>
      <c r="BA320" s="445"/>
      <c r="BB320" s="444"/>
      <c r="BC320" s="353"/>
      <c r="BD320" s="444"/>
      <c r="BE320" s="353"/>
      <c r="BF320" s="232"/>
      <c r="BH320" s="418"/>
      <c r="BI320" s="419"/>
      <c r="BJ320" s="202"/>
      <c r="BK320" s="419"/>
      <c r="BL320" s="213"/>
    </row>
    <row r="321" spans="33:64">
      <c r="AG321" s="370"/>
      <c r="AH321" s="370"/>
      <c r="AI321" s="364"/>
      <c r="AJ321" s="425"/>
      <c r="AK321" s="364"/>
      <c r="AL321" s="370"/>
      <c r="AM321" s="459"/>
      <c r="AN321" s="376"/>
      <c r="AO321" s="353" t="str">
        <f>IF(AO319=" "," ", IF(AO319&lt;SUM(AN$9:AN$328),AO319+1, " "))</f>
        <v xml:space="preserve"> </v>
      </c>
      <c r="AP321" s="353" t="str">
        <f>IF(AO321&lt;&gt;" ",AM$109/COUNT(AO$109:AO$128), " ")</f>
        <v xml:space="preserve"> </v>
      </c>
      <c r="AQ321" s="183" t="str">
        <f>IF(AP321&lt;&gt;" ",SUM($AP$9:AP319)," ")</f>
        <v xml:space="preserve"> </v>
      </c>
      <c r="AR321" s="183" t="str">
        <f>IF(AP321&lt;&gt;" ",MAX($AR$9:AR320)," ")</f>
        <v xml:space="preserve"> </v>
      </c>
      <c r="AS321" s="86" t="str">
        <f t="shared" ref="AS321:AS328" si="952">IF(AQ321&lt;&gt;" ",2*AQ321/$B$10," ")</f>
        <v xml:space="preserve"> </v>
      </c>
      <c r="AT321" s="264" t="str" cm="1">
        <f t="array" ref="AT321">IF(AS321&lt;&gt;" ",Interpol(31,8,Служебный!$H$54:$H$84,Служебный!$I$53:$P$53,Служебный!$I$54:$P$84,'Осадка поля'!$AS321,'Осадка поля'!$B$6)," ")</f>
        <v xml:space="preserve"> </v>
      </c>
      <c r="AU321" s="183" t="str">
        <f t="shared" si="787"/>
        <v xml:space="preserve"> </v>
      </c>
      <c r="AV321" s="183" t="str">
        <f>IF(AP321&lt;&gt;" ",AR321*0.5," ")</f>
        <v xml:space="preserve"> </v>
      </c>
      <c r="AW321" s="353" t="str">
        <f>IF(AO321&lt;&gt;" ",(AU321+AU322)/2," ")</f>
        <v xml:space="preserve"> </v>
      </c>
      <c r="AX321" s="353"/>
      <c r="AY321" s="445" t="str">
        <f t="shared" ref="AY321" si="953">IF(AP321&lt;&gt;" ",IF(AQ321&gt;$B$15,"Нет","Да")," ")</f>
        <v xml:space="preserve"> </v>
      </c>
      <c r="AZ321" s="441" t="str">
        <f t="shared" ref="AZ321" si="954">IF(AP321&lt;&gt;" ",IF(AW321&gt;0.5*(AV321+AV322),"Да","Нет")," ")</f>
        <v xml:space="preserve"> </v>
      </c>
      <c r="BA321" s="441" t="str">
        <f t="shared" ref="BA321" si="955">IF(AP321&lt;&gt;" ",IF(OR($AX$309&lt;7,$AX$309=7),"Да","Нет")," ")</f>
        <v xml:space="preserve"> </v>
      </c>
      <c r="BB321" s="441" t="str">
        <f t="shared" ref="BB321" si="956">IF(AP321&lt;&gt;" ",IF(AW321&gt;0.2*0.5*(AR321+AR322),"Да","Нет")," ")</f>
        <v xml:space="preserve"> </v>
      </c>
      <c r="BC321" s="353">
        <f t="shared" ref="BC321" si="957">IF(AND(BE321&lt;&gt;0,BE321&lt;&gt;" "),AP321,0)</f>
        <v>0</v>
      </c>
      <c r="BD321" s="443" t="str">
        <f t="shared" ref="BD321" si="958">IF(AP321&lt;&gt;" ",IF(OR(AU321&lt;AR321,AU321=AR321),0.8*AW321*AP321/(5*$AX$309*10),0.8*AW321*AP321/($AX$309*10))," ")</f>
        <v xml:space="preserve"> </v>
      </c>
      <c r="BE321" s="353">
        <f t="shared" si="848"/>
        <v>0</v>
      </c>
      <c r="BF321" s="232"/>
      <c r="BH321" s="418"/>
      <c r="BI321" s="419"/>
      <c r="BJ321" s="202"/>
      <c r="BK321" s="419"/>
      <c r="BL321" s="213"/>
    </row>
    <row r="322" spans="33:64" ht="15.75" thickBot="1">
      <c r="AG322" s="370"/>
      <c r="AH322" s="370"/>
      <c r="AI322" s="364"/>
      <c r="AJ322" s="425"/>
      <c r="AK322" s="364"/>
      <c r="AL322" s="370"/>
      <c r="AM322" s="459"/>
      <c r="AN322" s="376"/>
      <c r="AO322" s="353"/>
      <c r="AP322" s="353"/>
      <c r="AQ322" s="183" t="str">
        <f>IF(AP321&lt;&gt;" ",MAX($AQ$9:AQ321)+AP321," ")</f>
        <v xml:space="preserve"> </v>
      </c>
      <c r="AR322" s="183" t="str">
        <f>IF(AP321&lt;&gt;" ",MAX($AR$9:AR321)+$AJ$29*AP321," ")</f>
        <v xml:space="preserve"> </v>
      </c>
      <c r="AS322" s="86" t="str">
        <f t="shared" si="952"/>
        <v xml:space="preserve"> </v>
      </c>
      <c r="AT322" s="264" t="str" cm="1">
        <f t="array" ref="AT322">IF(AS322&lt;&gt;" ",Interpol(31,8,Служебный!$H$54:$H$84,Служебный!$I$53:$P$53,Служебный!$I$54:$P$84,'Осадка поля'!$AS322,'Осадка поля'!$B$6)," ")</f>
        <v xml:space="preserve"> </v>
      </c>
      <c r="AU322" s="183" t="str">
        <f t="shared" si="787"/>
        <v xml:space="preserve"> </v>
      </c>
      <c r="AV322" s="183" t="str">
        <f>IF(AP321&lt;&gt;" ",AR322*0.5," ")</f>
        <v xml:space="preserve"> </v>
      </c>
      <c r="AW322" s="353"/>
      <c r="AX322" s="353"/>
      <c r="AY322" s="444"/>
      <c r="AZ322" s="444"/>
      <c r="BA322" s="445"/>
      <c r="BB322" s="444"/>
      <c r="BC322" s="353"/>
      <c r="BD322" s="444"/>
      <c r="BE322" s="353"/>
      <c r="BF322" s="232"/>
      <c r="BH322" s="418"/>
      <c r="BI322" s="419"/>
      <c r="BJ322" s="202"/>
      <c r="BK322" s="419"/>
      <c r="BL322" s="213"/>
    </row>
    <row r="323" spans="33:64">
      <c r="AG323" s="370"/>
      <c r="AH323" s="370"/>
      <c r="AI323" s="364"/>
      <c r="AJ323" s="425"/>
      <c r="AK323" s="364"/>
      <c r="AL323" s="370"/>
      <c r="AM323" s="459"/>
      <c r="AN323" s="376"/>
      <c r="AO323" s="353" t="str">
        <f>IF(AO321=" "," ", IF(AO321&lt;SUM(AN$9:AN$328),AO321+1, " "))</f>
        <v xml:space="preserve"> </v>
      </c>
      <c r="AP323" s="353" t="str">
        <f>IF(AO323&lt;&gt;" ",AM$109/COUNT(AO$109:AO$128), " ")</f>
        <v xml:space="preserve"> </v>
      </c>
      <c r="AQ323" s="183" t="str">
        <f>IF(AP323&lt;&gt;" ",SUM($AP$9:AP321)," ")</f>
        <v xml:space="preserve"> </v>
      </c>
      <c r="AR323" s="183" t="str">
        <f>IF(AP323&lt;&gt;" ",MAX($AR$9:AR322)," ")</f>
        <v xml:space="preserve"> </v>
      </c>
      <c r="AS323" s="86" t="str">
        <f t="shared" si="952"/>
        <v xml:space="preserve"> </v>
      </c>
      <c r="AT323" s="264" t="str" cm="1">
        <f t="array" ref="AT323">IF(AS323&lt;&gt;" ",Interpol(31,8,Служебный!$H$54:$H$84,Служебный!$I$53:$P$53,Служебный!$I$54:$P$84,'Осадка поля'!$AS323,'Осадка поля'!$B$6)," ")</f>
        <v xml:space="preserve"> </v>
      </c>
      <c r="AU323" s="183" t="str">
        <f t="shared" si="787"/>
        <v xml:space="preserve"> </v>
      </c>
      <c r="AV323" s="183" t="str">
        <f>IF(AP323&lt;&gt;" ",AR323*0.5," ")</f>
        <v xml:space="preserve"> </v>
      </c>
      <c r="AW323" s="353" t="str">
        <f>IF(AO323&lt;&gt;" ",(AU323+AU324)/2," ")</f>
        <v xml:space="preserve"> </v>
      </c>
      <c r="AX323" s="353"/>
      <c r="AY323" s="445" t="str">
        <f t="shared" ref="AY323" si="959">IF(AP323&lt;&gt;" ",IF(AQ323&gt;$B$15,"Нет","Да")," ")</f>
        <v xml:space="preserve"> </v>
      </c>
      <c r="AZ323" s="441" t="str">
        <f t="shared" ref="AZ323" si="960">IF(AP323&lt;&gt;" ",IF(AW323&gt;0.5*(AV323+AV324),"Да","Нет")," ")</f>
        <v xml:space="preserve"> </v>
      </c>
      <c r="BA323" s="441" t="str">
        <f t="shared" ref="BA323" si="961">IF(AP323&lt;&gt;" ",IF(OR($AX$309&lt;7,$AX$309=7),"Да","Нет")," ")</f>
        <v xml:space="preserve"> </v>
      </c>
      <c r="BB323" s="441" t="str">
        <f t="shared" ref="BB323" si="962">IF(AP323&lt;&gt;" ",IF(AW323&gt;0.2*0.5*(AR323+AR324),"Да","Нет")," ")</f>
        <v xml:space="preserve"> </v>
      </c>
      <c r="BC323" s="353">
        <f t="shared" ref="BC323" si="963">IF(AND(BE323&lt;&gt;0,BE323&lt;&gt;" "),AP323,0)</f>
        <v>0</v>
      </c>
      <c r="BD323" s="443" t="str">
        <f t="shared" ref="BD323" si="964">IF(AP323&lt;&gt;" ",IF(OR(AU323&lt;AR323,AU323=AR323),0.8*AW323*AP323/(5*$AX$309*10),0.8*AW323*AP323/($AX$309*10))," ")</f>
        <v xml:space="preserve"> </v>
      </c>
      <c r="BE323" s="353">
        <f t="shared" si="854"/>
        <v>0</v>
      </c>
      <c r="BF323" s="232"/>
      <c r="BH323" s="418"/>
      <c r="BI323" s="419"/>
      <c r="BJ323" s="202"/>
      <c r="BK323" s="419"/>
      <c r="BL323" s="213"/>
    </row>
    <row r="324" spans="33:64" ht="15.75" thickBot="1">
      <c r="AG324" s="370"/>
      <c r="AH324" s="370"/>
      <c r="AI324" s="364"/>
      <c r="AJ324" s="425"/>
      <c r="AK324" s="364"/>
      <c r="AL324" s="370"/>
      <c r="AM324" s="459"/>
      <c r="AN324" s="376"/>
      <c r="AO324" s="353"/>
      <c r="AP324" s="353"/>
      <c r="AQ324" s="183" t="str">
        <f>IF(AP323&lt;&gt;" ",MAX($AQ$9:AQ323)+AP323," ")</f>
        <v xml:space="preserve"> </v>
      </c>
      <c r="AR324" s="183" t="str">
        <f>IF(AP323&lt;&gt;" ",MAX($AR$9:AR323)+$AJ$29*AP323," ")</f>
        <v xml:space="preserve"> </v>
      </c>
      <c r="AS324" s="86" t="str">
        <f t="shared" si="952"/>
        <v xml:space="preserve"> </v>
      </c>
      <c r="AT324" s="264" t="str" cm="1">
        <f t="array" ref="AT324">IF(AS324&lt;&gt;" ",Interpol(31,8,Служебный!$H$54:$H$84,Служебный!$I$53:$P$53,Служебный!$I$54:$P$84,'Осадка поля'!$AS324,'Осадка поля'!$B$6)," ")</f>
        <v xml:space="preserve"> </v>
      </c>
      <c r="AU324" s="183" t="str">
        <f t="shared" si="787"/>
        <v xml:space="preserve"> </v>
      </c>
      <c r="AV324" s="183" t="str">
        <f>IF(AP323&lt;&gt;" ",AR324*0.5," ")</f>
        <v xml:space="preserve"> </v>
      </c>
      <c r="AW324" s="353"/>
      <c r="AX324" s="353"/>
      <c r="AY324" s="444"/>
      <c r="AZ324" s="444"/>
      <c r="BA324" s="445"/>
      <c r="BB324" s="444"/>
      <c r="BC324" s="353"/>
      <c r="BD324" s="444"/>
      <c r="BE324" s="353"/>
      <c r="BF324" s="232"/>
      <c r="BH324" s="418"/>
      <c r="BI324" s="419"/>
      <c r="BJ324" s="202"/>
      <c r="BK324" s="419"/>
      <c r="BL324" s="213"/>
    </row>
    <row r="325" spans="33:64">
      <c r="AG325" s="370"/>
      <c r="AH325" s="370"/>
      <c r="AI325" s="364"/>
      <c r="AJ325" s="425"/>
      <c r="AK325" s="364"/>
      <c r="AL325" s="370"/>
      <c r="AM325" s="459"/>
      <c r="AN325" s="376"/>
      <c r="AO325" s="353" t="str">
        <f>IF(AO323=" "," ", IF(AO323&lt;SUM(AN$9:AN$328),AO323+1, " "))</f>
        <v xml:space="preserve"> </v>
      </c>
      <c r="AP325" s="353" t="str">
        <f>IF(AO325&lt;&gt;" ",AM$109/COUNT(AO$109:AO$128), " ")</f>
        <v xml:space="preserve"> </v>
      </c>
      <c r="AQ325" s="183" t="str">
        <f>IF(AP325&lt;&gt;" ",SUM($AP$9:AP323)," ")</f>
        <v xml:space="preserve"> </v>
      </c>
      <c r="AR325" s="183" t="str">
        <f>IF(AP325&lt;&gt;" ",MAX($AR$9:AR324)," ")</f>
        <v xml:space="preserve"> </v>
      </c>
      <c r="AS325" s="86" t="str">
        <f t="shared" si="952"/>
        <v xml:space="preserve"> </v>
      </c>
      <c r="AT325" s="264" t="str" cm="1">
        <f t="array" ref="AT325">IF(AS325&lt;&gt;" ",Interpol(31,8,Служебный!$H$54:$H$84,Служебный!$I$53:$P$53,Служебный!$I$54:$P$84,'Осадка поля'!$AS325,'Осадка поля'!$B$6)," ")</f>
        <v xml:space="preserve"> </v>
      </c>
      <c r="AU325" s="183" t="str">
        <f t="shared" si="787"/>
        <v xml:space="preserve"> </v>
      </c>
      <c r="AV325" s="183" t="str">
        <f>IF(AP325&lt;&gt;" ",AR325*0.5," ")</f>
        <v xml:space="preserve"> </v>
      </c>
      <c r="AW325" s="353" t="str">
        <f>IF(AO325&lt;&gt;" ",(AU325+AU326)/2," ")</f>
        <v xml:space="preserve"> </v>
      </c>
      <c r="AX325" s="353"/>
      <c r="AY325" s="445" t="str">
        <f t="shared" ref="AY325" si="965">IF(AP325&lt;&gt;" ",IF(AQ325&gt;$B$15,"Нет","Да")," ")</f>
        <v xml:space="preserve"> </v>
      </c>
      <c r="AZ325" s="441" t="str">
        <f t="shared" ref="AZ325" si="966">IF(AP325&lt;&gt;" ",IF(AW325&gt;0.5*(AV325+AV326),"Да","Нет")," ")</f>
        <v xml:space="preserve"> </v>
      </c>
      <c r="BA325" s="441" t="str">
        <f t="shared" ref="BA325" si="967">IF(AP325&lt;&gt;" ",IF(OR($AX$309&lt;7,$AX$309=7),"Да","Нет")," ")</f>
        <v xml:space="preserve"> </v>
      </c>
      <c r="BB325" s="441" t="str">
        <f t="shared" ref="BB325" si="968">IF(AP325&lt;&gt;" ",IF(AW325&gt;0.2*0.5*(AR325+AR326),"Да","Нет")," ")</f>
        <v xml:space="preserve"> </v>
      </c>
      <c r="BC325" s="353">
        <f t="shared" ref="BC325" si="969">IF(AND(BE325&lt;&gt;0,BE325&lt;&gt;" "),AP325,0)</f>
        <v>0</v>
      </c>
      <c r="BD325" s="443" t="str">
        <f t="shared" ref="BD325" si="970">IF(AP325&lt;&gt;" ",IF(OR(AU325&lt;AR325,AU325=AR325),0.8*AW325*AP325/(5*$AX$309*10),0.8*AW325*AP325/($AX$309*10))," ")</f>
        <v xml:space="preserve"> </v>
      </c>
      <c r="BE325" s="353">
        <f t="shared" si="860"/>
        <v>0</v>
      </c>
      <c r="BF325" s="232"/>
      <c r="BH325" s="418"/>
      <c r="BI325" s="419"/>
      <c r="BJ325" s="202"/>
      <c r="BK325" s="419"/>
      <c r="BL325" s="213"/>
    </row>
    <row r="326" spans="33:64" ht="15.75" thickBot="1">
      <c r="AG326" s="370"/>
      <c r="AH326" s="370"/>
      <c r="AI326" s="364"/>
      <c r="AJ326" s="425"/>
      <c r="AK326" s="364"/>
      <c r="AL326" s="370"/>
      <c r="AM326" s="459"/>
      <c r="AN326" s="376"/>
      <c r="AO326" s="353"/>
      <c r="AP326" s="353"/>
      <c r="AQ326" s="183" t="str">
        <f>IF(AP325&lt;&gt;" ",MAX($AQ$9:AQ325)+AP325," ")</f>
        <v xml:space="preserve"> </v>
      </c>
      <c r="AR326" s="183" t="str">
        <f>IF(AP325&lt;&gt;" ",MAX($AR$9:AR325)+$AJ$29*AP325," ")</f>
        <v xml:space="preserve"> </v>
      </c>
      <c r="AS326" s="86" t="str">
        <f t="shared" si="952"/>
        <v xml:space="preserve"> </v>
      </c>
      <c r="AT326" s="264" t="str" cm="1">
        <f t="array" ref="AT326">IF(AS326&lt;&gt;" ",Interpol(31,8,Служебный!$H$54:$H$84,Служебный!$I$53:$P$53,Служебный!$I$54:$P$84,'Осадка поля'!$AS326,'Осадка поля'!$B$6)," ")</f>
        <v xml:space="preserve"> </v>
      </c>
      <c r="AU326" s="183" t="str">
        <f t="shared" si="787"/>
        <v xml:space="preserve"> </v>
      </c>
      <c r="AV326" s="183" t="str">
        <f>IF(AP325&lt;&gt;" ",AR326*0.5," ")</f>
        <v xml:space="preserve"> </v>
      </c>
      <c r="AW326" s="353"/>
      <c r="AX326" s="353"/>
      <c r="AY326" s="444"/>
      <c r="AZ326" s="444"/>
      <c r="BA326" s="445"/>
      <c r="BB326" s="444"/>
      <c r="BC326" s="353"/>
      <c r="BD326" s="444"/>
      <c r="BE326" s="353"/>
      <c r="BF326" s="232"/>
      <c r="BH326" s="418"/>
      <c r="BI326" s="419"/>
      <c r="BJ326" s="202"/>
      <c r="BK326" s="419"/>
      <c r="BL326" s="213"/>
    </row>
    <row r="327" spans="33:64">
      <c r="AG327" s="370"/>
      <c r="AH327" s="370"/>
      <c r="AI327" s="364"/>
      <c r="AJ327" s="425"/>
      <c r="AK327" s="364"/>
      <c r="AL327" s="370"/>
      <c r="AM327" s="459"/>
      <c r="AN327" s="376"/>
      <c r="AO327" s="353" t="str">
        <f>IF(AO325=" "," ", IF(AO325&lt;SUM(AN$9:AN$328),AO325+1, " "))</f>
        <v xml:space="preserve"> </v>
      </c>
      <c r="AP327" s="353" t="str">
        <f>IF(AO327&lt;&gt;" ",AM$109/COUNT(AO$109:AO$128), " ")</f>
        <v xml:space="preserve"> </v>
      </c>
      <c r="AQ327" s="183" t="str">
        <f>IF(AP327&lt;&gt;" ",SUM($AP$9:AP325)," ")</f>
        <v xml:space="preserve"> </v>
      </c>
      <c r="AR327" s="183" t="str">
        <f>IF(AP327&lt;&gt;" ",MAX($AR$9:AR326)," ")</f>
        <v xml:space="preserve"> </v>
      </c>
      <c r="AS327" s="86" t="str">
        <f t="shared" si="952"/>
        <v xml:space="preserve"> </v>
      </c>
      <c r="AT327" s="264" t="str" cm="1">
        <f t="array" ref="AT327">IF(AS327&lt;&gt;" ",Interpol(31,8,Служебный!$H$54:$H$84,Служебный!$I$53:$P$53,Служебный!$I$54:$P$84,'Осадка поля'!$AS327,'Осадка поля'!$B$6)," ")</f>
        <v xml:space="preserve"> </v>
      </c>
      <c r="AU327" s="183" t="str">
        <f t="shared" si="787"/>
        <v xml:space="preserve"> </v>
      </c>
      <c r="AV327" s="183" t="str">
        <f>IF(AP327&lt;&gt;" ",AR327*0.5," ")</f>
        <v xml:space="preserve"> </v>
      </c>
      <c r="AW327" s="353" t="str">
        <f>IF(AO327&lt;&gt;" ",(AU327+AU328)/2," ")</f>
        <v xml:space="preserve"> </v>
      </c>
      <c r="AX327" s="353"/>
      <c r="AY327" s="445" t="str">
        <f t="shared" ref="AY327" si="971">IF(AP327&lt;&gt;" ",IF(AQ327&gt;$B$15,"Нет","Да")," ")</f>
        <v xml:space="preserve"> </v>
      </c>
      <c r="AZ327" s="441" t="str">
        <f t="shared" ref="AZ327" si="972">IF(AP327&lt;&gt;" ",IF(AW327&gt;0.5*(AV327+AV328),"Да","Нет")," ")</f>
        <v xml:space="preserve"> </v>
      </c>
      <c r="BA327" s="441" t="str">
        <f t="shared" ref="BA327" si="973">IF(AP327&lt;&gt;" ",IF(OR($AX$309&lt;7,$AX$309=7),"Да","Нет")," ")</f>
        <v xml:space="preserve"> </v>
      </c>
      <c r="BB327" s="441" t="str">
        <f t="shared" ref="BB327" si="974">IF(AP327&lt;&gt;" ",IF(AW327&gt;0.2*0.5*(AR327+AR328),"Да","Нет")," ")</f>
        <v xml:space="preserve"> </v>
      </c>
      <c r="BC327" s="353">
        <f t="shared" ref="BC327" si="975">IF(AND(BE327&lt;&gt;0,BE327&lt;&gt;" "),AP327,0)</f>
        <v>0</v>
      </c>
      <c r="BD327" s="443" t="str">
        <f t="shared" ref="BD327" si="976">IF(AP327&lt;&gt;" ",IF(OR(AU327&lt;AR327,AU327=AR327),0.8*AW327*AP327/(5*$AX$309*10),0.8*AW327*AP327/($AX$309*10))," ")</f>
        <v xml:space="preserve"> </v>
      </c>
      <c r="BE327" s="353">
        <f t="shared" si="866"/>
        <v>0</v>
      </c>
      <c r="BF327" s="232"/>
      <c r="BH327" s="418"/>
      <c r="BI327" s="419"/>
      <c r="BJ327" s="202"/>
      <c r="BK327" s="419"/>
      <c r="BL327" s="213"/>
    </row>
    <row r="328" spans="33:64">
      <c r="AG328" s="370"/>
      <c r="AH328" s="370"/>
      <c r="AI328" s="364"/>
      <c r="AJ328" s="425"/>
      <c r="AK328" s="364"/>
      <c r="AL328" s="370"/>
      <c r="AM328" s="459"/>
      <c r="AN328" s="376"/>
      <c r="AO328" s="353"/>
      <c r="AP328" s="353"/>
      <c r="AQ328" s="183" t="str">
        <f>IF(AP327&lt;&gt;" ",MAX($AQ$9:AQ327)+AP327," ")</f>
        <v xml:space="preserve"> </v>
      </c>
      <c r="AR328" s="183" t="str">
        <f>IF(AP327&lt;&gt;" ",MAX($AR$9:AR327)+$AJ$29*AP327," ")</f>
        <v xml:space="preserve"> </v>
      </c>
      <c r="AS328" s="86" t="str">
        <f t="shared" si="952"/>
        <v xml:space="preserve"> </v>
      </c>
      <c r="AT328" s="264" t="str" cm="1">
        <f t="array" ref="AT328">IF(AS328&lt;&gt;" ",Interpol(31,8,Служебный!$H$54:$H$84,Служебный!$I$53:$P$53,Служебный!$I$54:$P$84,'Осадка поля'!$AS328,'Осадка поля'!$B$6)," ")</f>
        <v xml:space="preserve"> </v>
      </c>
      <c r="AU328" s="183" t="str">
        <f t="shared" si="787"/>
        <v xml:space="preserve"> </v>
      </c>
      <c r="AV328" s="183" t="str">
        <f>IF(AP327&lt;&gt;" ",AR328*0.5," ")</f>
        <v xml:space="preserve"> </v>
      </c>
      <c r="AW328" s="353"/>
      <c r="AX328" s="353"/>
      <c r="AY328" s="444"/>
      <c r="AZ328" s="444"/>
      <c r="BA328" s="445"/>
      <c r="BB328" s="444"/>
      <c r="BC328" s="353"/>
      <c r="BD328" s="444"/>
      <c r="BE328" s="353"/>
      <c r="BF328" s="211"/>
      <c r="BH328" s="458"/>
      <c r="BI328" s="457"/>
      <c r="BJ328" s="203"/>
      <c r="BK328" s="457"/>
      <c r="BL328" s="214"/>
    </row>
  </sheetData>
  <mergeCells count="1804">
    <mergeCell ref="A22:B22"/>
    <mergeCell ref="A25:B25"/>
    <mergeCell ref="A28:B28"/>
    <mergeCell ref="A32:B32"/>
    <mergeCell ref="BK9:BK28"/>
    <mergeCell ref="BK29:BK48"/>
    <mergeCell ref="BK49:BK68"/>
    <mergeCell ref="BK69:BK88"/>
    <mergeCell ref="BK89:BK108"/>
    <mergeCell ref="BK109:BK128"/>
    <mergeCell ref="BI9:BI28"/>
    <mergeCell ref="BI29:BI48"/>
    <mergeCell ref="BI49:BI68"/>
    <mergeCell ref="BI69:BI88"/>
    <mergeCell ref="BI89:BI108"/>
    <mergeCell ref="BI109:BI128"/>
    <mergeCell ref="BH9:BH28"/>
    <mergeCell ref="BH29:BH48"/>
    <mergeCell ref="BH49:BH68"/>
    <mergeCell ref="BH69:BH88"/>
    <mergeCell ref="BH89:BH108"/>
    <mergeCell ref="A36:B36"/>
    <mergeCell ref="BE93:BE94"/>
    <mergeCell ref="BE95:BE96"/>
    <mergeCell ref="BE97:BE98"/>
    <mergeCell ref="BE99:BE100"/>
    <mergeCell ref="BE101:BE102"/>
    <mergeCell ref="BE103:BE104"/>
    <mergeCell ref="BE81:BE82"/>
    <mergeCell ref="BE83:BE84"/>
    <mergeCell ref="BE85:BE86"/>
    <mergeCell ref="BE87:BE88"/>
    <mergeCell ref="BE89:BE90"/>
    <mergeCell ref="BE91:BE92"/>
    <mergeCell ref="BH109:BH128"/>
    <mergeCell ref="BE117:BE118"/>
    <mergeCell ref="BE119:BE120"/>
    <mergeCell ref="BE121:BE122"/>
    <mergeCell ref="BE123:BE124"/>
    <mergeCell ref="BE125:BE126"/>
    <mergeCell ref="BE127:BE128"/>
    <mergeCell ref="BE105:BE106"/>
    <mergeCell ref="BE107:BE108"/>
    <mergeCell ref="BE109:BE110"/>
    <mergeCell ref="BE111:BE112"/>
    <mergeCell ref="BE113:BE114"/>
    <mergeCell ref="BE115:BE116"/>
    <mergeCell ref="BE55:BE56"/>
    <mergeCell ref="BE33:BE34"/>
    <mergeCell ref="BE35:BE36"/>
    <mergeCell ref="BE37:BE38"/>
    <mergeCell ref="BE39:BE40"/>
    <mergeCell ref="BE41:BE42"/>
    <mergeCell ref="BE43:BE44"/>
    <mergeCell ref="BE69:BE70"/>
    <mergeCell ref="BE71:BE72"/>
    <mergeCell ref="BE73:BE74"/>
    <mergeCell ref="BE75:BE76"/>
    <mergeCell ref="BE77:BE78"/>
    <mergeCell ref="BE79:BE80"/>
    <mergeCell ref="BE57:BE58"/>
    <mergeCell ref="BE59:BE60"/>
    <mergeCell ref="BE61:BE62"/>
    <mergeCell ref="BE63:BE64"/>
    <mergeCell ref="BE65:BE66"/>
    <mergeCell ref="BE67:BE68"/>
    <mergeCell ref="BE21:BE22"/>
    <mergeCell ref="BE23:BE24"/>
    <mergeCell ref="BE25:BE26"/>
    <mergeCell ref="BE27:BE28"/>
    <mergeCell ref="BE29:BE30"/>
    <mergeCell ref="BE31:BE32"/>
    <mergeCell ref="BE9:BE10"/>
    <mergeCell ref="BE11:BE12"/>
    <mergeCell ref="BE13:BE14"/>
    <mergeCell ref="BE15:BE16"/>
    <mergeCell ref="BE17:BE18"/>
    <mergeCell ref="BE19:BE20"/>
    <mergeCell ref="BE45:BE46"/>
    <mergeCell ref="BE47:BE48"/>
    <mergeCell ref="BE49:BE50"/>
    <mergeCell ref="BE51:BE52"/>
    <mergeCell ref="BE53:BE54"/>
    <mergeCell ref="AW91:AW92"/>
    <mergeCell ref="AW69:AW70"/>
    <mergeCell ref="AW71:AW72"/>
    <mergeCell ref="AW73:AW74"/>
    <mergeCell ref="AW75:AW76"/>
    <mergeCell ref="AW77:AW78"/>
    <mergeCell ref="AW79:AW80"/>
    <mergeCell ref="AX9:AX28"/>
    <mergeCell ref="AX29:AX48"/>
    <mergeCell ref="AX49:AX68"/>
    <mergeCell ref="AX69:AX88"/>
    <mergeCell ref="AX89:AX108"/>
    <mergeCell ref="AX109:AX128"/>
    <mergeCell ref="AW117:AW118"/>
    <mergeCell ref="AW119:AW120"/>
    <mergeCell ref="AW121:AW122"/>
    <mergeCell ref="AW123:AW124"/>
    <mergeCell ref="AW125:AW126"/>
    <mergeCell ref="AW127:AW128"/>
    <mergeCell ref="AW105:AW106"/>
    <mergeCell ref="AW107:AW108"/>
    <mergeCell ref="AW109:AW110"/>
    <mergeCell ref="AW111:AW112"/>
    <mergeCell ref="AW113:AW114"/>
    <mergeCell ref="AW115:AW116"/>
    <mergeCell ref="AW93:AW94"/>
    <mergeCell ref="AW95:AW96"/>
    <mergeCell ref="AW97:AW98"/>
    <mergeCell ref="AW99:AW100"/>
    <mergeCell ref="AW101:AW102"/>
    <mergeCell ref="AW103:AW104"/>
    <mergeCell ref="AW57:AW58"/>
    <mergeCell ref="AW67:AW68"/>
    <mergeCell ref="AW45:AW46"/>
    <mergeCell ref="AW47:AW48"/>
    <mergeCell ref="AW49:AW50"/>
    <mergeCell ref="AW51:AW52"/>
    <mergeCell ref="AW53:AW54"/>
    <mergeCell ref="AW55:AW56"/>
    <mergeCell ref="AW81:AW82"/>
    <mergeCell ref="AW83:AW84"/>
    <mergeCell ref="AW85:AW86"/>
    <mergeCell ref="AW87:AW88"/>
    <mergeCell ref="AW89:AW90"/>
    <mergeCell ref="AW9:AW10"/>
    <mergeCell ref="AW11:AW12"/>
    <mergeCell ref="AW13:AW14"/>
    <mergeCell ref="AW15:AW16"/>
    <mergeCell ref="AW17:AW18"/>
    <mergeCell ref="AW19:AW20"/>
    <mergeCell ref="AW21:AW22"/>
    <mergeCell ref="AW23:AW24"/>
    <mergeCell ref="AW25:AW26"/>
    <mergeCell ref="AW27:AW28"/>
    <mergeCell ref="AW29:AW30"/>
    <mergeCell ref="AW31:AW32"/>
    <mergeCell ref="AP117:AP118"/>
    <mergeCell ref="AO119:AO120"/>
    <mergeCell ref="AP119:AP120"/>
    <mergeCell ref="AO121:AO122"/>
    <mergeCell ref="AP121:AP122"/>
    <mergeCell ref="AO123:AO124"/>
    <mergeCell ref="AP123:AP124"/>
    <mergeCell ref="AO97:AO98"/>
    <mergeCell ref="AP97:AP98"/>
    <mergeCell ref="AO99:AO100"/>
    <mergeCell ref="AP99:AP100"/>
    <mergeCell ref="AO101:AO102"/>
    <mergeCell ref="AP101:AP102"/>
    <mergeCell ref="AP89:AP90"/>
    <mergeCell ref="AW33:AW34"/>
    <mergeCell ref="AW35:AW36"/>
    <mergeCell ref="AW37:AW38"/>
    <mergeCell ref="AW39:AW40"/>
    <mergeCell ref="AW41:AW42"/>
    <mergeCell ref="AW43:AW44"/>
    <mergeCell ref="AO91:AO92"/>
    <mergeCell ref="AP91:AP92"/>
    <mergeCell ref="AO93:AO94"/>
    <mergeCell ref="AP93:AP94"/>
    <mergeCell ref="AO95:AO96"/>
    <mergeCell ref="AP95:AP96"/>
    <mergeCell ref="AO87:AO88"/>
    <mergeCell ref="AP87:AP88"/>
    <mergeCell ref="AW59:AW60"/>
    <mergeCell ref="AW61:AW62"/>
    <mergeCell ref="AW63:AW64"/>
    <mergeCell ref="AW65:AW66"/>
    <mergeCell ref="AH109:AH128"/>
    <mergeCell ref="AI109:AI128"/>
    <mergeCell ref="AJ109:AJ128"/>
    <mergeCell ref="AK109:AK128"/>
    <mergeCell ref="AL109:AL128"/>
    <mergeCell ref="AM109:AM128"/>
    <mergeCell ref="AO103:AO104"/>
    <mergeCell ref="AP103:AP104"/>
    <mergeCell ref="AO105:AO106"/>
    <mergeCell ref="AP105:AP106"/>
    <mergeCell ref="AO107:AO108"/>
    <mergeCell ref="AP107:AP108"/>
    <mergeCell ref="AN109:AN128"/>
    <mergeCell ref="AO109:AO110"/>
    <mergeCell ref="AP109:AP110"/>
    <mergeCell ref="AO111:AO112"/>
    <mergeCell ref="AP111:AP112"/>
    <mergeCell ref="AO113:AO114"/>
    <mergeCell ref="AP113:AP114"/>
    <mergeCell ref="AO115:AO116"/>
    <mergeCell ref="AP115:AP116"/>
    <mergeCell ref="AO117:AO118"/>
    <mergeCell ref="AO125:AO126"/>
    <mergeCell ref="AP125:AP126"/>
    <mergeCell ref="AO127:AO128"/>
    <mergeCell ref="AP127:AP128"/>
    <mergeCell ref="AH89:AH108"/>
    <mergeCell ref="AI89:AI108"/>
    <mergeCell ref="AJ89:AJ108"/>
    <mergeCell ref="AK89:AK108"/>
    <mergeCell ref="AL89:AL108"/>
    <mergeCell ref="AM89:AM108"/>
    <mergeCell ref="AN89:AN108"/>
    <mergeCell ref="AO89:AO90"/>
    <mergeCell ref="AH69:AH88"/>
    <mergeCell ref="AI69:AI88"/>
    <mergeCell ref="AJ69:AJ88"/>
    <mergeCell ref="AK69:AK88"/>
    <mergeCell ref="AL69:AL88"/>
    <mergeCell ref="AM69:AM88"/>
    <mergeCell ref="AN69:AN88"/>
    <mergeCell ref="AO81:AO82"/>
    <mergeCell ref="AO69:AO70"/>
    <mergeCell ref="AP69:AP70"/>
    <mergeCell ref="AO71:AO72"/>
    <mergeCell ref="AP71:AP72"/>
    <mergeCell ref="AO73:AO74"/>
    <mergeCell ref="AP73:AP74"/>
    <mergeCell ref="AP65:AP66"/>
    <mergeCell ref="AO67:AO68"/>
    <mergeCell ref="AP67:AP68"/>
    <mergeCell ref="AP81:AP82"/>
    <mergeCell ref="AO83:AO84"/>
    <mergeCell ref="AP83:AP84"/>
    <mergeCell ref="AO85:AO86"/>
    <mergeCell ref="AP85:AP86"/>
    <mergeCell ref="AO75:AO76"/>
    <mergeCell ref="AP75:AP76"/>
    <mergeCell ref="AO77:AO78"/>
    <mergeCell ref="AP77:AP78"/>
    <mergeCell ref="AO79:AO80"/>
    <mergeCell ref="AP79:AP80"/>
    <mergeCell ref="AN29:AN48"/>
    <mergeCell ref="AO29:AO30"/>
    <mergeCell ref="AO31:AO32"/>
    <mergeCell ref="AP41:AP42"/>
    <mergeCell ref="AP43:AP44"/>
    <mergeCell ref="AP45:AP46"/>
    <mergeCell ref="AP47:AP48"/>
    <mergeCell ref="AO41:AO42"/>
    <mergeCell ref="AO43:AO44"/>
    <mergeCell ref="AO45:AO46"/>
    <mergeCell ref="AO47:AO48"/>
    <mergeCell ref="AP57:AP58"/>
    <mergeCell ref="AO59:AO60"/>
    <mergeCell ref="AP59:AP60"/>
    <mergeCell ref="AO61:AO62"/>
    <mergeCell ref="AP61:AP62"/>
    <mergeCell ref="AO63:AO64"/>
    <mergeCell ref="AP63:AP64"/>
    <mergeCell ref="AP49:AP50"/>
    <mergeCell ref="AO51:AO52"/>
    <mergeCell ref="AP51:AP52"/>
    <mergeCell ref="AO53:AO54"/>
    <mergeCell ref="AP53:AP54"/>
    <mergeCell ref="AO55:AO56"/>
    <mergeCell ref="AP55:AP56"/>
    <mergeCell ref="AP9:AP10"/>
    <mergeCell ref="AP11:AP12"/>
    <mergeCell ref="AP13:AP14"/>
    <mergeCell ref="AP15:AP16"/>
    <mergeCell ref="AP17:AP18"/>
    <mergeCell ref="A11:A13"/>
    <mergeCell ref="B11:B13"/>
    <mergeCell ref="AP29:AP30"/>
    <mergeCell ref="AP31:AP32"/>
    <mergeCell ref="AJ29:AJ48"/>
    <mergeCell ref="AI29:AI48"/>
    <mergeCell ref="AH29:AH48"/>
    <mergeCell ref="AP19:AP20"/>
    <mergeCell ref="AP21:AP22"/>
    <mergeCell ref="AP23:AP24"/>
    <mergeCell ref="AP25:AP26"/>
    <mergeCell ref="AP27:AP28"/>
    <mergeCell ref="AO9:AO10"/>
    <mergeCell ref="AO11:AO12"/>
    <mergeCell ref="AO13:AO14"/>
    <mergeCell ref="AO15:AO16"/>
    <mergeCell ref="AO17:AO18"/>
    <mergeCell ref="AO33:AO34"/>
    <mergeCell ref="AO35:AO36"/>
    <mergeCell ref="AP33:AP34"/>
    <mergeCell ref="AP35:AP36"/>
    <mergeCell ref="AP37:AP38"/>
    <mergeCell ref="AP39:AP40"/>
    <mergeCell ref="AO37:AO38"/>
    <mergeCell ref="AO39:AO40"/>
    <mergeCell ref="AM29:AM48"/>
    <mergeCell ref="AL29:AL48"/>
    <mergeCell ref="AG9:AG28"/>
    <mergeCell ref="AG29:AG48"/>
    <mergeCell ref="AG49:AG68"/>
    <mergeCell ref="AG69:AG88"/>
    <mergeCell ref="AG89:AG108"/>
    <mergeCell ref="AG109:AG128"/>
    <mergeCell ref="AG129:AG148"/>
    <mergeCell ref="AH129:AH148"/>
    <mergeCell ref="AI129:AI148"/>
    <mergeCell ref="AO19:AO20"/>
    <mergeCell ref="AO21:AO22"/>
    <mergeCell ref="AO23:AO24"/>
    <mergeCell ref="AO25:AO26"/>
    <mergeCell ref="AO27:AO28"/>
    <mergeCell ref="AH49:AH68"/>
    <mergeCell ref="AI49:AI68"/>
    <mergeCell ref="AN9:AN28"/>
    <mergeCell ref="AM9:AM28"/>
    <mergeCell ref="AL9:AL28"/>
    <mergeCell ref="AK9:AK28"/>
    <mergeCell ref="AJ9:AJ28"/>
    <mergeCell ref="AI9:AI28"/>
    <mergeCell ref="AH9:AH28"/>
    <mergeCell ref="AJ49:AJ68"/>
    <mergeCell ref="AK49:AK68"/>
    <mergeCell ref="AL49:AL68"/>
    <mergeCell ref="AM49:AM68"/>
    <mergeCell ref="AN49:AN68"/>
    <mergeCell ref="AO49:AO50"/>
    <mergeCell ref="AO57:AO58"/>
    <mergeCell ref="AO65:AO66"/>
    <mergeCell ref="AK29:AK48"/>
    <mergeCell ref="AJ129:AJ148"/>
    <mergeCell ref="AK129:AK148"/>
    <mergeCell ref="AL129:AL148"/>
    <mergeCell ref="AM129:AM148"/>
    <mergeCell ref="AN129:AN148"/>
    <mergeCell ref="AO129:AO130"/>
    <mergeCell ref="AP129:AP130"/>
    <mergeCell ref="AW129:AW130"/>
    <mergeCell ref="AX129:AX148"/>
    <mergeCell ref="AO135:AO136"/>
    <mergeCell ref="AP135:AP136"/>
    <mergeCell ref="AW135:AW136"/>
    <mergeCell ref="AO141:AO142"/>
    <mergeCell ref="AP141:AP142"/>
    <mergeCell ref="AW141:AW142"/>
    <mergeCell ref="AO147:AO148"/>
    <mergeCell ref="AP147:AP148"/>
    <mergeCell ref="AW147:AW148"/>
    <mergeCell ref="BE135:BE136"/>
    <mergeCell ref="AO137:AO138"/>
    <mergeCell ref="AP137:AP138"/>
    <mergeCell ref="AW137:AW138"/>
    <mergeCell ref="BE137:BE138"/>
    <mergeCell ref="AO139:AO140"/>
    <mergeCell ref="AP139:AP140"/>
    <mergeCell ref="AW139:AW140"/>
    <mergeCell ref="BE139:BE140"/>
    <mergeCell ref="BC135:BC136"/>
    <mergeCell ref="BC137:BC138"/>
    <mergeCell ref="BC139:BC140"/>
    <mergeCell ref="BE129:BE130"/>
    <mergeCell ref="AO131:AO132"/>
    <mergeCell ref="AP131:AP132"/>
    <mergeCell ref="AW131:AW132"/>
    <mergeCell ref="BE131:BE132"/>
    <mergeCell ref="AO133:AO134"/>
    <mergeCell ref="AP133:AP134"/>
    <mergeCell ref="AW133:AW134"/>
    <mergeCell ref="BE133:BE134"/>
    <mergeCell ref="AO155:AO156"/>
    <mergeCell ref="AP155:AP156"/>
    <mergeCell ref="BE141:BE142"/>
    <mergeCell ref="AO143:AO144"/>
    <mergeCell ref="AP143:AP144"/>
    <mergeCell ref="AW143:AW144"/>
    <mergeCell ref="BE143:BE144"/>
    <mergeCell ref="AO145:AO146"/>
    <mergeCell ref="AP145:AP146"/>
    <mergeCell ref="AW145:AW146"/>
    <mergeCell ref="BE145:BE146"/>
    <mergeCell ref="BC141:BC142"/>
    <mergeCell ref="BC143:BC144"/>
    <mergeCell ref="BC145:BC146"/>
    <mergeCell ref="AY145:AY146"/>
    <mergeCell ref="AZ145:AZ146"/>
    <mergeCell ref="BA145:BA146"/>
    <mergeCell ref="BB145:BB146"/>
    <mergeCell ref="BD145:BD146"/>
    <mergeCell ref="AW155:AW156"/>
    <mergeCell ref="BE155:BE156"/>
    <mergeCell ref="AY147:AY148"/>
    <mergeCell ref="AY149:AY150"/>
    <mergeCell ref="AY151:AY152"/>
    <mergeCell ref="AY153:AY154"/>
    <mergeCell ref="AY155:AY156"/>
    <mergeCell ref="BA147:BA148"/>
    <mergeCell ref="BA149:BA150"/>
    <mergeCell ref="BA151:BA152"/>
    <mergeCell ref="BA153:BA154"/>
    <mergeCell ref="BA155:BA156"/>
    <mergeCell ref="BD147:BD148"/>
    <mergeCell ref="AO157:AO158"/>
    <mergeCell ref="AP157:AP158"/>
    <mergeCell ref="AW157:AW158"/>
    <mergeCell ref="BE157:BE158"/>
    <mergeCell ref="AO159:AO160"/>
    <mergeCell ref="AP159:AP160"/>
    <mergeCell ref="AW159:AW160"/>
    <mergeCell ref="BE159:BE160"/>
    <mergeCell ref="BE147:BE148"/>
    <mergeCell ref="AG149:AG168"/>
    <mergeCell ref="AH149:AH168"/>
    <mergeCell ref="AI149:AI168"/>
    <mergeCell ref="AJ149:AJ168"/>
    <mergeCell ref="AK149:AK168"/>
    <mergeCell ref="AL149:AL168"/>
    <mergeCell ref="AM149:AM168"/>
    <mergeCell ref="AN149:AN168"/>
    <mergeCell ref="AO149:AO150"/>
    <mergeCell ref="AP149:AP150"/>
    <mergeCell ref="AW149:AW150"/>
    <mergeCell ref="AX149:AX168"/>
    <mergeCell ref="BE149:BE150"/>
    <mergeCell ref="AO151:AO152"/>
    <mergeCell ref="AP151:AP152"/>
    <mergeCell ref="AW151:AW152"/>
    <mergeCell ref="BE151:BE152"/>
    <mergeCell ref="AO153:AO154"/>
    <mergeCell ref="AP153:AP154"/>
    <mergeCell ref="AW153:AW154"/>
    <mergeCell ref="BE153:BE154"/>
    <mergeCell ref="AO161:AO162"/>
    <mergeCell ref="AP161:AP162"/>
    <mergeCell ref="AW161:AW162"/>
    <mergeCell ref="BE161:BE162"/>
    <mergeCell ref="AO163:AO164"/>
    <mergeCell ref="AP163:AP164"/>
    <mergeCell ref="AW163:AW164"/>
    <mergeCell ref="BE163:BE164"/>
    <mergeCell ref="AO165:AO166"/>
    <mergeCell ref="AP165:AP166"/>
    <mergeCell ref="AW165:AW166"/>
    <mergeCell ref="BE165:BE166"/>
    <mergeCell ref="BC165:BC166"/>
    <mergeCell ref="AY165:AY166"/>
    <mergeCell ref="AZ165:AZ166"/>
    <mergeCell ref="BA165:BA166"/>
    <mergeCell ref="BB165:BB166"/>
    <mergeCell ref="BD165:BD166"/>
    <mergeCell ref="AO167:AO168"/>
    <mergeCell ref="AP167:AP168"/>
    <mergeCell ref="AW167:AW168"/>
    <mergeCell ref="BE167:BE168"/>
    <mergeCell ref="BC167:BC168"/>
    <mergeCell ref="AZ167:AZ168"/>
    <mergeCell ref="BB167:BB168"/>
    <mergeCell ref="BD167:BD168"/>
    <mergeCell ref="AG169:AG188"/>
    <mergeCell ref="AH169:AH188"/>
    <mergeCell ref="AI169:AI188"/>
    <mergeCell ref="AJ169:AJ188"/>
    <mergeCell ref="AK169:AK188"/>
    <mergeCell ref="AL169:AL188"/>
    <mergeCell ref="AM169:AM188"/>
    <mergeCell ref="AN169:AN188"/>
    <mergeCell ref="AO169:AO170"/>
    <mergeCell ref="AP169:AP170"/>
    <mergeCell ref="AW169:AW170"/>
    <mergeCell ref="AX169:AX188"/>
    <mergeCell ref="BE169:BE170"/>
    <mergeCell ref="AO171:AO172"/>
    <mergeCell ref="AP171:AP172"/>
    <mergeCell ref="AW171:AW172"/>
    <mergeCell ref="BE171:BE172"/>
    <mergeCell ref="AO173:AO174"/>
    <mergeCell ref="AP173:AP174"/>
    <mergeCell ref="AW173:AW174"/>
    <mergeCell ref="AO179:AO180"/>
    <mergeCell ref="AP179:AP180"/>
    <mergeCell ref="AW179:AW180"/>
    <mergeCell ref="BE179:BE180"/>
    <mergeCell ref="AO181:AO182"/>
    <mergeCell ref="AP181:AP182"/>
    <mergeCell ref="AW181:AW182"/>
    <mergeCell ref="BE181:BE182"/>
    <mergeCell ref="AO183:AO184"/>
    <mergeCell ref="AP183:AP184"/>
    <mergeCell ref="AW183:AW184"/>
    <mergeCell ref="BE183:BE184"/>
    <mergeCell ref="BE173:BE174"/>
    <mergeCell ref="AO175:AO176"/>
    <mergeCell ref="AP175:AP176"/>
    <mergeCell ref="AW175:AW176"/>
    <mergeCell ref="BE175:BE176"/>
    <mergeCell ref="AO177:AO178"/>
    <mergeCell ref="AP177:AP178"/>
    <mergeCell ref="AW177:AW178"/>
    <mergeCell ref="BE177:BE178"/>
    <mergeCell ref="AO185:AO186"/>
    <mergeCell ref="AP185:AP186"/>
    <mergeCell ref="AW185:AW186"/>
    <mergeCell ref="BE185:BE186"/>
    <mergeCell ref="AO187:AO188"/>
    <mergeCell ref="AP187:AP188"/>
    <mergeCell ref="AW187:AW188"/>
    <mergeCell ref="BE187:BE188"/>
    <mergeCell ref="BD185:BD186"/>
    <mergeCell ref="BD187:BD188"/>
    <mergeCell ref="BC185:BC186"/>
    <mergeCell ref="BC187:BC188"/>
    <mergeCell ref="BB185:BB186"/>
    <mergeCell ref="BB187:BB188"/>
    <mergeCell ref="BD175:BD176"/>
    <mergeCell ref="BD177:BD178"/>
    <mergeCell ref="BD179:BD180"/>
    <mergeCell ref="BD181:BD182"/>
    <mergeCell ref="BD183:BD184"/>
    <mergeCell ref="AG189:AG208"/>
    <mergeCell ref="AH189:AH208"/>
    <mergeCell ref="AI189:AI208"/>
    <mergeCell ref="AJ189:AJ208"/>
    <mergeCell ref="AK189:AK208"/>
    <mergeCell ref="AL189:AL208"/>
    <mergeCell ref="AM189:AM208"/>
    <mergeCell ref="AN189:AN208"/>
    <mergeCell ref="AO189:AO190"/>
    <mergeCell ref="AP189:AP190"/>
    <mergeCell ref="AW189:AW190"/>
    <mergeCell ref="AX189:AX208"/>
    <mergeCell ref="BE189:BE190"/>
    <mergeCell ref="AO191:AO192"/>
    <mergeCell ref="AP191:AP192"/>
    <mergeCell ref="AW191:AW192"/>
    <mergeCell ref="BA203:BA204"/>
    <mergeCell ref="BA205:BA206"/>
    <mergeCell ref="BA207:BA208"/>
    <mergeCell ref="AO197:AO198"/>
    <mergeCell ref="AP197:AP198"/>
    <mergeCell ref="AW197:AW198"/>
    <mergeCell ref="BE197:BE198"/>
    <mergeCell ref="AO199:AO200"/>
    <mergeCell ref="AP199:AP200"/>
    <mergeCell ref="AW199:AW200"/>
    <mergeCell ref="BE199:BE200"/>
    <mergeCell ref="AO201:AO202"/>
    <mergeCell ref="AP201:AP202"/>
    <mergeCell ref="AW201:AW202"/>
    <mergeCell ref="BE201:BE202"/>
    <mergeCell ref="BE191:BE192"/>
    <mergeCell ref="AO193:AO194"/>
    <mergeCell ref="AP193:AP194"/>
    <mergeCell ref="AW193:AW194"/>
    <mergeCell ref="BE193:BE194"/>
    <mergeCell ref="AO195:AO196"/>
    <mergeCell ref="AP195:AP196"/>
    <mergeCell ref="AW195:AW196"/>
    <mergeCell ref="BE195:BE196"/>
    <mergeCell ref="AG209:AG228"/>
    <mergeCell ref="AH209:AH228"/>
    <mergeCell ref="AI209:AI228"/>
    <mergeCell ref="AJ209:AJ228"/>
    <mergeCell ref="AK209:AK228"/>
    <mergeCell ref="AL209:AL228"/>
    <mergeCell ref="AM209:AM228"/>
    <mergeCell ref="AN209:AN228"/>
    <mergeCell ref="AO209:AO210"/>
    <mergeCell ref="AO221:AO222"/>
    <mergeCell ref="AO227:AO228"/>
    <mergeCell ref="AO203:AO204"/>
    <mergeCell ref="AP203:AP204"/>
    <mergeCell ref="AW203:AW204"/>
    <mergeCell ref="BE203:BE204"/>
    <mergeCell ref="AO205:AO206"/>
    <mergeCell ref="AP205:AP206"/>
    <mergeCell ref="AW205:AW206"/>
    <mergeCell ref="BE205:BE206"/>
    <mergeCell ref="AO207:AO208"/>
    <mergeCell ref="AP207:AP208"/>
    <mergeCell ref="AW207:AW208"/>
    <mergeCell ref="BE207:BE208"/>
    <mergeCell ref="BC203:BC204"/>
    <mergeCell ref="AP209:AP210"/>
    <mergeCell ref="AW209:AW210"/>
    <mergeCell ref="AX209:AX228"/>
    <mergeCell ref="BE209:BE210"/>
    <mergeCell ref="AO211:AO212"/>
    <mergeCell ref="AP211:AP212"/>
    <mergeCell ref="AW211:AW212"/>
    <mergeCell ref="BE211:BE212"/>
    <mergeCell ref="AO213:AO214"/>
    <mergeCell ref="AP213:AP214"/>
    <mergeCell ref="AW213:AW214"/>
    <mergeCell ref="BE213:BE214"/>
    <mergeCell ref="AO215:AO216"/>
    <mergeCell ref="AP215:AP216"/>
    <mergeCell ref="AW215:AW216"/>
    <mergeCell ref="BE215:BE216"/>
    <mergeCell ref="AO217:AO218"/>
    <mergeCell ref="AP217:AP218"/>
    <mergeCell ref="AW217:AW218"/>
    <mergeCell ref="BE217:BE218"/>
    <mergeCell ref="AO219:AO220"/>
    <mergeCell ref="AP219:AP220"/>
    <mergeCell ref="AW219:AW220"/>
    <mergeCell ref="BE219:BE220"/>
    <mergeCell ref="BC209:BC210"/>
    <mergeCell ref="BC211:BC212"/>
    <mergeCell ref="BC213:BC214"/>
    <mergeCell ref="BC215:BC216"/>
    <mergeCell ref="BC217:BC218"/>
    <mergeCell ref="BC219:BC220"/>
    <mergeCell ref="AZ209:AZ210"/>
    <mergeCell ref="AZ211:AZ212"/>
    <mergeCell ref="AO233:AO234"/>
    <mergeCell ref="AP233:AP234"/>
    <mergeCell ref="AW233:AW234"/>
    <mergeCell ref="BE233:BE234"/>
    <mergeCell ref="AP221:AP222"/>
    <mergeCell ref="AW221:AW222"/>
    <mergeCell ref="BE221:BE222"/>
    <mergeCell ref="AO223:AO224"/>
    <mergeCell ref="AP223:AP224"/>
    <mergeCell ref="AW223:AW224"/>
    <mergeCell ref="BE223:BE224"/>
    <mergeCell ref="AO225:AO226"/>
    <mergeCell ref="AP225:AP226"/>
    <mergeCell ref="AW225:AW226"/>
    <mergeCell ref="BE225:BE226"/>
    <mergeCell ref="BB221:BB222"/>
    <mergeCell ref="BB223:BB224"/>
    <mergeCell ref="BB225:BB226"/>
    <mergeCell ref="BD221:BD222"/>
    <mergeCell ref="BD223:BD224"/>
    <mergeCell ref="BD225:BD226"/>
    <mergeCell ref="BD229:BD230"/>
    <mergeCell ref="BD231:BD232"/>
    <mergeCell ref="BD233:BD234"/>
    <mergeCell ref="BC221:BC222"/>
    <mergeCell ref="BC223:BC224"/>
    <mergeCell ref="BC225:BC226"/>
    <mergeCell ref="BD227:BD228"/>
    <mergeCell ref="AO235:AO236"/>
    <mergeCell ref="AP235:AP236"/>
    <mergeCell ref="AW235:AW236"/>
    <mergeCell ref="BE235:BE236"/>
    <mergeCell ref="AO237:AO238"/>
    <mergeCell ref="AP237:AP238"/>
    <mergeCell ref="AW237:AW238"/>
    <mergeCell ref="BE237:BE238"/>
    <mergeCell ref="AO239:AO240"/>
    <mergeCell ref="AP239:AP240"/>
    <mergeCell ref="AW239:AW240"/>
    <mergeCell ref="BE239:BE240"/>
    <mergeCell ref="AP227:AP228"/>
    <mergeCell ref="AW227:AW228"/>
    <mergeCell ref="BE227:BE228"/>
    <mergeCell ref="AG229:AG248"/>
    <mergeCell ref="AH229:AH248"/>
    <mergeCell ref="AI229:AI248"/>
    <mergeCell ref="AJ229:AJ248"/>
    <mergeCell ref="AK229:AK248"/>
    <mergeCell ref="AL229:AL248"/>
    <mergeCell ref="AM229:AM248"/>
    <mergeCell ref="AN229:AN248"/>
    <mergeCell ref="AO229:AO230"/>
    <mergeCell ref="AP229:AP230"/>
    <mergeCell ref="AW229:AW230"/>
    <mergeCell ref="AX229:AX248"/>
    <mergeCell ref="BE229:BE230"/>
    <mergeCell ref="AO231:AO232"/>
    <mergeCell ref="AP231:AP232"/>
    <mergeCell ref="AW231:AW232"/>
    <mergeCell ref="BE231:BE232"/>
    <mergeCell ref="AW253:AW254"/>
    <mergeCell ref="AO241:AO242"/>
    <mergeCell ref="AP241:AP242"/>
    <mergeCell ref="AW241:AW242"/>
    <mergeCell ref="BE241:BE242"/>
    <mergeCell ref="AO243:AO244"/>
    <mergeCell ref="AP243:AP244"/>
    <mergeCell ref="AW243:AW244"/>
    <mergeCell ref="BE243:BE244"/>
    <mergeCell ref="AO245:AO246"/>
    <mergeCell ref="AP245:AP246"/>
    <mergeCell ref="AW245:AW246"/>
    <mergeCell ref="BE245:BE246"/>
    <mergeCell ref="BC245:BC246"/>
    <mergeCell ref="AY245:AY246"/>
    <mergeCell ref="AZ245:AZ246"/>
    <mergeCell ref="BA245:BA246"/>
    <mergeCell ref="BB245:BB246"/>
    <mergeCell ref="BD245:BD246"/>
    <mergeCell ref="BE253:BE254"/>
    <mergeCell ref="BC249:BC250"/>
    <mergeCell ref="BC251:BC252"/>
    <mergeCell ref="BC253:BC254"/>
    <mergeCell ref="AZ247:AZ248"/>
    <mergeCell ref="AZ249:AZ250"/>
    <mergeCell ref="AZ251:AZ252"/>
    <mergeCell ref="AZ253:AZ254"/>
    <mergeCell ref="BB247:BB248"/>
    <mergeCell ref="BB249:BB250"/>
    <mergeCell ref="BB251:BB252"/>
    <mergeCell ref="BB253:BB254"/>
    <mergeCell ref="AO255:AO256"/>
    <mergeCell ref="AP255:AP256"/>
    <mergeCell ref="AW255:AW256"/>
    <mergeCell ref="BE255:BE256"/>
    <mergeCell ref="AO257:AO258"/>
    <mergeCell ref="AP257:AP258"/>
    <mergeCell ref="AW257:AW258"/>
    <mergeCell ref="BE257:BE258"/>
    <mergeCell ref="AO247:AO248"/>
    <mergeCell ref="AP247:AP248"/>
    <mergeCell ref="AW247:AW248"/>
    <mergeCell ref="BE247:BE248"/>
    <mergeCell ref="AG249:AG268"/>
    <mergeCell ref="AH249:AH268"/>
    <mergeCell ref="AI249:AI268"/>
    <mergeCell ref="AJ249:AJ268"/>
    <mergeCell ref="AK249:AK268"/>
    <mergeCell ref="AL249:AL268"/>
    <mergeCell ref="AM249:AM268"/>
    <mergeCell ref="AN249:AN268"/>
    <mergeCell ref="AO249:AO250"/>
    <mergeCell ref="AP249:AP250"/>
    <mergeCell ref="AW249:AW250"/>
    <mergeCell ref="AX249:AX268"/>
    <mergeCell ref="BE249:BE250"/>
    <mergeCell ref="AO251:AO252"/>
    <mergeCell ref="AP251:AP252"/>
    <mergeCell ref="AW251:AW252"/>
    <mergeCell ref="BE251:BE252"/>
    <mergeCell ref="AO253:AO254"/>
    <mergeCell ref="AP253:AP254"/>
    <mergeCell ref="BC247:BC248"/>
    <mergeCell ref="AG269:AG288"/>
    <mergeCell ref="AH269:AH288"/>
    <mergeCell ref="AI269:AI288"/>
    <mergeCell ref="AJ269:AJ288"/>
    <mergeCell ref="AK269:AK288"/>
    <mergeCell ref="AL269:AL288"/>
    <mergeCell ref="AM269:AM288"/>
    <mergeCell ref="AN269:AN288"/>
    <mergeCell ref="AO269:AO270"/>
    <mergeCell ref="AP269:AP270"/>
    <mergeCell ref="AW269:AW270"/>
    <mergeCell ref="AX269:AX288"/>
    <mergeCell ref="BE269:BE270"/>
    <mergeCell ref="AO271:AO272"/>
    <mergeCell ref="AP271:AP272"/>
    <mergeCell ref="AW271:AW272"/>
    <mergeCell ref="AO259:AO260"/>
    <mergeCell ref="AP259:AP260"/>
    <mergeCell ref="AW259:AW260"/>
    <mergeCell ref="BE259:BE260"/>
    <mergeCell ref="AO261:AO262"/>
    <mergeCell ref="AP261:AP262"/>
    <mergeCell ref="AW261:AW262"/>
    <mergeCell ref="BE261:BE262"/>
    <mergeCell ref="AO263:AO264"/>
    <mergeCell ref="AP263:AP264"/>
    <mergeCell ref="AW263:AW264"/>
    <mergeCell ref="BE263:BE264"/>
    <mergeCell ref="BE271:BE272"/>
    <mergeCell ref="AO273:AO274"/>
    <mergeCell ref="AP273:AP274"/>
    <mergeCell ref="AW273:AW274"/>
    <mergeCell ref="BE273:BE274"/>
    <mergeCell ref="AO275:AO276"/>
    <mergeCell ref="AP275:AP276"/>
    <mergeCell ref="AW275:AW276"/>
    <mergeCell ref="BE275:BE276"/>
    <mergeCell ref="AO265:AO266"/>
    <mergeCell ref="AP265:AP266"/>
    <mergeCell ref="AW265:AW266"/>
    <mergeCell ref="BE265:BE266"/>
    <mergeCell ref="AO267:AO268"/>
    <mergeCell ref="AP267:AP268"/>
    <mergeCell ref="AW267:AW268"/>
    <mergeCell ref="BE267:BE268"/>
    <mergeCell ref="AY283:AY284"/>
    <mergeCell ref="AY285:AY286"/>
    <mergeCell ref="AY287:AY288"/>
    <mergeCell ref="AZ283:AZ284"/>
    <mergeCell ref="AZ285:AZ286"/>
    <mergeCell ref="AZ287:AZ288"/>
    <mergeCell ref="BA283:BA284"/>
    <mergeCell ref="BA285:BA286"/>
    <mergeCell ref="BA287:BA288"/>
    <mergeCell ref="AO277:AO278"/>
    <mergeCell ref="AP277:AP278"/>
    <mergeCell ref="AW277:AW278"/>
    <mergeCell ref="BE277:BE278"/>
    <mergeCell ref="AO279:AO280"/>
    <mergeCell ref="AP279:AP280"/>
    <mergeCell ref="AW279:AW280"/>
    <mergeCell ref="BE279:BE280"/>
    <mergeCell ref="AO281:AO282"/>
    <mergeCell ref="AP281:AP282"/>
    <mergeCell ref="AW281:AW282"/>
    <mergeCell ref="BE281:BE282"/>
    <mergeCell ref="AP289:AP290"/>
    <mergeCell ref="AW289:AW290"/>
    <mergeCell ref="AX289:AX308"/>
    <mergeCell ref="BE289:BE290"/>
    <mergeCell ref="AO291:AO292"/>
    <mergeCell ref="AP291:AP292"/>
    <mergeCell ref="AW291:AW292"/>
    <mergeCell ref="BE291:BE292"/>
    <mergeCell ref="AO293:AO294"/>
    <mergeCell ref="AP293:AP294"/>
    <mergeCell ref="AW293:AW294"/>
    <mergeCell ref="BE293:BE294"/>
    <mergeCell ref="AO295:AO296"/>
    <mergeCell ref="AP295:AP296"/>
    <mergeCell ref="AW295:AW296"/>
    <mergeCell ref="BE295:BE296"/>
    <mergeCell ref="AO297:AO298"/>
    <mergeCell ref="AP297:AP298"/>
    <mergeCell ref="AW297:AW298"/>
    <mergeCell ref="BE297:BE298"/>
    <mergeCell ref="AO299:AO300"/>
    <mergeCell ref="AP299:AP300"/>
    <mergeCell ref="AW299:AW300"/>
    <mergeCell ref="BE299:BE300"/>
    <mergeCell ref="AO289:AO290"/>
    <mergeCell ref="AO301:AO302"/>
    <mergeCell ref="AO307:AO308"/>
    <mergeCell ref="AP301:AP302"/>
    <mergeCell ref="AW301:AW302"/>
    <mergeCell ref="BE301:BE302"/>
    <mergeCell ref="AO303:AO304"/>
    <mergeCell ref="AP303:AP304"/>
    <mergeCell ref="AW303:AW304"/>
    <mergeCell ref="BE303:BE304"/>
    <mergeCell ref="AO305:AO306"/>
    <mergeCell ref="AP305:AP306"/>
    <mergeCell ref="AW305:AW306"/>
    <mergeCell ref="BE305:BE306"/>
    <mergeCell ref="BB301:BB302"/>
    <mergeCell ref="BB303:BB304"/>
    <mergeCell ref="BB305:BB306"/>
    <mergeCell ref="BD301:BD302"/>
    <mergeCell ref="BD303:BD304"/>
    <mergeCell ref="BD305:BD306"/>
    <mergeCell ref="AP307:AP308"/>
    <mergeCell ref="AW307:AW308"/>
    <mergeCell ref="BE307:BE308"/>
    <mergeCell ref="BD307:BD308"/>
    <mergeCell ref="AG309:AG328"/>
    <mergeCell ref="AH309:AH328"/>
    <mergeCell ref="AI309:AI328"/>
    <mergeCell ref="AJ309:AJ328"/>
    <mergeCell ref="AK309:AK328"/>
    <mergeCell ref="AL309:AL328"/>
    <mergeCell ref="AM309:AM328"/>
    <mergeCell ref="AN309:AN328"/>
    <mergeCell ref="AO309:AO310"/>
    <mergeCell ref="AP309:AP310"/>
    <mergeCell ref="AW309:AW310"/>
    <mergeCell ref="AX309:AX328"/>
    <mergeCell ref="BE309:BE310"/>
    <mergeCell ref="AO311:AO312"/>
    <mergeCell ref="AP311:AP312"/>
    <mergeCell ref="AW311:AW312"/>
    <mergeCell ref="BE311:BE312"/>
    <mergeCell ref="AO313:AO314"/>
    <mergeCell ref="AP313:AP314"/>
    <mergeCell ref="AW313:AW314"/>
    <mergeCell ref="BE313:BE314"/>
    <mergeCell ref="AO319:AO320"/>
    <mergeCell ref="AP319:AP320"/>
    <mergeCell ref="AW319:AW320"/>
    <mergeCell ref="BE319:BE320"/>
    <mergeCell ref="BC319:BC320"/>
    <mergeCell ref="BC321:BC322"/>
    <mergeCell ref="AZ321:AZ322"/>
    <mergeCell ref="BB321:BB322"/>
    <mergeCell ref="BC323:BC324"/>
    <mergeCell ref="BC327:BC328"/>
    <mergeCell ref="BD327:BD328"/>
    <mergeCell ref="AG289:AG308"/>
    <mergeCell ref="AH289:AH308"/>
    <mergeCell ref="AI289:AI308"/>
    <mergeCell ref="AJ289:AJ308"/>
    <mergeCell ref="AK289:AK308"/>
    <mergeCell ref="AL289:AL308"/>
    <mergeCell ref="AM289:AM308"/>
    <mergeCell ref="AN289:AN308"/>
    <mergeCell ref="AW321:AW322"/>
    <mergeCell ref="BE321:BE322"/>
    <mergeCell ref="AO323:AO324"/>
    <mergeCell ref="AP323:AP324"/>
    <mergeCell ref="AW323:AW324"/>
    <mergeCell ref="BE323:BE324"/>
    <mergeCell ref="AO325:AO326"/>
    <mergeCell ref="AP325:AP326"/>
    <mergeCell ref="AW325:AW326"/>
    <mergeCell ref="BE325:BE326"/>
    <mergeCell ref="BC325:BC326"/>
    <mergeCell ref="AY325:AY326"/>
    <mergeCell ref="AZ325:AZ326"/>
    <mergeCell ref="BA325:BA326"/>
    <mergeCell ref="BB325:BB326"/>
    <mergeCell ref="BD325:BD326"/>
    <mergeCell ref="AO315:AO316"/>
    <mergeCell ref="AP315:AP316"/>
    <mergeCell ref="AW315:AW316"/>
    <mergeCell ref="BE315:BE316"/>
    <mergeCell ref="AO317:AO318"/>
    <mergeCell ref="AP317:AP318"/>
    <mergeCell ref="AW317:AW318"/>
    <mergeCell ref="BE317:BE318"/>
    <mergeCell ref="BH289:BH308"/>
    <mergeCell ref="BI289:BI308"/>
    <mergeCell ref="BK289:BK308"/>
    <mergeCell ref="BH309:BH328"/>
    <mergeCell ref="BI309:BI328"/>
    <mergeCell ref="BK309:BK328"/>
    <mergeCell ref="AO327:AO328"/>
    <mergeCell ref="AP327:AP328"/>
    <mergeCell ref="AW327:AW328"/>
    <mergeCell ref="BE327:BE328"/>
    <mergeCell ref="BH129:BH148"/>
    <mergeCell ref="BI129:BI148"/>
    <mergeCell ref="BK129:BK148"/>
    <mergeCell ref="BH149:BH168"/>
    <mergeCell ref="BI149:BI168"/>
    <mergeCell ref="BK149:BK168"/>
    <mergeCell ref="BH169:BH188"/>
    <mergeCell ref="BI169:BI188"/>
    <mergeCell ref="BK169:BK188"/>
    <mergeCell ref="BH189:BH208"/>
    <mergeCell ref="BI189:BI208"/>
    <mergeCell ref="BK189:BK208"/>
    <mergeCell ref="BH209:BH228"/>
    <mergeCell ref="BI209:BI228"/>
    <mergeCell ref="BK209:BK228"/>
    <mergeCell ref="BH229:BH248"/>
    <mergeCell ref="BI229:BI248"/>
    <mergeCell ref="BK229:BK248"/>
    <mergeCell ref="BH249:BH268"/>
    <mergeCell ref="BI249:BI268"/>
    <mergeCell ref="AO321:AO322"/>
    <mergeCell ref="AP321:AP322"/>
    <mergeCell ref="BC9:BC10"/>
    <mergeCell ref="BC11:BC12"/>
    <mergeCell ref="BC13:BC14"/>
    <mergeCell ref="BC15:BC16"/>
    <mergeCell ref="BC17:BC18"/>
    <mergeCell ref="BC19:BC20"/>
    <mergeCell ref="BC21:BC22"/>
    <mergeCell ref="BC23:BC24"/>
    <mergeCell ref="BC25:BC26"/>
    <mergeCell ref="A3:B3"/>
    <mergeCell ref="A9:B9"/>
    <mergeCell ref="H10:AE10"/>
    <mergeCell ref="F10:G10"/>
    <mergeCell ref="F11:F40"/>
    <mergeCell ref="BK249:BK268"/>
    <mergeCell ref="BH269:BH288"/>
    <mergeCell ref="BI269:BI288"/>
    <mergeCell ref="BK269:BK288"/>
    <mergeCell ref="AO283:AO284"/>
    <mergeCell ref="AP283:AP284"/>
    <mergeCell ref="AW283:AW284"/>
    <mergeCell ref="BE283:BE284"/>
    <mergeCell ref="AO285:AO286"/>
    <mergeCell ref="AP285:AP286"/>
    <mergeCell ref="AW285:AW286"/>
    <mergeCell ref="BE285:BE286"/>
    <mergeCell ref="AO287:AO288"/>
    <mergeCell ref="AP287:AP288"/>
    <mergeCell ref="AW287:AW288"/>
    <mergeCell ref="BE287:BE288"/>
    <mergeCell ref="BC283:BC284"/>
    <mergeCell ref="BC285:BC286"/>
    <mergeCell ref="BC45:BC46"/>
    <mergeCell ref="BC47:BC48"/>
    <mergeCell ref="BC49:BC50"/>
    <mergeCell ref="BC51:BC52"/>
    <mergeCell ref="BC53:BC54"/>
    <mergeCell ref="BC55:BC56"/>
    <mergeCell ref="BC57:BC58"/>
    <mergeCell ref="BC59:BC60"/>
    <mergeCell ref="BC61:BC62"/>
    <mergeCell ref="BC27:BC28"/>
    <mergeCell ref="BC29:BC30"/>
    <mergeCell ref="BC31:BC32"/>
    <mergeCell ref="BC33:BC34"/>
    <mergeCell ref="BC35:BC36"/>
    <mergeCell ref="BC37:BC38"/>
    <mergeCell ref="BC39:BC40"/>
    <mergeCell ref="BC41:BC42"/>
    <mergeCell ref="BC43:BC44"/>
    <mergeCell ref="BC81:BC82"/>
    <mergeCell ref="BC83:BC84"/>
    <mergeCell ref="BC85:BC86"/>
    <mergeCell ref="BC87:BC88"/>
    <mergeCell ref="BC89:BC90"/>
    <mergeCell ref="BC91:BC92"/>
    <mergeCell ref="BC93:BC94"/>
    <mergeCell ref="BC95:BC96"/>
    <mergeCell ref="BC97:BC98"/>
    <mergeCell ref="BC63:BC64"/>
    <mergeCell ref="BC65:BC66"/>
    <mergeCell ref="BC67:BC68"/>
    <mergeCell ref="BC69:BC70"/>
    <mergeCell ref="BC71:BC72"/>
    <mergeCell ref="BC73:BC74"/>
    <mergeCell ref="BC75:BC76"/>
    <mergeCell ref="BC77:BC78"/>
    <mergeCell ref="BC79:BC80"/>
    <mergeCell ref="BC117:BC118"/>
    <mergeCell ref="BC119:BC120"/>
    <mergeCell ref="BC121:BC122"/>
    <mergeCell ref="BC123:BC124"/>
    <mergeCell ref="BC125:BC126"/>
    <mergeCell ref="BC127:BC128"/>
    <mergeCell ref="BC129:BC130"/>
    <mergeCell ref="BC131:BC132"/>
    <mergeCell ref="BC133:BC134"/>
    <mergeCell ref="BC99:BC100"/>
    <mergeCell ref="BC101:BC102"/>
    <mergeCell ref="BC103:BC104"/>
    <mergeCell ref="BC105:BC106"/>
    <mergeCell ref="BC107:BC108"/>
    <mergeCell ref="BC109:BC110"/>
    <mergeCell ref="BC111:BC112"/>
    <mergeCell ref="BC113:BC114"/>
    <mergeCell ref="BC115:BC116"/>
    <mergeCell ref="BC169:BC170"/>
    <mergeCell ref="BC171:BC172"/>
    <mergeCell ref="BC173:BC174"/>
    <mergeCell ref="BC175:BC176"/>
    <mergeCell ref="BC177:BC178"/>
    <mergeCell ref="BC179:BC180"/>
    <mergeCell ref="BC181:BC182"/>
    <mergeCell ref="BC183:BC184"/>
    <mergeCell ref="BC147:BC148"/>
    <mergeCell ref="BC149:BC150"/>
    <mergeCell ref="BC151:BC152"/>
    <mergeCell ref="BC153:BC154"/>
    <mergeCell ref="BC155:BC156"/>
    <mergeCell ref="BC157:BC158"/>
    <mergeCell ref="BC159:BC160"/>
    <mergeCell ref="BC161:BC162"/>
    <mergeCell ref="BC163:BC164"/>
    <mergeCell ref="BC189:BC190"/>
    <mergeCell ref="BC191:BC192"/>
    <mergeCell ref="BC193:BC194"/>
    <mergeCell ref="BC195:BC196"/>
    <mergeCell ref="BC197:BC198"/>
    <mergeCell ref="BC199:BC200"/>
    <mergeCell ref="BC201:BC202"/>
    <mergeCell ref="BC205:BC206"/>
    <mergeCell ref="BC207:BC208"/>
    <mergeCell ref="BC255:BC256"/>
    <mergeCell ref="BC257:BC258"/>
    <mergeCell ref="BC259:BC260"/>
    <mergeCell ref="BC261:BC262"/>
    <mergeCell ref="BC263:BC264"/>
    <mergeCell ref="BC227:BC228"/>
    <mergeCell ref="BC229:BC230"/>
    <mergeCell ref="BC231:BC232"/>
    <mergeCell ref="BC233:BC234"/>
    <mergeCell ref="BC235:BC236"/>
    <mergeCell ref="BC237:BC238"/>
    <mergeCell ref="BC239:BC240"/>
    <mergeCell ref="BC241:BC242"/>
    <mergeCell ref="BC243:BC244"/>
    <mergeCell ref="BC289:BC290"/>
    <mergeCell ref="BC291:BC292"/>
    <mergeCell ref="BC293:BC294"/>
    <mergeCell ref="BC295:BC296"/>
    <mergeCell ref="BC297:BC298"/>
    <mergeCell ref="BC299:BC300"/>
    <mergeCell ref="BC301:BC302"/>
    <mergeCell ref="BC303:BC304"/>
    <mergeCell ref="BC305:BC306"/>
    <mergeCell ref="BC265:BC266"/>
    <mergeCell ref="BC267:BC268"/>
    <mergeCell ref="BC269:BC270"/>
    <mergeCell ref="BC271:BC272"/>
    <mergeCell ref="BC273:BC274"/>
    <mergeCell ref="BC275:BC276"/>
    <mergeCell ref="BC277:BC278"/>
    <mergeCell ref="BC279:BC280"/>
    <mergeCell ref="BC281:BC282"/>
    <mergeCell ref="BC287:BC288"/>
    <mergeCell ref="AY9:AY10"/>
    <mergeCell ref="AY11:AY12"/>
    <mergeCell ref="AY13:AY14"/>
    <mergeCell ref="AY15:AY16"/>
    <mergeCell ref="AY17:AY18"/>
    <mergeCell ref="AY19:AY20"/>
    <mergeCell ref="AY21:AY22"/>
    <mergeCell ref="AY23:AY24"/>
    <mergeCell ref="AY25:AY26"/>
    <mergeCell ref="AY27:AY28"/>
    <mergeCell ref="AY29:AY30"/>
    <mergeCell ref="AY31:AY32"/>
    <mergeCell ref="AY33:AY34"/>
    <mergeCell ref="AY35:AY36"/>
    <mergeCell ref="AY37:AY38"/>
    <mergeCell ref="AY39:AY40"/>
    <mergeCell ref="AY41:AY42"/>
    <mergeCell ref="AY43:AY44"/>
    <mergeCell ref="AY45:AY46"/>
    <mergeCell ref="AY47:AY48"/>
    <mergeCell ref="AY49:AY50"/>
    <mergeCell ref="AY51:AY52"/>
    <mergeCell ref="AY53:AY54"/>
    <mergeCell ref="BC307:BC308"/>
    <mergeCell ref="BC309:BC310"/>
    <mergeCell ref="BC311:BC312"/>
    <mergeCell ref="BC313:BC314"/>
    <mergeCell ref="BC315:BC316"/>
    <mergeCell ref="BC317:BC318"/>
    <mergeCell ref="AY73:AY74"/>
    <mergeCell ref="AY75:AY76"/>
    <mergeCell ref="AY77:AY78"/>
    <mergeCell ref="AY79:AY80"/>
    <mergeCell ref="AY81:AY82"/>
    <mergeCell ref="AY83:AY84"/>
    <mergeCell ref="AY85:AY86"/>
    <mergeCell ref="AY87:AY88"/>
    <mergeCell ref="AY89:AY90"/>
    <mergeCell ref="AY55:AY56"/>
    <mergeCell ref="AY57:AY58"/>
    <mergeCell ref="AY59:AY60"/>
    <mergeCell ref="AY61:AY62"/>
    <mergeCell ref="AY63:AY64"/>
    <mergeCell ref="AY65:AY66"/>
    <mergeCell ref="AY67:AY68"/>
    <mergeCell ref="AY69:AY70"/>
    <mergeCell ref="AY71:AY72"/>
    <mergeCell ref="AY109:AY110"/>
    <mergeCell ref="AY111:AY112"/>
    <mergeCell ref="AY113:AY114"/>
    <mergeCell ref="AY115:AY116"/>
    <mergeCell ref="AY117:AY118"/>
    <mergeCell ref="AY119:AY120"/>
    <mergeCell ref="AY121:AY122"/>
    <mergeCell ref="AY123:AY124"/>
    <mergeCell ref="AY125:AY126"/>
    <mergeCell ref="AY91:AY92"/>
    <mergeCell ref="AY93:AY94"/>
    <mergeCell ref="AY95:AY96"/>
    <mergeCell ref="AY97:AY98"/>
    <mergeCell ref="AY99:AY100"/>
    <mergeCell ref="AY101:AY102"/>
    <mergeCell ref="AY103:AY104"/>
    <mergeCell ref="AY105:AY106"/>
    <mergeCell ref="AY107:AY108"/>
    <mergeCell ref="AY157:AY158"/>
    <mergeCell ref="AY159:AY160"/>
    <mergeCell ref="AY161:AY162"/>
    <mergeCell ref="AY163:AY164"/>
    <mergeCell ref="AY127:AY128"/>
    <mergeCell ref="AY129:AY130"/>
    <mergeCell ref="AY131:AY132"/>
    <mergeCell ref="AY133:AY134"/>
    <mergeCell ref="AY135:AY136"/>
    <mergeCell ref="AY137:AY138"/>
    <mergeCell ref="AY139:AY140"/>
    <mergeCell ref="AY141:AY142"/>
    <mergeCell ref="AY143:AY144"/>
    <mergeCell ref="AY185:AY186"/>
    <mergeCell ref="AY187:AY188"/>
    <mergeCell ref="AY189:AY190"/>
    <mergeCell ref="AY191:AY192"/>
    <mergeCell ref="AY193:AY194"/>
    <mergeCell ref="AY195:AY196"/>
    <mergeCell ref="AY197:AY198"/>
    <mergeCell ref="AY199:AY200"/>
    <mergeCell ref="AY201:AY202"/>
    <mergeCell ref="AY167:AY168"/>
    <mergeCell ref="AY169:AY170"/>
    <mergeCell ref="AY171:AY172"/>
    <mergeCell ref="AY173:AY174"/>
    <mergeCell ref="AY175:AY176"/>
    <mergeCell ref="AY177:AY178"/>
    <mergeCell ref="AY179:AY180"/>
    <mergeCell ref="AY181:AY182"/>
    <mergeCell ref="AY183:AY184"/>
    <mergeCell ref="AY255:AY256"/>
    <mergeCell ref="AY257:AY258"/>
    <mergeCell ref="AY259:AY260"/>
    <mergeCell ref="AY203:AY204"/>
    <mergeCell ref="AY205:AY206"/>
    <mergeCell ref="AY207:AY208"/>
    <mergeCell ref="AY261:AY262"/>
    <mergeCell ref="AY263:AY264"/>
    <mergeCell ref="AY227:AY228"/>
    <mergeCell ref="AY229:AY230"/>
    <mergeCell ref="AY231:AY232"/>
    <mergeCell ref="AY233:AY234"/>
    <mergeCell ref="AY235:AY236"/>
    <mergeCell ref="AY237:AY238"/>
    <mergeCell ref="AY239:AY240"/>
    <mergeCell ref="AY241:AY242"/>
    <mergeCell ref="AY243:AY244"/>
    <mergeCell ref="AY209:AY210"/>
    <mergeCell ref="AY211:AY212"/>
    <mergeCell ref="AY213:AY214"/>
    <mergeCell ref="AY215:AY216"/>
    <mergeCell ref="AY217:AY218"/>
    <mergeCell ref="AY219:AY220"/>
    <mergeCell ref="AY221:AY222"/>
    <mergeCell ref="AY223:AY224"/>
    <mergeCell ref="AY225:AY226"/>
    <mergeCell ref="AZ53:AZ54"/>
    <mergeCell ref="AY307:AY308"/>
    <mergeCell ref="AY309:AY310"/>
    <mergeCell ref="AY311:AY312"/>
    <mergeCell ref="AY313:AY314"/>
    <mergeCell ref="AY315:AY316"/>
    <mergeCell ref="AY317:AY318"/>
    <mergeCell ref="AY319:AY320"/>
    <mergeCell ref="AY321:AY322"/>
    <mergeCell ref="AY323:AY324"/>
    <mergeCell ref="AY289:AY290"/>
    <mergeCell ref="AY291:AY292"/>
    <mergeCell ref="AY293:AY294"/>
    <mergeCell ref="AY295:AY296"/>
    <mergeCell ref="AY297:AY298"/>
    <mergeCell ref="AY299:AY300"/>
    <mergeCell ref="AY301:AY302"/>
    <mergeCell ref="AY303:AY304"/>
    <mergeCell ref="AY305:AY306"/>
    <mergeCell ref="AY265:AY266"/>
    <mergeCell ref="AY267:AY268"/>
    <mergeCell ref="AY269:AY270"/>
    <mergeCell ref="AY271:AY272"/>
    <mergeCell ref="AY273:AY274"/>
    <mergeCell ref="AY275:AY276"/>
    <mergeCell ref="AY277:AY278"/>
    <mergeCell ref="AY279:AY280"/>
    <mergeCell ref="AY281:AY282"/>
    <mergeCell ref="AY247:AY248"/>
    <mergeCell ref="AY249:AY250"/>
    <mergeCell ref="AY251:AY252"/>
    <mergeCell ref="AY253:AY254"/>
    <mergeCell ref="AZ55:AZ56"/>
    <mergeCell ref="AZ57:AZ58"/>
    <mergeCell ref="AZ59:AZ60"/>
    <mergeCell ref="AZ61:AZ62"/>
    <mergeCell ref="AZ63:AZ64"/>
    <mergeCell ref="AZ65:AZ66"/>
    <mergeCell ref="AZ67:AZ68"/>
    <mergeCell ref="AZ69:AZ70"/>
    <mergeCell ref="AZ71:AZ72"/>
    <mergeCell ref="AY327:AY328"/>
    <mergeCell ref="AZ9:AZ10"/>
    <mergeCell ref="AZ11:AZ12"/>
    <mergeCell ref="AZ13:AZ14"/>
    <mergeCell ref="AZ15:AZ16"/>
    <mergeCell ref="AZ17:AZ18"/>
    <mergeCell ref="AZ19:AZ20"/>
    <mergeCell ref="AZ21:AZ22"/>
    <mergeCell ref="AZ23:AZ24"/>
    <mergeCell ref="AZ25:AZ26"/>
    <mergeCell ref="AZ27:AZ28"/>
    <mergeCell ref="AZ29:AZ30"/>
    <mergeCell ref="AZ31:AZ32"/>
    <mergeCell ref="AZ33:AZ34"/>
    <mergeCell ref="AZ35:AZ36"/>
    <mergeCell ref="AZ37:AZ38"/>
    <mergeCell ref="AZ39:AZ40"/>
    <mergeCell ref="AZ41:AZ42"/>
    <mergeCell ref="AZ43:AZ44"/>
    <mergeCell ref="AZ45:AZ46"/>
    <mergeCell ref="AZ47:AZ48"/>
    <mergeCell ref="AZ49:AZ50"/>
    <mergeCell ref="AZ51:AZ52"/>
    <mergeCell ref="AZ91:AZ92"/>
    <mergeCell ref="AZ93:AZ94"/>
    <mergeCell ref="AZ95:AZ96"/>
    <mergeCell ref="AZ97:AZ98"/>
    <mergeCell ref="AZ99:AZ100"/>
    <mergeCell ref="AZ101:AZ102"/>
    <mergeCell ref="AZ103:AZ104"/>
    <mergeCell ref="AZ105:AZ106"/>
    <mergeCell ref="AZ107:AZ108"/>
    <mergeCell ref="AZ73:AZ74"/>
    <mergeCell ref="AZ75:AZ76"/>
    <mergeCell ref="AZ77:AZ78"/>
    <mergeCell ref="AZ79:AZ80"/>
    <mergeCell ref="AZ81:AZ82"/>
    <mergeCell ref="AZ83:AZ84"/>
    <mergeCell ref="AZ85:AZ86"/>
    <mergeCell ref="AZ87:AZ88"/>
    <mergeCell ref="AZ89:AZ90"/>
    <mergeCell ref="AZ127:AZ128"/>
    <mergeCell ref="AZ129:AZ130"/>
    <mergeCell ref="AZ131:AZ132"/>
    <mergeCell ref="AZ133:AZ134"/>
    <mergeCell ref="AZ135:AZ136"/>
    <mergeCell ref="AZ137:AZ138"/>
    <mergeCell ref="AZ139:AZ140"/>
    <mergeCell ref="AZ141:AZ142"/>
    <mergeCell ref="AZ143:AZ144"/>
    <mergeCell ref="AZ109:AZ110"/>
    <mergeCell ref="AZ111:AZ112"/>
    <mergeCell ref="AZ113:AZ114"/>
    <mergeCell ref="AZ115:AZ116"/>
    <mergeCell ref="AZ117:AZ118"/>
    <mergeCell ref="AZ119:AZ120"/>
    <mergeCell ref="AZ121:AZ122"/>
    <mergeCell ref="AZ123:AZ124"/>
    <mergeCell ref="AZ125:AZ126"/>
    <mergeCell ref="AZ169:AZ170"/>
    <mergeCell ref="AZ171:AZ172"/>
    <mergeCell ref="AZ173:AZ174"/>
    <mergeCell ref="AZ175:AZ176"/>
    <mergeCell ref="AZ177:AZ178"/>
    <mergeCell ref="AZ179:AZ180"/>
    <mergeCell ref="AZ181:AZ182"/>
    <mergeCell ref="AZ183:AZ184"/>
    <mergeCell ref="AZ147:AZ148"/>
    <mergeCell ref="AZ149:AZ150"/>
    <mergeCell ref="AZ151:AZ152"/>
    <mergeCell ref="AZ153:AZ154"/>
    <mergeCell ref="AZ155:AZ156"/>
    <mergeCell ref="AZ157:AZ158"/>
    <mergeCell ref="AZ159:AZ160"/>
    <mergeCell ref="AZ161:AZ162"/>
    <mergeCell ref="AZ163:AZ164"/>
    <mergeCell ref="AZ213:AZ214"/>
    <mergeCell ref="AZ215:AZ216"/>
    <mergeCell ref="AZ217:AZ218"/>
    <mergeCell ref="AZ219:AZ220"/>
    <mergeCell ref="AZ221:AZ222"/>
    <mergeCell ref="AZ223:AZ224"/>
    <mergeCell ref="AZ225:AZ226"/>
    <mergeCell ref="AZ185:AZ186"/>
    <mergeCell ref="AZ187:AZ188"/>
    <mergeCell ref="AZ189:AZ190"/>
    <mergeCell ref="AZ191:AZ192"/>
    <mergeCell ref="AZ193:AZ194"/>
    <mergeCell ref="AZ195:AZ196"/>
    <mergeCell ref="AZ197:AZ198"/>
    <mergeCell ref="AZ199:AZ200"/>
    <mergeCell ref="AZ201:AZ202"/>
    <mergeCell ref="AZ203:AZ204"/>
    <mergeCell ref="AZ205:AZ206"/>
    <mergeCell ref="AZ207:AZ208"/>
    <mergeCell ref="AZ255:AZ256"/>
    <mergeCell ref="AZ257:AZ258"/>
    <mergeCell ref="AZ259:AZ260"/>
    <mergeCell ref="AZ261:AZ262"/>
    <mergeCell ref="AZ263:AZ264"/>
    <mergeCell ref="AZ227:AZ228"/>
    <mergeCell ref="AZ229:AZ230"/>
    <mergeCell ref="AZ231:AZ232"/>
    <mergeCell ref="AZ233:AZ234"/>
    <mergeCell ref="AZ235:AZ236"/>
    <mergeCell ref="AZ237:AZ238"/>
    <mergeCell ref="AZ239:AZ240"/>
    <mergeCell ref="AZ241:AZ242"/>
    <mergeCell ref="AZ243:AZ244"/>
    <mergeCell ref="AZ323:AZ324"/>
    <mergeCell ref="AZ289:AZ290"/>
    <mergeCell ref="AZ291:AZ292"/>
    <mergeCell ref="AZ293:AZ294"/>
    <mergeCell ref="AZ295:AZ296"/>
    <mergeCell ref="AZ297:AZ298"/>
    <mergeCell ref="AZ299:AZ300"/>
    <mergeCell ref="AZ301:AZ302"/>
    <mergeCell ref="AZ303:AZ304"/>
    <mergeCell ref="AZ305:AZ306"/>
    <mergeCell ref="AZ265:AZ266"/>
    <mergeCell ref="AZ267:AZ268"/>
    <mergeCell ref="AZ269:AZ270"/>
    <mergeCell ref="AZ271:AZ272"/>
    <mergeCell ref="AZ273:AZ274"/>
    <mergeCell ref="AZ275:AZ276"/>
    <mergeCell ref="AZ277:AZ278"/>
    <mergeCell ref="AZ279:AZ280"/>
    <mergeCell ref="AZ281:AZ282"/>
    <mergeCell ref="AZ327:AZ328"/>
    <mergeCell ref="BA9:BA10"/>
    <mergeCell ref="BA11:BA12"/>
    <mergeCell ref="BA13:BA14"/>
    <mergeCell ref="BA15:BA16"/>
    <mergeCell ref="BA17:BA18"/>
    <mergeCell ref="BA19:BA20"/>
    <mergeCell ref="BA21:BA22"/>
    <mergeCell ref="BA23:BA24"/>
    <mergeCell ref="BA25:BA26"/>
    <mergeCell ref="BA27:BA28"/>
    <mergeCell ref="BA29:BA30"/>
    <mergeCell ref="BA31:BA32"/>
    <mergeCell ref="BA33:BA34"/>
    <mergeCell ref="BA35:BA36"/>
    <mergeCell ref="BA37:BA38"/>
    <mergeCell ref="BA39:BA40"/>
    <mergeCell ref="BA41:BA42"/>
    <mergeCell ref="BA43:BA44"/>
    <mergeCell ref="BA45:BA46"/>
    <mergeCell ref="BA47:BA48"/>
    <mergeCell ref="BA49:BA50"/>
    <mergeCell ref="BA51:BA52"/>
    <mergeCell ref="BA53:BA54"/>
    <mergeCell ref="AZ307:AZ308"/>
    <mergeCell ref="AZ309:AZ310"/>
    <mergeCell ref="AZ311:AZ312"/>
    <mergeCell ref="AZ313:AZ314"/>
    <mergeCell ref="AZ315:AZ316"/>
    <mergeCell ref="AZ317:AZ318"/>
    <mergeCell ref="AZ319:AZ320"/>
    <mergeCell ref="BA73:BA74"/>
    <mergeCell ref="BA75:BA76"/>
    <mergeCell ref="BA77:BA78"/>
    <mergeCell ref="BA79:BA80"/>
    <mergeCell ref="BA81:BA82"/>
    <mergeCell ref="BA83:BA84"/>
    <mergeCell ref="BA85:BA86"/>
    <mergeCell ref="BA87:BA88"/>
    <mergeCell ref="BA89:BA90"/>
    <mergeCell ref="BA55:BA56"/>
    <mergeCell ref="BA57:BA58"/>
    <mergeCell ref="BA59:BA60"/>
    <mergeCell ref="BA61:BA62"/>
    <mergeCell ref="BA63:BA64"/>
    <mergeCell ref="BA65:BA66"/>
    <mergeCell ref="BA67:BA68"/>
    <mergeCell ref="BA69:BA70"/>
    <mergeCell ref="BA71:BA72"/>
    <mergeCell ref="BA109:BA110"/>
    <mergeCell ref="BA111:BA112"/>
    <mergeCell ref="BA113:BA114"/>
    <mergeCell ref="BA115:BA116"/>
    <mergeCell ref="BA117:BA118"/>
    <mergeCell ref="BA119:BA120"/>
    <mergeCell ref="BA121:BA122"/>
    <mergeCell ref="BA123:BA124"/>
    <mergeCell ref="BA125:BA126"/>
    <mergeCell ref="BA91:BA92"/>
    <mergeCell ref="BA93:BA94"/>
    <mergeCell ref="BA95:BA96"/>
    <mergeCell ref="BA97:BA98"/>
    <mergeCell ref="BA99:BA100"/>
    <mergeCell ref="BA101:BA102"/>
    <mergeCell ref="BA103:BA104"/>
    <mergeCell ref="BA105:BA106"/>
    <mergeCell ref="BA107:BA108"/>
    <mergeCell ref="BA157:BA158"/>
    <mergeCell ref="BA159:BA160"/>
    <mergeCell ref="BA161:BA162"/>
    <mergeCell ref="BA163:BA164"/>
    <mergeCell ref="BA127:BA128"/>
    <mergeCell ref="BA129:BA130"/>
    <mergeCell ref="BA131:BA132"/>
    <mergeCell ref="BA133:BA134"/>
    <mergeCell ref="BA135:BA136"/>
    <mergeCell ref="BA137:BA138"/>
    <mergeCell ref="BA139:BA140"/>
    <mergeCell ref="BA141:BA142"/>
    <mergeCell ref="BA143:BA144"/>
    <mergeCell ref="BA185:BA186"/>
    <mergeCell ref="BA187:BA188"/>
    <mergeCell ref="BA189:BA190"/>
    <mergeCell ref="BA191:BA192"/>
    <mergeCell ref="BA193:BA194"/>
    <mergeCell ref="BA195:BA196"/>
    <mergeCell ref="BA197:BA198"/>
    <mergeCell ref="BA199:BA200"/>
    <mergeCell ref="BA201:BA202"/>
    <mergeCell ref="BA167:BA168"/>
    <mergeCell ref="BA169:BA170"/>
    <mergeCell ref="BA171:BA172"/>
    <mergeCell ref="BA173:BA174"/>
    <mergeCell ref="BA175:BA176"/>
    <mergeCell ref="BA177:BA178"/>
    <mergeCell ref="BA179:BA180"/>
    <mergeCell ref="BA181:BA182"/>
    <mergeCell ref="BA183:BA184"/>
    <mergeCell ref="BA255:BA256"/>
    <mergeCell ref="BA257:BA258"/>
    <mergeCell ref="BA259:BA260"/>
    <mergeCell ref="BA247:BA248"/>
    <mergeCell ref="BA249:BA250"/>
    <mergeCell ref="BA251:BA252"/>
    <mergeCell ref="BA253:BA254"/>
    <mergeCell ref="BA261:BA262"/>
    <mergeCell ref="BA263:BA264"/>
    <mergeCell ref="BA227:BA228"/>
    <mergeCell ref="BA229:BA230"/>
    <mergeCell ref="BA231:BA232"/>
    <mergeCell ref="BA233:BA234"/>
    <mergeCell ref="BA235:BA236"/>
    <mergeCell ref="BA237:BA238"/>
    <mergeCell ref="BA239:BA240"/>
    <mergeCell ref="BA241:BA242"/>
    <mergeCell ref="BA243:BA244"/>
    <mergeCell ref="BA209:BA210"/>
    <mergeCell ref="BA211:BA212"/>
    <mergeCell ref="BA213:BA214"/>
    <mergeCell ref="BA215:BA216"/>
    <mergeCell ref="BA217:BA218"/>
    <mergeCell ref="BA219:BA220"/>
    <mergeCell ref="BA221:BA222"/>
    <mergeCell ref="BA223:BA224"/>
    <mergeCell ref="BA225:BA226"/>
    <mergeCell ref="BA323:BA324"/>
    <mergeCell ref="BA289:BA290"/>
    <mergeCell ref="BA291:BA292"/>
    <mergeCell ref="BA293:BA294"/>
    <mergeCell ref="BA295:BA296"/>
    <mergeCell ref="BA297:BA298"/>
    <mergeCell ref="BA299:BA300"/>
    <mergeCell ref="BA301:BA302"/>
    <mergeCell ref="BA303:BA304"/>
    <mergeCell ref="BA305:BA306"/>
    <mergeCell ref="BA265:BA266"/>
    <mergeCell ref="BA267:BA268"/>
    <mergeCell ref="BA269:BA270"/>
    <mergeCell ref="BA271:BA272"/>
    <mergeCell ref="BA273:BA274"/>
    <mergeCell ref="BA275:BA276"/>
    <mergeCell ref="BA277:BA278"/>
    <mergeCell ref="BA279:BA280"/>
    <mergeCell ref="BA281:BA282"/>
    <mergeCell ref="BA327:BA328"/>
    <mergeCell ref="BB9:BB10"/>
    <mergeCell ref="BB11:BB12"/>
    <mergeCell ref="BB13:BB14"/>
    <mergeCell ref="BB15:BB16"/>
    <mergeCell ref="BB17:BB18"/>
    <mergeCell ref="BB19:BB20"/>
    <mergeCell ref="BB21:BB22"/>
    <mergeCell ref="BB23:BB24"/>
    <mergeCell ref="BB25:BB26"/>
    <mergeCell ref="BB27:BB28"/>
    <mergeCell ref="BB29:BB30"/>
    <mergeCell ref="BB31:BB32"/>
    <mergeCell ref="BB33:BB34"/>
    <mergeCell ref="BB35:BB36"/>
    <mergeCell ref="BB37:BB38"/>
    <mergeCell ref="BB39:BB40"/>
    <mergeCell ref="BB41:BB42"/>
    <mergeCell ref="BB43:BB44"/>
    <mergeCell ref="BB45:BB46"/>
    <mergeCell ref="BB47:BB48"/>
    <mergeCell ref="BB49:BB50"/>
    <mergeCell ref="BB51:BB52"/>
    <mergeCell ref="BB53:BB54"/>
    <mergeCell ref="BA307:BA308"/>
    <mergeCell ref="BA309:BA310"/>
    <mergeCell ref="BA311:BA312"/>
    <mergeCell ref="BA313:BA314"/>
    <mergeCell ref="BA315:BA316"/>
    <mergeCell ref="BA317:BA318"/>
    <mergeCell ref="BA319:BA320"/>
    <mergeCell ref="BA321:BA322"/>
    <mergeCell ref="BB73:BB74"/>
    <mergeCell ref="BB75:BB76"/>
    <mergeCell ref="BB77:BB78"/>
    <mergeCell ref="BB79:BB80"/>
    <mergeCell ref="BB81:BB82"/>
    <mergeCell ref="BB83:BB84"/>
    <mergeCell ref="BB85:BB86"/>
    <mergeCell ref="BB87:BB88"/>
    <mergeCell ref="BB89:BB90"/>
    <mergeCell ref="BB55:BB56"/>
    <mergeCell ref="BB57:BB58"/>
    <mergeCell ref="BB59:BB60"/>
    <mergeCell ref="BB61:BB62"/>
    <mergeCell ref="BB63:BB64"/>
    <mergeCell ref="BB65:BB66"/>
    <mergeCell ref="BB67:BB68"/>
    <mergeCell ref="BB69:BB70"/>
    <mergeCell ref="BB71:BB72"/>
    <mergeCell ref="BB109:BB110"/>
    <mergeCell ref="BB111:BB112"/>
    <mergeCell ref="BB113:BB114"/>
    <mergeCell ref="BB115:BB116"/>
    <mergeCell ref="BB117:BB118"/>
    <mergeCell ref="BB119:BB120"/>
    <mergeCell ref="BB121:BB122"/>
    <mergeCell ref="BB123:BB124"/>
    <mergeCell ref="BB125:BB126"/>
    <mergeCell ref="BB91:BB92"/>
    <mergeCell ref="BB93:BB94"/>
    <mergeCell ref="BB95:BB96"/>
    <mergeCell ref="BB97:BB98"/>
    <mergeCell ref="BB99:BB100"/>
    <mergeCell ref="BB101:BB102"/>
    <mergeCell ref="BB103:BB104"/>
    <mergeCell ref="BB105:BB106"/>
    <mergeCell ref="BB107:BB108"/>
    <mergeCell ref="BB147:BB148"/>
    <mergeCell ref="BB149:BB150"/>
    <mergeCell ref="BB151:BB152"/>
    <mergeCell ref="BB153:BB154"/>
    <mergeCell ref="BB155:BB156"/>
    <mergeCell ref="BB157:BB158"/>
    <mergeCell ref="BB159:BB160"/>
    <mergeCell ref="BB161:BB162"/>
    <mergeCell ref="BB163:BB164"/>
    <mergeCell ref="BB127:BB128"/>
    <mergeCell ref="BB129:BB130"/>
    <mergeCell ref="BB131:BB132"/>
    <mergeCell ref="BB133:BB134"/>
    <mergeCell ref="BB135:BB136"/>
    <mergeCell ref="BB137:BB138"/>
    <mergeCell ref="BB139:BB140"/>
    <mergeCell ref="BB141:BB142"/>
    <mergeCell ref="BB143:BB144"/>
    <mergeCell ref="BB189:BB190"/>
    <mergeCell ref="BB191:BB192"/>
    <mergeCell ref="BB193:BB194"/>
    <mergeCell ref="BB195:BB196"/>
    <mergeCell ref="BB197:BB198"/>
    <mergeCell ref="BB199:BB200"/>
    <mergeCell ref="BB201:BB202"/>
    <mergeCell ref="BB169:BB170"/>
    <mergeCell ref="BB171:BB172"/>
    <mergeCell ref="BB173:BB174"/>
    <mergeCell ref="BB175:BB176"/>
    <mergeCell ref="BB177:BB178"/>
    <mergeCell ref="BB179:BB180"/>
    <mergeCell ref="BB181:BB182"/>
    <mergeCell ref="BB183:BB184"/>
    <mergeCell ref="BB323:BB324"/>
    <mergeCell ref="BB283:BB284"/>
    <mergeCell ref="BB285:BB286"/>
    <mergeCell ref="BB287:BB288"/>
    <mergeCell ref="BB289:BB290"/>
    <mergeCell ref="BB291:BB292"/>
    <mergeCell ref="BB293:BB294"/>
    <mergeCell ref="BB295:BB296"/>
    <mergeCell ref="BB297:BB298"/>
    <mergeCell ref="BB299:BB300"/>
    <mergeCell ref="BB265:BB266"/>
    <mergeCell ref="BB267:BB268"/>
    <mergeCell ref="BB269:BB270"/>
    <mergeCell ref="BB271:BB272"/>
    <mergeCell ref="BB273:BB274"/>
    <mergeCell ref="BB275:BB276"/>
    <mergeCell ref="BB277:BB278"/>
    <mergeCell ref="BB279:BB280"/>
    <mergeCell ref="BD51:BD52"/>
    <mergeCell ref="BD53:BD54"/>
    <mergeCell ref="BB307:BB308"/>
    <mergeCell ref="BB309:BB310"/>
    <mergeCell ref="BB311:BB312"/>
    <mergeCell ref="BB313:BB314"/>
    <mergeCell ref="BB315:BB316"/>
    <mergeCell ref="BB317:BB318"/>
    <mergeCell ref="BB319:BB320"/>
    <mergeCell ref="BB255:BB256"/>
    <mergeCell ref="BB257:BB258"/>
    <mergeCell ref="BB259:BB260"/>
    <mergeCell ref="BB261:BB262"/>
    <mergeCell ref="BB263:BB264"/>
    <mergeCell ref="BB227:BB228"/>
    <mergeCell ref="BB229:BB230"/>
    <mergeCell ref="BB231:BB232"/>
    <mergeCell ref="BB233:BB234"/>
    <mergeCell ref="BB235:BB236"/>
    <mergeCell ref="BB237:BB238"/>
    <mergeCell ref="BB239:BB240"/>
    <mergeCell ref="BB241:BB242"/>
    <mergeCell ref="BB243:BB244"/>
    <mergeCell ref="BB203:BB204"/>
    <mergeCell ref="BB205:BB206"/>
    <mergeCell ref="BB207:BB208"/>
    <mergeCell ref="BB209:BB210"/>
    <mergeCell ref="BB211:BB212"/>
    <mergeCell ref="BB213:BB214"/>
    <mergeCell ref="BB215:BB216"/>
    <mergeCell ref="BB217:BB218"/>
    <mergeCell ref="BB219:BB220"/>
    <mergeCell ref="BD55:BD56"/>
    <mergeCell ref="BD57:BD58"/>
    <mergeCell ref="BD59:BD60"/>
    <mergeCell ref="BD61:BD62"/>
    <mergeCell ref="BD63:BD64"/>
    <mergeCell ref="BD65:BD66"/>
    <mergeCell ref="BD67:BD68"/>
    <mergeCell ref="BD69:BD70"/>
    <mergeCell ref="BD71:BD72"/>
    <mergeCell ref="BB281:BB282"/>
    <mergeCell ref="BB327:BB328"/>
    <mergeCell ref="BD9:BD10"/>
    <mergeCell ref="BD11:BD12"/>
    <mergeCell ref="BD13:BD14"/>
    <mergeCell ref="BD15:BD16"/>
    <mergeCell ref="BD17:BD18"/>
    <mergeCell ref="BD19:BD20"/>
    <mergeCell ref="BD21:BD22"/>
    <mergeCell ref="BD23:BD24"/>
    <mergeCell ref="BD25:BD26"/>
    <mergeCell ref="BD27:BD28"/>
    <mergeCell ref="BD29:BD30"/>
    <mergeCell ref="BD31:BD32"/>
    <mergeCell ref="BD33:BD34"/>
    <mergeCell ref="BD35:BD36"/>
    <mergeCell ref="BD37:BD38"/>
    <mergeCell ref="BD39:BD40"/>
    <mergeCell ref="BD41:BD42"/>
    <mergeCell ref="BD43:BD44"/>
    <mergeCell ref="BD45:BD46"/>
    <mergeCell ref="BD47:BD48"/>
    <mergeCell ref="BD49:BD50"/>
    <mergeCell ref="BD91:BD92"/>
    <mergeCell ref="BD93:BD94"/>
    <mergeCell ref="BD95:BD96"/>
    <mergeCell ref="BD97:BD98"/>
    <mergeCell ref="BD99:BD100"/>
    <mergeCell ref="BD101:BD102"/>
    <mergeCell ref="BD103:BD104"/>
    <mergeCell ref="BD105:BD106"/>
    <mergeCell ref="BD107:BD108"/>
    <mergeCell ref="BD73:BD74"/>
    <mergeCell ref="BD75:BD76"/>
    <mergeCell ref="BD77:BD78"/>
    <mergeCell ref="BD79:BD80"/>
    <mergeCell ref="BD81:BD82"/>
    <mergeCell ref="BD83:BD84"/>
    <mergeCell ref="BD85:BD86"/>
    <mergeCell ref="BD87:BD88"/>
    <mergeCell ref="BD89:BD90"/>
    <mergeCell ref="BD169:BD170"/>
    <mergeCell ref="BD171:BD172"/>
    <mergeCell ref="BD173:BD174"/>
    <mergeCell ref="BD127:BD128"/>
    <mergeCell ref="BD129:BD130"/>
    <mergeCell ref="BD131:BD132"/>
    <mergeCell ref="BD133:BD134"/>
    <mergeCell ref="BD135:BD136"/>
    <mergeCell ref="BD137:BD138"/>
    <mergeCell ref="BD139:BD140"/>
    <mergeCell ref="BD141:BD142"/>
    <mergeCell ref="BD143:BD144"/>
    <mergeCell ref="BD109:BD110"/>
    <mergeCell ref="BD111:BD112"/>
    <mergeCell ref="BD113:BD114"/>
    <mergeCell ref="BD115:BD116"/>
    <mergeCell ref="BD117:BD118"/>
    <mergeCell ref="BD119:BD120"/>
    <mergeCell ref="BD121:BD122"/>
    <mergeCell ref="BD123:BD124"/>
    <mergeCell ref="BD125:BD126"/>
    <mergeCell ref="BD255:BD256"/>
    <mergeCell ref="BD277:BD278"/>
    <mergeCell ref="BD279:BD280"/>
    <mergeCell ref="BD281:BD282"/>
    <mergeCell ref="BD257:BD258"/>
    <mergeCell ref="BD259:BD260"/>
    <mergeCell ref="BD261:BD262"/>
    <mergeCell ref="BD309:BD310"/>
    <mergeCell ref="BD311:BD312"/>
    <mergeCell ref="BD149:BD150"/>
    <mergeCell ref="BD151:BD152"/>
    <mergeCell ref="BD153:BD154"/>
    <mergeCell ref="BD155:BD156"/>
    <mergeCell ref="BD157:BD158"/>
    <mergeCell ref="BD159:BD160"/>
    <mergeCell ref="BD161:BD162"/>
    <mergeCell ref="BD163:BD164"/>
    <mergeCell ref="BD203:BD204"/>
    <mergeCell ref="BD205:BD206"/>
    <mergeCell ref="BD207:BD208"/>
    <mergeCell ref="BD209:BD210"/>
    <mergeCell ref="BD211:BD212"/>
    <mergeCell ref="BD213:BD214"/>
    <mergeCell ref="BD215:BD216"/>
    <mergeCell ref="BD217:BD218"/>
    <mergeCell ref="BD219:BD220"/>
    <mergeCell ref="BD189:BD190"/>
    <mergeCell ref="BD191:BD192"/>
    <mergeCell ref="BD193:BD194"/>
    <mergeCell ref="BD195:BD196"/>
    <mergeCell ref="BD197:BD198"/>
    <mergeCell ref="BD199:BD200"/>
    <mergeCell ref="BD265:BD266"/>
    <mergeCell ref="BD267:BD268"/>
    <mergeCell ref="BD269:BD270"/>
    <mergeCell ref="BD201:BD202"/>
    <mergeCell ref="BD313:BD314"/>
    <mergeCell ref="BD315:BD316"/>
    <mergeCell ref="BD317:BD318"/>
    <mergeCell ref="BD319:BD320"/>
    <mergeCell ref="BD321:BD322"/>
    <mergeCell ref="BD323:BD324"/>
    <mergeCell ref="BD283:BD284"/>
    <mergeCell ref="BD285:BD286"/>
    <mergeCell ref="BD287:BD288"/>
    <mergeCell ref="BD289:BD290"/>
    <mergeCell ref="BD291:BD292"/>
    <mergeCell ref="BD293:BD294"/>
    <mergeCell ref="BD295:BD296"/>
    <mergeCell ref="BD297:BD298"/>
    <mergeCell ref="BD299:BD300"/>
    <mergeCell ref="BD235:BD236"/>
    <mergeCell ref="BD237:BD238"/>
    <mergeCell ref="BD239:BD240"/>
    <mergeCell ref="BD241:BD242"/>
    <mergeCell ref="BD243:BD244"/>
    <mergeCell ref="BD271:BD272"/>
    <mergeCell ref="BD273:BD274"/>
    <mergeCell ref="BD275:BD276"/>
    <mergeCell ref="BD263:BD264"/>
    <mergeCell ref="BD247:BD248"/>
    <mergeCell ref="BD249:BD250"/>
    <mergeCell ref="BD251:BD252"/>
    <mergeCell ref="BD253:BD254"/>
  </mergeCells>
  <conditionalFormatting sqref="AN9 AN69 AN89 AN109 AN129 AN149 AN169 AN189 AN209 AN229 AN249 AN269 AN289 AN309">
    <cfRule type="expression" dxfId="4" priority="12">
      <formula>$AM9&gt;=0</formula>
    </cfRule>
  </conditionalFormatting>
  <conditionalFormatting sqref="AN29">
    <cfRule type="expression" dxfId="3" priority="11">
      <formula>$AM29&gt;=0</formula>
    </cfRule>
  </conditionalFormatting>
  <conditionalFormatting sqref="AN49">
    <cfRule type="expression" dxfId="2" priority="8">
      <formula>$AM49&gt;=0</formula>
    </cfRule>
  </conditionalFormatting>
  <conditionalFormatting sqref="B17">
    <cfRule type="cellIs" dxfId="1" priority="4" operator="equal">
      <formula>"Неверно!"</formula>
    </cfRule>
    <cfRule type="cellIs" dxfId="0" priority="5" operator="equal">
      <formula>"Верно!"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8">
    <tabColor theme="4" tint="0.59999389629810485"/>
  </sheetPr>
  <dimension ref="A1:T133"/>
  <sheetViews>
    <sheetView topLeftCell="A51" zoomScale="85" zoomScaleNormal="85" workbookViewId="0">
      <selection activeCell="R59" sqref="R59"/>
    </sheetView>
  </sheetViews>
  <sheetFormatPr defaultRowHeight="15.75"/>
  <cols>
    <col min="1" max="1" width="9.140625" style="1"/>
    <col min="2" max="2" width="45.85546875" customWidth="1"/>
    <col min="3" max="4" width="9.140625" style="43"/>
    <col min="6" max="6" width="51.85546875" customWidth="1"/>
    <col min="11" max="11" width="9.5703125" customWidth="1"/>
    <col min="18" max="18" width="31" customWidth="1"/>
  </cols>
  <sheetData>
    <row r="1" spans="1:20" ht="16.5" customHeight="1" thickBot="1">
      <c r="S1" t="s">
        <v>335</v>
      </c>
    </row>
    <row r="2" spans="1:20" ht="15.75" customHeight="1">
      <c r="B2" s="439" t="s">
        <v>234</v>
      </c>
      <c r="C2" s="281" t="s">
        <v>235</v>
      </c>
      <c r="F2" s="439" t="s">
        <v>278</v>
      </c>
      <c r="G2" s="281" t="s">
        <v>235</v>
      </c>
      <c r="H2" s="474" t="s">
        <v>321</v>
      </c>
      <c r="I2" s="475"/>
      <c r="J2" s="476"/>
      <c r="K2" s="281" t="s">
        <v>235</v>
      </c>
      <c r="N2" s="470" t="s">
        <v>329</v>
      </c>
      <c r="O2" s="470"/>
      <c r="P2" s="470"/>
      <c r="Q2" s="470"/>
      <c r="R2" s="310" t="s">
        <v>323</v>
      </c>
      <c r="S2" s="314">
        <v>1</v>
      </c>
      <c r="T2" s="295">
        <v>0</v>
      </c>
    </row>
    <row r="3" spans="1:20" ht="16.5" customHeight="1" thickBot="1">
      <c r="B3" s="383"/>
      <c r="C3" s="282" t="s">
        <v>236</v>
      </c>
      <c r="F3" s="383"/>
      <c r="G3" s="282" t="s">
        <v>236</v>
      </c>
      <c r="H3" s="477"/>
      <c r="I3" s="478"/>
      <c r="J3" s="479"/>
      <c r="K3" s="282" t="s">
        <v>236</v>
      </c>
      <c r="N3" s="471"/>
      <c r="O3" s="471"/>
      <c r="P3" s="471"/>
      <c r="Q3" s="471"/>
      <c r="R3" s="311" t="s">
        <v>97</v>
      </c>
      <c r="S3" s="315">
        <v>1</v>
      </c>
      <c r="T3" s="296">
        <v>0.1</v>
      </c>
    </row>
    <row r="4" spans="1:20" ht="15.75" customHeight="1">
      <c r="N4" s="471"/>
      <c r="O4" s="471"/>
      <c r="P4" s="471"/>
      <c r="Q4" s="471"/>
      <c r="R4" s="311" t="s">
        <v>96</v>
      </c>
      <c r="S4" s="315">
        <v>1</v>
      </c>
      <c r="T4" s="296">
        <v>0.3</v>
      </c>
    </row>
    <row r="5" spans="1:20" s="1" customFormat="1" ht="15" customHeight="1">
      <c r="N5" s="471"/>
      <c r="O5" s="471"/>
      <c r="P5" s="471"/>
      <c r="Q5" s="471"/>
      <c r="R5" s="311" t="s">
        <v>87</v>
      </c>
      <c r="S5" s="315">
        <v>1</v>
      </c>
      <c r="T5" s="296">
        <v>0.4</v>
      </c>
    </row>
    <row r="6" spans="1:20" ht="45.75" thickBot="1">
      <c r="A6" s="22"/>
      <c r="B6" s="24" t="s">
        <v>64</v>
      </c>
      <c r="C6" s="44" t="s">
        <v>118</v>
      </c>
      <c r="D6" s="44" t="s">
        <v>119</v>
      </c>
      <c r="N6" s="471"/>
      <c r="O6" s="471"/>
      <c r="P6" s="471"/>
      <c r="Q6" s="471"/>
      <c r="R6" s="311" t="s">
        <v>324</v>
      </c>
      <c r="S6" s="315">
        <v>1</v>
      </c>
      <c r="T6" s="297">
        <v>0.5</v>
      </c>
    </row>
    <row r="7" spans="1:20" ht="60">
      <c r="A7" s="22">
        <v>1</v>
      </c>
      <c r="B7" s="102" t="s">
        <v>65</v>
      </c>
      <c r="C7" s="45">
        <v>1</v>
      </c>
      <c r="D7" s="45">
        <v>1</v>
      </c>
      <c r="K7" s="20"/>
      <c r="N7" s="471"/>
      <c r="O7" s="471"/>
      <c r="P7" s="471"/>
      <c r="Q7" s="471"/>
      <c r="R7" s="312" t="s">
        <v>106</v>
      </c>
      <c r="S7" s="315">
        <v>2</v>
      </c>
    </row>
    <row r="8" spans="1:20" ht="75">
      <c r="A8" s="22" t="s">
        <v>133</v>
      </c>
      <c r="B8" s="102" t="s">
        <v>67</v>
      </c>
      <c r="C8" s="45">
        <v>1</v>
      </c>
      <c r="D8" s="45">
        <v>0.5</v>
      </c>
      <c r="K8" s="20"/>
      <c r="N8" s="471"/>
      <c r="O8" s="471"/>
      <c r="P8" s="471"/>
      <c r="Q8" s="471"/>
      <c r="R8" s="312" t="s">
        <v>99</v>
      </c>
      <c r="S8" s="315">
        <v>2</v>
      </c>
    </row>
    <row r="9" spans="1:20" ht="90">
      <c r="A9" s="22" t="s">
        <v>132</v>
      </c>
      <c r="B9" s="102" t="s">
        <v>68</v>
      </c>
      <c r="C9" s="45">
        <v>1</v>
      </c>
      <c r="D9" s="45">
        <v>0.6</v>
      </c>
      <c r="K9" s="20"/>
      <c r="N9" s="471"/>
      <c r="O9" s="471"/>
      <c r="P9" s="471"/>
      <c r="Q9" s="471"/>
      <c r="R9" s="312" t="s">
        <v>326</v>
      </c>
      <c r="S9" s="315">
        <v>2</v>
      </c>
    </row>
    <row r="10" spans="1:20" ht="90">
      <c r="A10" s="22" t="s">
        <v>134</v>
      </c>
      <c r="B10" s="102" t="s">
        <v>69</v>
      </c>
      <c r="C10" s="45">
        <v>1</v>
      </c>
      <c r="D10" s="45">
        <v>1</v>
      </c>
      <c r="K10" s="20"/>
      <c r="N10" s="471"/>
      <c r="O10" s="471"/>
      <c r="P10" s="471"/>
      <c r="Q10" s="471"/>
      <c r="R10" s="312" t="s">
        <v>327</v>
      </c>
      <c r="S10" s="315">
        <v>2</v>
      </c>
    </row>
    <row r="11" spans="1:20" ht="45">
      <c r="A11" s="22">
        <v>3</v>
      </c>
      <c r="B11" s="102" t="s">
        <v>66</v>
      </c>
      <c r="C11" s="45">
        <v>1</v>
      </c>
      <c r="D11" s="45">
        <v>0.9</v>
      </c>
      <c r="N11" s="471"/>
      <c r="O11" s="471"/>
      <c r="P11" s="471"/>
      <c r="Q11" s="471"/>
      <c r="R11" s="312" t="s">
        <v>328</v>
      </c>
      <c r="S11" s="315">
        <v>2</v>
      </c>
    </row>
    <row r="12" spans="1:20" ht="60">
      <c r="A12" s="22" t="s">
        <v>136</v>
      </c>
      <c r="B12" s="102" t="s">
        <v>70</v>
      </c>
      <c r="C12" s="45">
        <v>1.2</v>
      </c>
      <c r="D12" s="45">
        <v>1</v>
      </c>
      <c r="N12" s="471"/>
      <c r="O12" s="471"/>
      <c r="P12" s="471"/>
      <c r="Q12" s="471"/>
      <c r="R12" s="312" t="s">
        <v>108</v>
      </c>
      <c r="S12" s="315">
        <v>2</v>
      </c>
    </row>
    <row r="13" spans="1:20" ht="45.75" thickBot="1">
      <c r="A13" s="22" t="s">
        <v>138</v>
      </c>
      <c r="B13" s="102" t="s">
        <v>71</v>
      </c>
      <c r="C13" s="45">
        <v>1.1000000000000001</v>
      </c>
      <c r="D13" s="45">
        <v>1</v>
      </c>
      <c r="N13" s="471"/>
      <c r="O13" s="471"/>
      <c r="P13" s="471"/>
      <c r="Q13" s="471"/>
      <c r="R13" s="312" t="s">
        <v>325</v>
      </c>
      <c r="S13" s="315">
        <v>2</v>
      </c>
    </row>
    <row r="14" spans="1:20" ht="45.75" thickBot="1">
      <c r="A14" s="22" t="s">
        <v>137</v>
      </c>
      <c r="B14" s="102" t="s">
        <v>72</v>
      </c>
      <c r="C14" s="45">
        <v>1</v>
      </c>
      <c r="D14" s="45">
        <v>1</v>
      </c>
      <c r="N14" s="471"/>
      <c r="O14" s="471"/>
      <c r="P14" s="471"/>
      <c r="Q14" s="471"/>
      <c r="R14" s="313"/>
      <c r="S14" s="316">
        <v>1</v>
      </c>
    </row>
    <row r="15" spans="1:20" ht="45">
      <c r="A15" s="22" t="s">
        <v>139</v>
      </c>
      <c r="B15" s="102" t="s">
        <v>120</v>
      </c>
      <c r="C15" s="45">
        <v>0.9</v>
      </c>
      <c r="D15" s="45">
        <v>0.9</v>
      </c>
    </row>
    <row r="16" spans="1:20" ht="45">
      <c r="A16" s="22" t="s">
        <v>140</v>
      </c>
      <c r="B16" s="102" t="s">
        <v>121</v>
      </c>
      <c r="C16" s="45">
        <v>0.8</v>
      </c>
      <c r="D16" s="45">
        <v>0.9</v>
      </c>
    </row>
    <row r="17" spans="1:17" ht="45">
      <c r="A17" s="22" t="s">
        <v>141</v>
      </c>
      <c r="B17" s="102" t="s">
        <v>122</v>
      </c>
      <c r="C17" s="45">
        <v>0.7</v>
      </c>
      <c r="D17" s="45">
        <v>0.9</v>
      </c>
    </row>
    <row r="18" spans="1:17" ht="60">
      <c r="A18" s="22" t="s">
        <v>135</v>
      </c>
      <c r="B18" s="102" t="s">
        <v>123</v>
      </c>
      <c r="C18" s="45">
        <v>1</v>
      </c>
      <c r="D18" s="45">
        <v>1</v>
      </c>
    </row>
    <row r="19" spans="1:17">
      <c r="A19" s="22" t="s">
        <v>124</v>
      </c>
      <c r="B19" s="102" t="s">
        <v>124</v>
      </c>
      <c r="C19" s="45">
        <v>1</v>
      </c>
      <c r="D19" s="45">
        <v>1</v>
      </c>
    </row>
    <row r="20" spans="1:17">
      <c r="A20" s="22" t="s">
        <v>125</v>
      </c>
      <c r="B20" s="102" t="s">
        <v>125</v>
      </c>
      <c r="C20" s="45">
        <v>0.7</v>
      </c>
      <c r="D20" s="45">
        <v>1</v>
      </c>
    </row>
    <row r="21" spans="1:17">
      <c r="A21" s="22" t="s">
        <v>126</v>
      </c>
      <c r="B21" s="102" t="s">
        <v>126</v>
      </c>
      <c r="C21" s="45">
        <v>0.9</v>
      </c>
      <c r="D21" s="45">
        <v>1</v>
      </c>
    </row>
    <row r="22" spans="1:17">
      <c r="A22" s="22" t="s">
        <v>127</v>
      </c>
      <c r="B22" s="102" t="s">
        <v>127</v>
      </c>
      <c r="C22" s="45">
        <v>0.8</v>
      </c>
      <c r="D22" s="45">
        <v>1</v>
      </c>
    </row>
    <row r="23" spans="1:17">
      <c r="A23" s="22" t="s">
        <v>128</v>
      </c>
      <c r="B23" s="102" t="s">
        <v>128</v>
      </c>
      <c r="C23" s="45">
        <v>0.7</v>
      </c>
      <c r="D23" s="45">
        <v>1</v>
      </c>
    </row>
    <row r="24" spans="1:17">
      <c r="A24" s="22" t="s">
        <v>129</v>
      </c>
      <c r="B24" s="102" t="s">
        <v>129</v>
      </c>
      <c r="C24" s="45">
        <v>1.1000000000000001</v>
      </c>
      <c r="D24" s="45">
        <v>1</v>
      </c>
    </row>
    <row r="25" spans="1:17">
      <c r="A25" s="22" t="s">
        <v>130</v>
      </c>
      <c r="B25" s="102" t="s">
        <v>130</v>
      </c>
      <c r="C25" s="45">
        <v>1.1000000000000001</v>
      </c>
      <c r="D25" s="45">
        <v>0.8</v>
      </c>
    </row>
    <row r="26" spans="1:17">
      <c r="A26" s="22" t="s">
        <v>129</v>
      </c>
      <c r="B26" s="102" t="s">
        <v>129</v>
      </c>
      <c r="C26" s="45">
        <v>1.1000000000000001</v>
      </c>
      <c r="D26" s="45">
        <v>1</v>
      </c>
    </row>
    <row r="27" spans="1:17">
      <c r="A27" s="22" t="s">
        <v>131</v>
      </c>
      <c r="B27" s="102" t="s">
        <v>131</v>
      </c>
      <c r="C27" s="45">
        <v>1</v>
      </c>
      <c r="D27" s="45">
        <v>1</v>
      </c>
    </row>
    <row r="30" spans="1:17">
      <c r="H30">
        <v>1</v>
      </c>
      <c r="I30">
        <v>2</v>
      </c>
      <c r="J30">
        <v>3</v>
      </c>
      <c r="K30">
        <v>4</v>
      </c>
      <c r="L30">
        <v>5</v>
      </c>
      <c r="M30">
        <v>6</v>
      </c>
      <c r="N30">
        <v>7</v>
      </c>
      <c r="O30">
        <v>8</v>
      </c>
      <c r="P30">
        <v>9</v>
      </c>
      <c r="Q30">
        <v>10</v>
      </c>
    </row>
    <row r="31" spans="1:17" ht="60">
      <c r="I31" s="20" t="s">
        <v>210</v>
      </c>
      <c r="J31" s="20" t="s">
        <v>211</v>
      </c>
      <c r="K31" s="20" t="s">
        <v>212</v>
      </c>
      <c r="L31" s="20"/>
      <c r="M31" s="20"/>
      <c r="N31" s="20"/>
      <c r="O31" s="20"/>
      <c r="P31" s="20"/>
      <c r="Q31" s="20"/>
    </row>
    <row r="32" spans="1:17">
      <c r="H32" s="107"/>
      <c r="I32" s="107">
        <v>0.2</v>
      </c>
      <c r="J32" s="107">
        <v>0.3</v>
      </c>
      <c r="K32" s="107">
        <v>0.4</v>
      </c>
      <c r="L32" s="107">
        <v>0.5</v>
      </c>
      <c r="M32" s="107">
        <v>0.6</v>
      </c>
      <c r="N32" s="107">
        <v>0.7</v>
      </c>
      <c r="O32" s="107">
        <v>0.8</v>
      </c>
      <c r="P32" s="107">
        <v>0.9</v>
      </c>
      <c r="Q32" s="107">
        <v>1</v>
      </c>
    </row>
    <row r="33" spans="8:17">
      <c r="H33" s="107">
        <v>1</v>
      </c>
      <c r="I33" s="108">
        <v>35</v>
      </c>
      <c r="J33" s="108">
        <v>23</v>
      </c>
      <c r="K33" s="108">
        <v>15</v>
      </c>
      <c r="L33" s="108">
        <v>12</v>
      </c>
      <c r="M33" s="108">
        <v>8</v>
      </c>
      <c r="N33" s="108">
        <v>4</v>
      </c>
      <c r="O33" s="108">
        <v>4</v>
      </c>
      <c r="P33" s="108">
        <v>3</v>
      </c>
      <c r="Q33" s="108">
        <v>2</v>
      </c>
    </row>
    <row r="34" spans="8:17">
      <c r="H34" s="107">
        <v>2</v>
      </c>
      <c r="I34" s="108">
        <v>42</v>
      </c>
      <c r="J34" s="108">
        <v>30</v>
      </c>
      <c r="K34" s="108">
        <v>21</v>
      </c>
      <c r="L34" s="108">
        <v>17</v>
      </c>
      <c r="M34" s="108">
        <v>12</v>
      </c>
      <c r="N34" s="108">
        <v>7</v>
      </c>
      <c r="O34" s="108">
        <v>5</v>
      </c>
      <c r="P34" s="108">
        <v>4</v>
      </c>
      <c r="Q34" s="108">
        <v>4</v>
      </c>
    </row>
    <row r="35" spans="8:17">
      <c r="H35" s="107">
        <v>3</v>
      </c>
      <c r="I35" s="108">
        <v>48</v>
      </c>
      <c r="J35" s="108">
        <v>35</v>
      </c>
      <c r="K35" s="108">
        <v>25</v>
      </c>
      <c r="L35" s="108">
        <v>20</v>
      </c>
      <c r="M35" s="108">
        <v>14</v>
      </c>
      <c r="N35" s="108">
        <v>8</v>
      </c>
      <c r="O35" s="108">
        <v>7</v>
      </c>
      <c r="P35" s="108">
        <v>6</v>
      </c>
      <c r="Q35" s="108">
        <v>5</v>
      </c>
    </row>
    <row r="36" spans="8:17">
      <c r="H36" s="107">
        <v>4</v>
      </c>
      <c r="I36" s="108">
        <v>53</v>
      </c>
      <c r="J36" s="108">
        <v>38</v>
      </c>
      <c r="K36" s="108">
        <v>27</v>
      </c>
      <c r="L36" s="108">
        <v>22</v>
      </c>
      <c r="M36" s="108">
        <v>16</v>
      </c>
      <c r="N36" s="108">
        <v>9</v>
      </c>
      <c r="O36" s="108">
        <v>8</v>
      </c>
      <c r="P36" s="108">
        <v>7</v>
      </c>
      <c r="Q36" s="108">
        <v>5</v>
      </c>
    </row>
    <row r="37" spans="8:17">
      <c r="H37" s="107">
        <v>5</v>
      </c>
      <c r="I37" s="108">
        <v>56</v>
      </c>
      <c r="J37" s="108">
        <v>40</v>
      </c>
      <c r="K37" s="108">
        <v>29</v>
      </c>
      <c r="L37" s="108">
        <v>24</v>
      </c>
      <c r="M37" s="108">
        <v>17</v>
      </c>
      <c r="N37" s="108">
        <v>10</v>
      </c>
      <c r="O37" s="108">
        <v>8</v>
      </c>
      <c r="P37" s="108">
        <v>7</v>
      </c>
      <c r="Q37" s="108">
        <v>6</v>
      </c>
    </row>
    <row r="38" spans="8:17">
      <c r="H38" s="107">
        <v>6</v>
      </c>
      <c r="I38" s="108">
        <v>58</v>
      </c>
      <c r="J38" s="108">
        <v>42</v>
      </c>
      <c r="K38" s="108">
        <v>31</v>
      </c>
      <c r="L38" s="108">
        <v>25</v>
      </c>
      <c r="M38" s="108">
        <v>18</v>
      </c>
      <c r="N38" s="108">
        <v>10</v>
      </c>
      <c r="O38" s="108">
        <v>8</v>
      </c>
      <c r="P38" s="108">
        <v>7</v>
      </c>
      <c r="Q38" s="108">
        <v>6</v>
      </c>
    </row>
    <row r="39" spans="8:17">
      <c r="H39" s="107">
        <v>8</v>
      </c>
      <c r="I39" s="108">
        <v>62</v>
      </c>
      <c r="J39" s="108">
        <v>44</v>
      </c>
      <c r="K39" s="108">
        <v>33</v>
      </c>
      <c r="L39" s="108">
        <v>26</v>
      </c>
      <c r="M39" s="108">
        <v>19</v>
      </c>
      <c r="N39" s="108">
        <v>10</v>
      </c>
      <c r="O39" s="108">
        <v>8</v>
      </c>
      <c r="P39" s="108">
        <v>7</v>
      </c>
      <c r="Q39" s="108">
        <v>6</v>
      </c>
    </row>
    <row r="40" spans="8:17">
      <c r="H40" s="107">
        <v>10</v>
      </c>
      <c r="I40" s="108">
        <v>65</v>
      </c>
      <c r="J40" s="108">
        <v>46</v>
      </c>
      <c r="K40" s="108">
        <v>34</v>
      </c>
      <c r="L40" s="108">
        <v>27</v>
      </c>
      <c r="M40" s="108">
        <v>19</v>
      </c>
      <c r="N40" s="108">
        <v>10</v>
      </c>
      <c r="O40" s="108">
        <v>8</v>
      </c>
      <c r="P40" s="108">
        <v>7</v>
      </c>
      <c r="Q40" s="108">
        <v>6</v>
      </c>
    </row>
    <row r="41" spans="8:17">
      <c r="H41" s="107">
        <v>15</v>
      </c>
      <c r="I41" s="108">
        <v>72</v>
      </c>
      <c r="J41" s="108">
        <v>51</v>
      </c>
      <c r="K41" s="108">
        <v>38</v>
      </c>
      <c r="L41" s="108">
        <v>28</v>
      </c>
      <c r="M41" s="108">
        <v>20</v>
      </c>
      <c r="N41" s="108">
        <v>11</v>
      </c>
      <c r="O41" s="108">
        <v>8</v>
      </c>
      <c r="P41" s="108">
        <v>7</v>
      </c>
      <c r="Q41" s="108">
        <v>6</v>
      </c>
    </row>
    <row r="42" spans="8:17">
      <c r="H42" s="107">
        <v>20</v>
      </c>
      <c r="I42" s="108">
        <v>79</v>
      </c>
      <c r="J42" s="108">
        <v>56</v>
      </c>
      <c r="K42" s="108">
        <v>41</v>
      </c>
      <c r="L42" s="108">
        <v>30</v>
      </c>
      <c r="M42" s="108">
        <v>20</v>
      </c>
      <c r="N42" s="108">
        <v>12</v>
      </c>
      <c r="O42" s="108">
        <v>8</v>
      </c>
      <c r="P42" s="108">
        <v>7</v>
      </c>
      <c r="Q42" s="108">
        <v>6</v>
      </c>
    </row>
    <row r="43" spans="8:17">
      <c r="H43" s="107">
        <v>25</v>
      </c>
      <c r="I43" s="108">
        <v>86</v>
      </c>
      <c r="J43" s="108">
        <v>61</v>
      </c>
      <c r="K43" s="108">
        <v>44</v>
      </c>
      <c r="L43" s="108">
        <v>32</v>
      </c>
      <c r="M43" s="108">
        <v>20</v>
      </c>
      <c r="N43" s="108">
        <v>12</v>
      </c>
      <c r="O43" s="108">
        <v>8</v>
      </c>
      <c r="P43" s="108">
        <v>7</v>
      </c>
      <c r="Q43" s="108">
        <v>6</v>
      </c>
    </row>
    <row r="44" spans="8:17">
      <c r="H44" s="107">
        <v>30</v>
      </c>
      <c r="I44" s="108">
        <v>93</v>
      </c>
      <c r="J44" s="108">
        <v>66</v>
      </c>
      <c r="K44" s="108">
        <v>47</v>
      </c>
      <c r="L44" s="108">
        <v>34</v>
      </c>
      <c r="M44" s="108">
        <v>21</v>
      </c>
      <c r="N44" s="108">
        <v>12</v>
      </c>
      <c r="O44" s="108">
        <v>9</v>
      </c>
      <c r="P44" s="108">
        <v>8</v>
      </c>
      <c r="Q44" s="108">
        <v>7</v>
      </c>
    </row>
    <row r="45" spans="8:17">
      <c r="H45" s="107">
        <v>35</v>
      </c>
      <c r="I45" s="108">
        <v>100</v>
      </c>
      <c r="J45" s="108">
        <v>70</v>
      </c>
      <c r="K45" s="108">
        <v>50</v>
      </c>
      <c r="L45" s="108">
        <v>36</v>
      </c>
      <c r="M45" s="108">
        <v>22</v>
      </c>
      <c r="N45" s="108">
        <v>13</v>
      </c>
      <c r="O45" s="108">
        <v>9</v>
      </c>
      <c r="P45" s="108">
        <v>8</v>
      </c>
      <c r="Q45" s="108">
        <v>7</v>
      </c>
    </row>
    <row r="46" spans="8:17">
      <c r="H46" s="107">
        <v>40</v>
      </c>
      <c r="I46" s="108">
        <v>107</v>
      </c>
      <c r="J46" s="108">
        <v>74</v>
      </c>
      <c r="K46" s="108">
        <v>53</v>
      </c>
      <c r="L46" s="108">
        <v>38</v>
      </c>
      <c r="M46" s="108">
        <v>23</v>
      </c>
      <c r="N46" s="108">
        <v>14</v>
      </c>
      <c r="O46" s="108">
        <v>9</v>
      </c>
      <c r="P46" s="108">
        <v>8</v>
      </c>
      <c r="Q46" s="108">
        <v>7</v>
      </c>
    </row>
    <row r="53" spans="8:16">
      <c r="H53" s="216" t="s">
        <v>291</v>
      </c>
      <c r="I53" s="216" t="s">
        <v>292</v>
      </c>
      <c r="J53" s="216">
        <v>1</v>
      </c>
      <c r="K53" s="216">
        <v>1.4</v>
      </c>
      <c r="L53" s="216">
        <v>1.8</v>
      </c>
      <c r="M53" s="216">
        <v>2.4</v>
      </c>
      <c r="N53" s="216">
        <v>3.2</v>
      </c>
      <c r="O53" s="216">
        <v>5</v>
      </c>
      <c r="P53" s="216" t="s">
        <v>293</v>
      </c>
    </row>
    <row r="54" spans="8:16">
      <c r="H54" s="216">
        <v>0</v>
      </c>
      <c r="I54" s="217">
        <v>1</v>
      </c>
      <c r="J54" s="217">
        <v>1</v>
      </c>
      <c r="K54" s="217">
        <v>1</v>
      </c>
      <c r="L54" s="217">
        <v>1</v>
      </c>
      <c r="M54" s="217">
        <v>1</v>
      </c>
      <c r="N54" s="217">
        <v>1</v>
      </c>
      <c r="O54" s="217">
        <v>1</v>
      </c>
    </row>
    <row r="55" spans="8:16">
      <c r="H55" s="216">
        <v>0.4</v>
      </c>
      <c r="I55" s="217">
        <v>0.94899999999999995</v>
      </c>
      <c r="J55" s="217">
        <v>0.96</v>
      </c>
      <c r="K55" s="217">
        <v>0.97199999999999998</v>
      </c>
      <c r="L55" s="217">
        <v>0.97499999999999998</v>
      </c>
      <c r="M55" s="217">
        <v>0.97599999999999998</v>
      </c>
      <c r="N55" s="217">
        <v>0.97699999999999998</v>
      </c>
      <c r="O55" s="217">
        <v>0.97699999999999998</v>
      </c>
    </row>
    <row r="56" spans="8:16">
      <c r="H56" s="216">
        <v>0.8</v>
      </c>
      <c r="I56" s="217">
        <v>0.75600000000000001</v>
      </c>
      <c r="J56" s="217">
        <v>0.8</v>
      </c>
      <c r="K56" s="217">
        <v>0.84799999999999998</v>
      </c>
      <c r="L56" s="217">
        <v>0.86599999999999999</v>
      </c>
      <c r="M56" s="217">
        <v>0.876</v>
      </c>
      <c r="N56" s="217">
        <v>0.879</v>
      </c>
      <c r="O56" s="217">
        <v>0.88100000000000001</v>
      </c>
    </row>
    <row r="57" spans="8:16">
      <c r="H57" s="216">
        <v>1.2</v>
      </c>
      <c r="I57" s="217">
        <v>0.54700000000000004</v>
      </c>
      <c r="J57" s="217">
        <v>0.60599999999999998</v>
      </c>
      <c r="K57" s="217">
        <v>0.68200000000000005</v>
      </c>
      <c r="L57" s="217">
        <v>0.71699999999999997</v>
      </c>
      <c r="M57" s="217">
        <v>0.73899999999999999</v>
      </c>
      <c r="N57" s="217">
        <v>0.749</v>
      </c>
      <c r="O57" s="217">
        <v>0.754</v>
      </c>
    </row>
    <row r="58" spans="8:16">
      <c r="H58" s="216">
        <v>1.6</v>
      </c>
      <c r="I58" s="217">
        <v>0.39</v>
      </c>
      <c r="J58" s="217">
        <v>0.44900000000000001</v>
      </c>
      <c r="K58" s="217">
        <v>0.53200000000000003</v>
      </c>
      <c r="L58" s="217">
        <v>0.57799999999999996</v>
      </c>
      <c r="M58" s="217">
        <v>0.61199999999999999</v>
      </c>
      <c r="N58" s="217">
        <v>0.629</v>
      </c>
      <c r="O58" s="217">
        <v>0.63900000000000001</v>
      </c>
    </row>
    <row r="59" spans="8:16">
      <c r="H59" s="216">
        <v>2</v>
      </c>
      <c r="I59" s="217">
        <v>0.28499999999999998</v>
      </c>
      <c r="J59" s="217">
        <v>0.33600000000000002</v>
      </c>
      <c r="K59" s="217">
        <v>0.41399999999999998</v>
      </c>
      <c r="L59" s="217">
        <v>0.46300000000000002</v>
      </c>
      <c r="M59" s="217">
        <v>0.505</v>
      </c>
      <c r="N59" s="217">
        <v>0.53</v>
      </c>
      <c r="O59" s="217">
        <v>0.54500000000000004</v>
      </c>
    </row>
    <row r="60" spans="8:16">
      <c r="H60" s="216">
        <v>2.4</v>
      </c>
      <c r="I60" s="217">
        <v>0.214</v>
      </c>
      <c r="J60" s="217">
        <v>0.25700000000000001</v>
      </c>
      <c r="K60" s="217">
        <v>0.32500000000000001</v>
      </c>
      <c r="L60" s="217">
        <v>0.374</v>
      </c>
      <c r="M60" s="217">
        <v>0.41899999999999998</v>
      </c>
      <c r="N60" s="217">
        <v>0.44900000000000001</v>
      </c>
      <c r="O60" s="217">
        <v>0.47</v>
      </c>
    </row>
    <row r="61" spans="8:16">
      <c r="H61" s="216">
        <v>2.8</v>
      </c>
      <c r="I61" s="217">
        <v>0.16500000000000001</v>
      </c>
      <c r="J61" s="217">
        <v>0.20100000000000001</v>
      </c>
      <c r="K61" s="217">
        <v>0.26</v>
      </c>
      <c r="L61" s="217">
        <v>0.30399999999999999</v>
      </c>
      <c r="M61" s="217">
        <v>0.34899999999999998</v>
      </c>
      <c r="N61" s="217">
        <v>0.38300000000000001</v>
      </c>
      <c r="O61" s="217">
        <v>0.41</v>
      </c>
    </row>
    <row r="62" spans="8:16">
      <c r="H62" s="216">
        <v>3.2</v>
      </c>
      <c r="I62" s="217">
        <v>0.13</v>
      </c>
      <c r="J62" s="217">
        <v>0.16</v>
      </c>
      <c r="K62" s="217">
        <v>0.21</v>
      </c>
      <c r="L62" s="217">
        <v>0.251</v>
      </c>
      <c r="M62" s="217">
        <v>0.29399999999999998</v>
      </c>
      <c r="N62" s="217">
        <v>0.32900000000000001</v>
      </c>
      <c r="O62" s="217">
        <v>0.36</v>
      </c>
    </row>
    <row r="63" spans="8:16">
      <c r="H63" s="216">
        <v>3.6</v>
      </c>
      <c r="I63" s="217">
        <v>0.106</v>
      </c>
      <c r="J63" s="217">
        <v>0.13100000000000001</v>
      </c>
      <c r="K63" s="217">
        <v>0.17299999999999999</v>
      </c>
      <c r="L63" s="217">
        <v>0.20899999999999999</v>
      </c>
      <c r="M63" s="217">
        <v>0.25</v>
      </c>
      <c r="N63" s="217">
        <v>0.28499999999999998</v>
      </c>
      <c r="O63" s="217">
        <v>0.31900000000000001</v>
      </c>
    </row>
    <row r="64" spans="8:16">
      <c r="H64" s="216">
        <v>4</v>
      </c>
      <c r="I64" s="217">
        <v>8.6999999999999994E-2</v>
      </c>
      <c r="J64" s="217">
        <v>0.108</v>
      </c>
      <c r="K64" s="217">
        <v>0.14499999999999999</v>
      </c>
      <c r="L64" s="217">
        <v>0.17599999999999999</v>
      </c>
      <c r="M64" s="217">
        <v>0.214</v>
      </c>
      <c r="N64" s="217">
        <v>0.248</v>
      </c>
      <c r="O64" s="217">
        <v>0.28499999999999998</v>
      </c>
    </row>
    <row r="65" spans="8:15">
      <c r="H65" s="216">
        <v>4.4000000000000004</v>
      </c>
      <c r="I65" s="217">
        <v>7.2999999999999995E-2</v>
      </c>
      <c r="J65" s="217">
        <v>9.0999999999999998E-2</v>
      </c>
      <c r="K65" s="217">
        <v>0.123</v>
      </c>
      <c r="L65" s="217">
        <v>0.15</v>
      </c>
      <c r="M65" s="217">
        <v>0.185</v>
      </c>
      <c r="N65" s="217">
        <v>0.218</v>
      </c>
      <c r="O65" s="217">
        <v>0.255</v>
      </c>
    </row>
    <row r="66" spans="8:15">
      <c r="H66" s="216">
        <v>4.8</v>
      </c>
      <c r="I66" s="217">
        <v>6.2E-2</v>
      </c>
      <c r="J66" s="217">
        <v>7.6999999999999999E-2</v>
      </c>
      <c r="K66" s="217">
        <v>0.105</v>
      </c>
      <c r="L66" s="217">
        <v>0.13</v>
      </c>
      <c r="M66" s="217">
        <v>0.161</v>
      </c>
      <c r="N66" s="217">
        <v>0.192</v>
      </c>
      <c r="O66" s="217">
        <v>0.23</v>
      </c>
    </row>
    <row r="67" spans="8:15">
      <c r="H67" s="216">
        <v>5.2</v>
      </c>
      <c r="I67" s="217">
        <v>5.2999999999999999E-2</v>
      </c>
      <c r="J67" s="217">
        <v>6.7000000000000004E-2</v>
      </c>
      <c r="K67" s="217">
        <v>9.0999999999999998E-2</v>
      </c>
      <c r="L67" s="217">
        <v>0.113</v>
      </c>
      <c r="M67" s="217">
        <v>0.14099999999999999</v>
      </c>
      <c r="N67" s="217">
        <v>0.17</v>
      </c>
      <c r="O67" s="217">
        <v>0.20799999999999999</v>
      </c>
    </row>
    <row r="68" spans="8:15">
      <c r="H68" s="216">
        <v>5.6</v>
      </c>
      <c r="I68" s="217">
        <v>4.5999999999999999E-2</v>
      </c>
      <c r="J68" s="217">
        <v>5.8000000000000003E-2</v>
      </c>
      <c r="K68" s="217">
        <v>7.9000000000000001E-2</v>
      </c>
      <c r="L68" s="217">
        <v>9.9000000000000005E-2</v>
      </c>
      <c r="M68" s="217">
        <v>0.124</v>
      </c>
      <c r="N68" s="217">
        <v>0.152</v>
      </c>
      <c r="O68" s="217">
        <v>0.189</v>
      </c>
    </row>
    <row r="69" spans="8:15">
      <c r="H69" s="216">
        <v>6</v>
      </c>
      <c r="I69" s="217">
        <v>0.04</v>
      </c>
      <c r="J69" s="217">
        <v>5.0999999999999997E-2</v>
      </c>
      <c r="K69" s="217">
        <v>7.0000000000000007E-2</v>
      </c>
      <c r="L69" s="217">
        <v>8.6999999999999994E-2</v>
      </c>
      <c r="M69" s="217">
        <v>0.11</v>
      </c>
      <c r="N69" s="217">
        <v>0.13600000000000001</v>
      </c>
      <c r="O69" s="217">
        <v>0.17299999999999999</v>
      </c>
    </row>
    <row r="70" spans="8:15">
      <c r="H70" s="216">
        <v>6.4</v>
      </c>
      <c r="I70" s="217">
        <v>3.5999999999999997E-2</v>
      </c>
      <c r="J70" s="217">
        <v>4.4999999999999998E-2</v>
      </c>
      <c r="K70" s="217">
        <v>6.2E-2</v>
      </c>
      <c r="L70" s="217">
        <v>7.6999999999999999E-2</v>
      </c>
      <c r="M70" s="217">
        <v>9.9000000000000005E-2</v>
      </c>
      <c r="N70" s="217">
        <v>0.122</v>
      </c>
      <c r="O70" s="217">
        <v>0.158</v>
      </c>
    </row>
    <row r="71" spans="8:15">
      <c r="H71" s="216">
        <v>6.8</v>
      </c>
      <c r="I71" s="217">
        <v>3.1E-2</v>
      </c>
      <c r="J71" s="217">
        <v>0.04</v>
      </c>
      <c r="K71" s="217">
        <v>5.5E-2</v>
      </c>
      <c r="L71" s="217">
        <v>6.9000000000000006E-2</v>
      </c>
      <c r="M71" s="217">
        <v>8.7999999999999995E-2</v>
      </c>
      <c r="N71" s="217">
        <v>0.11</v>
      </c>
      <c r="O71" s="217">
        <v>0.14499999999999999</v>
      </c>
    </row>
    <row r="72" spans="8:15">
      <c r="H72" s="216">
        <v>7.2</v>
      </c>
      <c r="I72" s="217">
        <v>2.8000000000000001E-2</v>
      </c>
      <c r="J72" s="217">
        <v>3.5999999999999997E-2</v>
      </c>
      <c r="K72" s="217">
        <v>4.9000000000000002E-2</v>
      </c>
      <c r="L72" s="217">
        <v>6.2E-2</v>
      </c>
      <c r="M72" s="217">
        <v>0.08</v>
      </c>
      <c r="N72" s="217">
        <v>0.1</v>
      </c>
      <c r="O72" s="217">
        <v>0.13300000000000001</v>
      </c>
    </row>
    <row r="73" spans="8:15">
      <c r="H73" s="216">
        <v>7.6</v>
      </c>
      <c r="I73" s="217">
        <v>2.4E-2</v>
      </c>
      <c r="J73" s="217">
        <v>3.2000000000000001E-2</v>
      </c>
      <c r="K73" s="217">
        <v>4.3999999999999997E-2</v>
      </c>
      <c r="L73" s="217">
        <v>5.6000000000000001E-2</v>
      </c>
      <c r="M73" s="217">
        <v>7.1999999999999995E-2</v>
      </c>
      <c r="N73" s="217">
        <v>9.0999999999999998E-2</v>
      </c>
      <c r="O73" s="217">
        <v>0.123</v>
      </c>
    </row>
    <row r="74" spans="8:15">
      <c r="H74" s="216">
        <v>8</v>
      </c>
      <c r="I74" s="217">
        <v>2.1999999999999999E-2</v>
      </c>
      <c r="J74" s="217">
        <v>2.9000000000000001E-2</v>
      </c>
      <c r="K74" s="217">
        <v>0.04</v>
      </c>
      <c r="L74" s="217">
        <v>5.0999999999999997E-2</v>
      </c>
      <c r="M74" s="217">
        <v>6.6000000000000003E-2</v>
      </c>
      <c r="N74" s="217">
        <v>8.4000000000000005E-2</v>
      </c>
      <c r="O74" s="217">
        <v>0.113</v>
      </c>
    </row>
    <row r="75" spans="8:15">
      <c r="H75" s="216">
        <v>8.4</v>
      </c>
      <c r="I75" s="217">
        <v>2.1000000000000001E-2</v>
      </c>
      <c r="J75" s="217">
        <v>2.5999999999999999E-2</v>
      </c>
      <c r="K75" s="217">
        <v>3.6999999999999998E-2</v>
      </c>
      <c r="L75" s="217">
        <v>4.5999999999999999E-2</v>
      </c>
      <c r="M75" s="217">
        <v>0.06</v>
      </c>
      <c r="N75" s="217">
        <v>7.6999999999999999E-2</v>
      </c>
      <c r="O75" s="217">
        <v>0.105</v>
      </c>
    </row>
    <row r="76" spans="8:15">
      <c r="H76" s="216">
        <v>8.8000000000000007</v>
      </c>
      <c r="I76" s="217">
        <v>1.9E-2</v>
      </c>
      <c r="J76" s="217">
        <v>2.4E-2</v>
      </c>
      <c r="K76" s="217">
        <v>3.3000000000000002E-2</v>
      </c>
      <c r="L76" s="217">
        <v>4.2000000000000003E-2</v>
      </c>
      <c r="M76" s="217">
        <v>5.5E-2</v>
      </c>
      <c r="N76" s="217">
        <v>7.0999999999999994E-2</v>
      </c>
      <c r="O76" s="217">
        <v>9.8000000000000004E-2</v>
      </c>
    </row>
    <row r="77" spans="8:15">
      <c r="H77" s="216">
        <v>9.1999999999999993</v>
      </c>
      <c r="I77" s="217">
        <v>1.7000000000000001E-2</v>
      </c>
      <c r="J77" s="217">
        <v>2.1999999999999999E-2</v>
      </c>
      <c r="K77" s="217">
        <v>3.1E-2</v>
      </c>
      <c r="L77" s="217">
        <v>3.9E-2</v>
      </c>
      <c r="M77" s="217">
        <v>5.0999999999999997E-2</v>
      </c>
      <c r="N77" s="217">
        <v>6.5000000000000002E-2</v>
      </c>
      <c r="O77" s="217">
        <v>9.0999999999999998E-2</v>
      </c>
    </row>
    <row r="78" spans="8:15">
      <c r="H78" s="216">
        <v>9.6</v>
      </c>
      <c r="I78" s="217">
        <v>1.6E-2</v>
      </c>
      <c r="J78" s="217">
        <v>0.02</v>
      </c>
      <c r="K78" s="217">
        <v>2.8000000000000001E-2</v>
      </c>
      <c r="L78" s="217">
        <v>3.5999999999999997E-2</v>
      </c>
      <c r="M78" s="217">
        <v>4.7E-2</v>
      </c>
      <c r="N78" s="217">
        <v>0.06</v>
      </c>
      <c r="O78" s="217">
        <v>8.5000000000000006E-2</v>
      </c>
    </row>
    <row r="79" spans="8:15">
      <c r="H79" s="216">
        <v>10</v>
      </c>
      <c r="I79" s="217">
        <v>1.4999999999999999E-2</v>
      </c>
      <c r="J79" s="217">
        <v>1.9E-2</v>
      </c>
      <c r="K79" s="217">
        <v>2.5999999999999999E-2</v>
      </c>
      <c r="L79" s="217">
        <v>3.3000000000000002E-2</v>
      </c>
      <c r="M79" s="217">
        <v>4.2999999999999997E-2</v>
      </c>
      <c r="N79" s="217">
        <v>5.6000000000000001E-2</v>
      </c>
      <c r="O79" s="217">
        <v>7.9000000000000001E-2</v>
      </c>
    </row>
    <row r="80" spans="8:15">
      <c r="H80" s="216">
        <v>10.4</v>
      </c>
      <c r="I80" s="217">
        <v>1.4E-2</v>
      </c>
      <c r="J80" s="217">
        <v>1.7000000000000001E-2</v>
      </c>
      <c r="K80" s="217">
        <v>2.4E-2</v>
      </c>
      <c r="L80" s="217">
        <v>3.1E-2</v>
      </c>
      <c r="M80" s="217">
        <v>0.04</v>
      </c>
      <c r="N80" s="217">
        <v>5.1999999999999998E-2</v>
      </c>
      <c r="O80" s="217">
        <v>7.3999999999999996E-2</v>
      </c>
    </row>
    <row r="81" spans="2:15">
      <c r="H81" s="216">
        <v>10.8</v>
      </c>
      <c r="I81" s="217">
        <v>1.2999999999999999E-2</v>
      </c>
      <c r="J81" s="217">
        <v>1.6E-2</v>
      </c>
      <c r="K81" s="217">
        <v>2.1999999999999999E-2</v>
      </c>
      <c r="L81" s="217">
        <v>2.9000000000000001E-2</v>
      </c>
      <c r="M81" s="217">
        <v>3.6999999999999998E-2</v>
      </c>
      <c r="N81" s="217">
        <v>4.9000000000000002E-2</v>
      </c>
      <c r="O81" s="217">
        <v>6.9000000000000006E-2</v>
      </c>
    </row>
    <row r="82" spans="2:15">
      <c r="H82" s="216">
        <v>11.2</v>
      </c>
      <c r="I82" s="217">
        <v>1.2E-2</v>
      </c>
      <c r="J82" s="217">
        <v>1.4999999999999999E-2</v>
      </c>
      <c r="K82" s="217">
        <v>2.1000000000000001E-2</v>
      </c>
      <c r="L82" s="217">
        <v>2.7E-2</v>
      </c>
      <c r="M82" s="217">
        <v>3.5000000000000003E-2</v>
      </c>
      <c r="N82" s="217">
        <v>4.4999999999999998E-2</v>
      </c>
      <c r="O82" s="217">
        <v>6.5000000000000002E-2</v>
      </c>
    </row>
    <row r="83" spans="2:15">
      <c r="H83" s="216">
        <v>11.6</v>
      </c>
      <c r="I83" s="217">
        <v>1.0999999999999999E-2</v>
      </c>
      <c r="J83" s="217">
        <v>1.4E-2</v>
      </c>
      <c r="K83" s="217">
        <v>0.02</v>
      </c>
      <c r="L83" s="217">
        <v>2.5000000000000001E-2</v>
      </c>
      <c r="M83" s="217">
        <v>3.3000000000000002E-2</v>
      </c>
      <c r="N83" s="217">
        <v>4.2000000000000003E-2</v>
      </c>
      <c r="O83" s="217">
        <v>6.0999999999999999E-2</v>
      </c>
    </row>
    <row r="84" spans="2:15">
      <c r="H84" s="216">
        <v>12</v>
      </c>
      <c r="I84" s="217">
        <v>0.01</v>
      </c>
      <c r="J84" s="217">
        <v>1.2999999999999999E-2</v>
      </c>
      <c r="K84" s="217">
        <v>1.7999999999999999E-2</v>
      </c>
      <c r="L84" s="217">
        <v>2.3E-2</v>
      </c>
      <c r="M84" s="217">
        <v>3.1E-2</v>
      </c>
      <c r="N84" s="217">
        <v>0.04</v>
      </c>
      <c r="O84" s="217">
        <v>5.8000000000000003E-2</v>
      </c>
    </row>
    <row r="95" spans="2:15" ht="16.5" thickBot="1"/>
    <row r="96" spans="2:15">
      <c r="B96" s="298" t="s">
        <v>312</v>
      </c>
      <c r="C96" s="472" t="s">
        <v>313</v>
      </c>
      <c r="D96" s="473"/>
    </row>
    <row r="97" spans="2:15">
      <c r="B97" s="262" t="s">
        <v>314</v>
      </c>
      <c r="C97" s="45">
        <v>1.4</v>
      </c>
      <c r="D97" s="299">
        <v>1.25</v>
      </c>
    </row>
    <row r="98" spans="2:15">
      <c r="B98" s="262" t="s">
        <v>315</v>
      </c>
      <c r="C98" s="45">
        <v>1.55</v>
      </c>
      <c r="D98" s="299">
        <v>1.4</v>
      </c>
    </row>
    <row r="99" spans="2:15">
      <c r="B99" s="262" t="s">
        <v>316</v>
      </c>
      <c r="C99" s="45">
        <v>1.65</v>
      </c>
      <c r="D99" s="299">
        <v>1.5</v>
      </c>
    </row>
    <row r="100" spans="2:15" ht="16.5" thickBot="1">
      <c r="B100" s="261" t="s">
        <v>317</v>
      </c>
      <c r="C100" s="300">
        <v>1.75</v>
      </c>
      <c r="D100" s="282">
        <v>1.6</v>
      </c>
    </row>
    <row r="101" spans="2:15" ht="16.5" thickBot="1"/>
    <row r="102" spans="2:15" ht="16.5" thickBot="1">
      <c r="H102" s="467" t="s">
        <v>330</v>
      </c>
      <c r="I102" s="468"/>
      <c r="J102" s="468"/>
      <c r="K102" s="468"/>
      <c r="L102" s="468"/>
      <c r="M102" s="468"/>
      <c r="N102" s="468"/>
      <c r="O102" s="469"/>
    </row>
    <row r="103" spans="2:15">
      <c r="H103" s="283"/>
      <c r="I103" s="301">
        <v>0</v>
      </c>
      <c r="J103" s="301">
        <v>0.1</v>
      </c>
      <c r="K103" s="301">
        <v>0.2</v>
      </c>
      <c r="L103" s="301">
        <v>0.3</v>
      </c>
      <c r="M103" s="301">
        <v>0.4</v>
      </c>
      <c r="N103" s="301">
        <v>0.5</v>
      </c>
      <c r="O103" s="302">
        <v>0.6</v>
      </c>
    </row>
    <row r="104" spans="2:15">
      <c r="H104" s="303">
        <v>0</v>
      </c>
      <c r="I104" s="304">
        <v>0</v>
      </c>
      <c r="J104" s="304">
        <v>0</v>
      </c>
      <c r="K104" s="304">
        <v>0</v>
      </c>
      <c r="L104" s="304">
        <v>0</v>
      </c>
      <c r="M104" s="304">
        <v>0</v>
      </c>
      <c r="N104" s="304">
        <v>0</v>
      </c>
      <c r="O104" s="305">
        <v>0</v>
      </c>
    </row>
    <row r="105" spans="2:15">
      <c r="H105" s="303">
        <v>3</v>
      </c>
      <c r="I105" s="304">
        <v>7500</v>
      </c>
      <c r="J105" s="304">
        <v>4000</v>
      </c>
      <c r="K105" s="304">
        <v>3000</v>
      </c>
      <c r="L105" s="304">
        <v>2000</v>
      </c>
      <c r="M105" s="304">
        <v>1200</v>
      </c>
      <c r="N105" s="304">
        <v>1100</v>
      </c>
      <c r="O105" s="305">
        <v>600</v>
      </c>
    </row>
    <row r="106" spans="2:15">
      <c r="H106" s="303">
        <v>4</v>
      </c>
      <c r="I106" s="304">
        <v>8300</v>
      </c>
      <c r="J106" s="304">
        <v>5100</v>
      </c>
      <c r="K106" s="304">
        <v>3800</v>
      </c>
      <c r="L106" s="304">
        <v>2500</v>
      </c>
      <c r="M106" s="304">
        <v>1600</v>
      </c>
      <c r="N106" s="304">
        <v>1250</v>
      </c>
      <c r="O106" s="305">
        <v>700</v>
      </c>
    </row>
    <row r="107" spans="2:15">
      <c r="H107" s="303">
        <v>5</v>
      </c>
      <c r="I107" s="304">
        <v>8800</v>
      </c>
      <c r="J107" s="304">
        <v>6200</v>
      </c>
      <c r="K107" s="304">
        <v>4000</v>
      </c>
      <c r="L107" s="304">
        <v>2800</v>
      </c>
      <c r="M107" s="304">
        <v>2000</v>
      </c>
      <c r="N107" s="304">
        <v>1300</v>
      </c>
      <c r="O107" s="305">
        <v>800</v>
      </c>
    </row>
    <row r="108" spans="2:15">
      <c r="H108" s="303">
        <v>7</v>
      </c>
      <c r="I108" s="304">
        <v>9700</v>
      </c>
      <c r="J108" s="304">
        <v>6900</v>
      </c>
      <c r="K108" s="304">
        <v>4300</v>
      </c>
      <c r="L108" s="304">
        <v>3300</v>
      </c>
      <c r="M108" s="304">
        <v>2200</v>
      </c>
      <c r="N108" s="304">
        <v>1400</v>
      </c>
      <c r="O108" s="305">
        <v>850</v>
      </c>
    </row>
    <row r="109" spans="2:15">
      <c r="H109" s="303">
        <v>10</v>
      </c>
      <c r="I109" s="304">
        <v>10500</v>
      </c>
      <c r="J109" s="304">
        <v>7300</v>
      </c>
      <c r="K109" s="304">
        <v>5000</v>
      </c>
      <c r="L109" s="304">
        <v>3500</v>
      </c>
      <c r="M109" s="304">
        <v>2400</v>
      </c>
      <c r="N109" s="304">
        <v>1500</v>
      </c>
      <c r="O109" s="305">
        <v>900</v>
      </c>
    </row>
    <row r="110" spans="2:15">
      <c r="H110" s="303">
        <v>15</v>
      </c>
      <c r="I110" s="304">
        <v>11700</v>
      </c>
      <c r="J110" s="304">
        <v>7500</v>
      </c>
      <c r="K110" s="304">
        <v>5600</v>
      </c>
      <c r="L110" s="304">
        <v>4000</v>
      </c>
      <c r="M110" s="304">
        <v>2900</v>
      </c>
      <c r="N110" s="304">
        <v>1650</v>
      </c>
      <c r="O110" s="305">
        <v>1000</v>
      </c>
    </row>
    <row r="111" spans="2:15">
      <c r="H111" s="303">
        <v>20</v>
      </c>
      <c r="I111" s="304">
        <v>12600</v>
      </c>
      <c r="J111" s="304">
        <v>8500</v>
      </c>
      <c r="K111" s="304">
        <v>6200</v>
      </c>
      <c r="L111" s="304">
        <v>4500</v>
      </c>
      <c r="M111" s="304">
        <v>3200</v>
      </c>
      <c r="N111" s="304">
        <v>1800</v>
      </c>
      <c r="O111" s="305">
        <v>1100</v>
      </c>
    </row>
    <row r="112" spans="2:15">
      <c r="H112" s="303">
        <v>25</v>
      </c>
      <c r="I112" s="304">
        <v>13400</v>
      </c>
      <c r="J112" s="304">
        <v>9000</v>
      </c>
      <c r="K112" s="304">
        <v>6800</v>
      </c>
      <c r="L112" s="304">
        <v>5200</v>
      </c>
      <c r="M112" s="304">
        <v>3500</v>
      </c>
      <c r="N112" s="304">
        <v>1950</v>
      </c>
      <c r="O112" s="305">
        <v>1200</v>
      </c>
    </row>
    <row r="113" spans="8:15">
      <c r="H113" s="303">
        <v>30</v>
      </c>
      <c r="I113" s="304">
        <v>14200</v>
      </c>
      <c r="J113" s="304">
        <v>9500</v>
      </c>
      <c r="K113" s="304">
        <v>7400</v>
      </c>
      <c r="L113" s="304">
        <v>5600</v>
      </c>
      <c r="M113" s="304">
        <v>3800</v>
      </c>
      <c r="N113" s="304">
        <v>2100</v>
      </c>
      <c r="O113" s="305">
        <v>1300</v>
      </c>
    </row>
    <row r="114" spans="8:15">
      <c r="H114" s="303">
        <v>35</v>
      </c>
      <c r="I114" s="304">
        <v>15000</v>
      </c>
      <c r="J114" s="304">
        <v>10000</v>
      </c>
      <c r="K114" s="304">
        <v>8000</v>
      </c>
      <c r="L114" s="304">
        <v>6000</v>
      </c>
      <c r="M114" s="304">
        <v>4100</v>
      </c>
      <c r="N114" s="304">
        <v>2250</v>
      </c>
      <c r="O114" s="305">
        <v>1400</v>
      </c>
    </row>
    <row r="115" spans="8:15" ht="16.5" thickBot="1">
      <c r="H115" s="306">
        <v>40</v>
      </c>
      <c r="I115" s="307">
        <v>15800</v>
      </c>
      <c r="J115" s="307">
        <v>10500</v>
      </c>
      <c r="K115" s="307">
        <v>8600</v>
      </c>
      <c r="L115" s="307">
        <v>6400</v>
      </c>
      <c r="M115" s="307">
        <v>4400</v>
      </c>
      <c r="N115" s="307">
        <v>2400</v>
      </c>
      <c r="O115" s="308">
        <v>1500</v>
      </c>
    </row>
    <row r="119" spans="8:15" ht="16.5" thickBot="1"/>
    <row r="120" spans="8:15" ht="16.5" thickBot="1">
      <c r="H120" s="467" t="s">
        <v>331</v>
      </c>
      <c r="I120" s="468"/>
      <c r="J120" s="468"/>
      <c r="K120" s="468"/>
      <c r="L120" s="468"/>
      <c r="M120" s="469"/>
    </row>
    <row r="121" spans="8:15">
      <c r="H121" s="283"/>
      <c r="I121" s="301">
        <v>0</v>
      </c>
      <c r="J121" s="301">
        <v>0.1</v>
      </c>
      <c r="K121" s="301">
        <v>0.3</v>
      </c>
      <c r="L121" s="301">
        <v>0.4</v>
      </c>
      <c r="M121" s="302">
        <v>0.5</v>
      </c>
    </row>
    <row r="122" spans="8:15">
      <c r="H122" s="303">
        <v>0</v>
      </c>
      <c r="I122" s="304">
        <v>0</v>
      </c>
      <c r="J122" s="304">
        <v>0</v>
      </c>
      <c r="K122" s="304">
        <v>0</v>
      </c>
      <c r="L122" s="304">
        <v>0</v>
      </c>
      <c r="M122" s="305">
        <v>0</v>
      </c>
    </row>
    <row r="123" spans="8:15">
      <c r="H123" s="303">
        <v>3</v>
      </c>
      <c r="I123" s="304">
        <v>7500</v>
      </c>
      <c r="J123" s="304">
        <v>6600</v>
      </c>
      <c r="K123" s="304">
        <v>3100</v>
      </c>
      <c r="L123" s="304">
        <v>2000</v>
      </c>
      <c r="M123" s="305">
        <v>1100</v>
      </c>
    </row>
    <row r="124" spans="8:15">
      <c r="H124" s="303">
        <v>4</v>
      </c>
      <c r="I124" s="304">
        <v>8300</v>
      </c>
      <c r="J124" s="304">
        <v>6800</v>
      </c>
      <c r="K124" s="304">
        <v>3200</v>
      </c>
      <c r="L124" s="304">
        <v>2100</v>
      </c>
      <c r="M124" s="305">
        <v>1250</v>
      </c>
    </row>
    <row r="125" spans="8:15">
      <c r="H125" s="303">
        <v>5</v>
      </c>
      <c r="I125" s="304">
        <v>8800</v>
      </c>
      <c r="J125" s="304">
        <v>7000</v>
      </c>
      <c r="K125" s="304">
        <v>3400</v>
      </c>
      <c r="L125" s="304">
        <v>2200</v>
      </c>
      <c r="M125" s="305">
        <v>1300</v>
      </c>
    </row>
    <row r="126" spans="8:15">
      <c r="H126" s="303">
        <v>7</v>
      </c>
      <c r="I126" s="304">
        <v>9700</v>
      </c>
      <c r="J126" s="304">
        <v>7300</v>
      </c>
      <c r="K126" s="304">
        <v>3700</v>
      </c>
      <c r="L126" s="304">
        <v>2400</v>
      </c>
      <c r="M126" s="305">
        <v>1400</v>
      </c>
    </row>
    <row r="127" spans="8:15">
      <c r="H127" s="303">
        <v>10</v>
      </c>
      <c r="I127" s="304">
        <v>10500</v>
      </c>
      <c r="J127" s="304">
        <v>7700</v>
      </c>
      <c r="K127" s="304">
        <v>4000</v>
      </c>
      <c r="L127" s="304">
        <v>2600</v>
      </c>
      <c r="M127" s="305">
        <v>1500</v>
      </c>
    </row>
    <row r="128" spans="8:15">
      <c r="H128" s="303">
        <v>15</v>
      </c>
      <c r="I128" s="304">
        <v>11700</v>
      </c>
      <c r="J128" s="304">
        <v>8200</v>
      </c>
      <c r="K128" s="304">
        <v>4400</v>
      </c>
      <c r="L128" s="304">
        <v>2900</v>
      </c>
      <c r="M128" s="305">
        <v>1650</v>
      </c>
    </row>
    <row r="129" spans="8:13">
      <c r="H129" s="303">
        <v>20</v>
      </c>
      <c r="I129" s="304">
        <v>12600</v>
      </c>
      <c r="J129" s="304">
        <v>8500</v>
      </c>
      <c r="K129" s="304">
        <v>4800</v>
      </c>
      <c r="L129" s="304">
        <v>3200</v>
      </c>
      <c r="M129" s="305">
        <v>1800</v>
      </c>
    </row>
    <row r="130" spans="8:13">
      <c r="H130" s="303">
        <v>25</v>
      </c>
      <c r="I130" s="304">
        <v>13400</v>
      </c>
      <c r="J130" s="304">
        <v>9000</v>
      </c>
      <c r="K130" s="304">
        <v>5200</v>
      </c>
      <c r="L130" s="304">
        <v>3500</v>
      </c>
      <c r="M130" s="305">
        <v>1950</v>
      </c>
    </row>
    <row r="131" spans="8:13">
      <c r="H131" s="303">
        <v>30</v>
      </c>
      <c r="I131" s="304">
        <v>14200</v>
      </c>
      <c r="J131" s="304">
        <v>9500</v>
      </c>
      <c r="K131" s="304">
        <v>5600</v>
      </c>
      <c r="L131" s="304">
        <v>3800</v>
      </c>
      <c r="M131" s="305">
        <v>2100</v>
      </c>
    </row>
    <row r="132" spans="8:13">
      <c r="H132" s="303">
        <v>35</v>
      </c>
      <c r="I132" s="304">
        <v>15000</v>
      </c>
      <c r="J132" s="304">
        <v>10000</v>
      </c>
      <c r="K132" s="304">
        <v>6000</v>
      </c>
      <c r="L132" s="304">
        <v>4100</v>
      </c>
      <c r="M132" s="305">
        <v>2250</v>
      </c>
    </row>
    <row r="133" spans="8:13" ht="16.5" thickBot="1">
      <c r="H133" s="306">
        <v>40</v>
      </c>
      <c r="I133" s="307">
        <v>15800</v>
      </c>
      <c r="J133" s="307">
        <v>10500</v>
      </c>
      <c r="K133" s="307">
        <v>6400</v>
      </c>
      <c r="L133" s="307">
        <v>4400</v>
      </c>
      <c r="M133" s="308">
        <v>2400</v>
      </c>
    </row>
  </sheetData>
  <mergeCells count="7">
    <mergeCell ref="H120:M120"/>
    <mergeCell ref="N2:Q14"/>
    <mergeCell ref="C96:D96"/>
    <mergeCell ref="H102:O102"/>
    <mergeCell ref="B2:B3"/>
    <mergeCell ref="F2:F3"/>
    <mergeCell ref="H2:J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pageSetUpPr fitToPage="1"/>
  </sheetPr>
  <dimension ref="A1:Q33"/>
  <sheetViews>
    <sheetView zoomScale="115" zoomScaleNormal="115" workbookViewId="0">
      <pane xSplit="3" ySplit="4" topLeftCell="D18" activePane="bottomRight" state="frozen"/>
      <selection pane="topRight" activeCell="D1" sqref="D1"/>
      <selection pane="bottomLeft" activeCell="A5" sqref="A5"/>
      <selection pane="bottomRight" activeCell="H43" sqref="H43"/>
    </sheetView>
  </sheetViews>
  <sheetFormatPr defaultColWidth="9.140625" defaultRowHeight="15.75"/>
  <cols>
    <col min="1" max="2" width="9.140625" style="3"/>
    <col min="3" max="3" width="46.5703125" style="3" customWidth="1"/>
    <col min="4" max="4" width="14.42578125" style="3" customWidth="1"/>
    <col min="5" max="5" width="11" style="3" customWidth="1"/>
    <col min="6" max="6" width="10.7109375" style="3" customWidth="1"/>
    <col min="7" max="7" width="10.28515625" style="3" customWidth="1"/>
    <col min="8" max="9" width="13.28515625" style="3" customWidth="1"/>
    <col min="10" max="10" width="11.85546875" style="6" customWidth="1"/>
    <col min="11" max="11" width="13.42578125" style="6" customWidth="1"/>
    <col min="12" max="12" width="11.85546875" style="6" customWidth="1"/>
    <col min="13" max="13" width="13.42578125" style="6" customWidth="1"/>
    <col min="14" max="16384" width="9.140625" style="3"/>
  </cols>
  <sheetData>
    <row r="1" spans="1:17">
      <c r="A1" s="3" t="s">
        <v>41</v>
      </c>
    </row>
    <row r="3" spans="1:17" ht="30.75" customHeight="1">
      <c r="B3" s="481" t="s">
        <v>1</v>
      </c>
      <c r="C3" s="481" t="s">
        <v>0</v>
      </c>
      <c r="D3" s="481" t="s">
        <v>2</v>
      </c>
      <c r="E3" s="481" t="s">
        <v>3</v>
      </c>
      <c r="F3" s="481" t="s">
        <v>4</v>
      </c>
      <c r="G3" s="481" t="s">
        <v>5</v>
      </c>
      <c r="H3" s="481" t="s">
        <v>7</v>
      </c>
      <c r="I3" s="481" t="s">
        <v>15</v>
      </c>
      <c r="J3" s="480" t="s">
        <v>16</v>
      </c>
      <c r="K3" s="480"/>
      <c r="L3" s="480" t="s">
        <v>17</v>
      </c>
      <c r="M3" s="480"/>
    </row>
    <row r="4" spans="1:17" ht="51" customHeight="1">
      <c r="B4" s="481"/>
      <c r="C4" s="481"/>
      <c r="D4" s="481"/>
      <c r="E4" s="481"/>
      <c r="F4" s="481"/>
      <c r="G4" s="481"/>
      <c r="H4" s="481"/>
      <c r="I4" s="481"/>
      <c r="J4" s="4" t="s">
        <v>8</v>
      </c>
      <c r="K4" s="4" t="s">
        <v>9</v>
      </c>
      <c r="L4" s="4" t="s">
        <v>13</v>
      </c>
      <c r="M4" s="4" t="s">
        <v>14</v>
      </c>
      <c r="N4" s="2"/>
      <c r="O4" s="2"/>
      <c r="P4" s="2"/>
      <c r="Q4" s="2"/>
    </row>
    <row r="5" spans="1:17">
      <c r="B5" s="2"/>
      <c r="C5" s="7" t="s">
        <v>6</v>
      </c>
      <c r="D5" s="2"/>
      <c r="E5" s="2"/>
      <c r="F5" s="2"/>
      <c r="G5" s="2"/>
      <c r="H5" s="2"/>
      <c r="I5" s="2"/>
      <c r="J5" s="5"/>
      <c r="K5" s="5"/>
      <c r="L5" s="5"/>
      <c r="M5" s="5"/>
      <c r="N5" s="2"/>
      <c r="O5" s="2"/>
      <c r="P5" s="2"/>
      <c r="Q5" s="2"/>
    </row>
    <row r="6" spans="1:17">
      <c r="B6" s="482">
        <v>1</v>
      </c>
      <c r="C6" s="2" t="s">
        <v>10</v>
      </c>
      <c r="D6" s="2">
        <f>25*0.8</f>
        <v>20</v>
      </c>
      <c r="E6" s="2"/>
      <c r="F6" s="2">
        <v>132.72999999999999</v>
      </c>
      <c r="G6" s="2"/>
      <c r="H6" s="2">
        <v>1.1000000000000001</v>
      </c>
      <c r="I6" s="2">
        <v>1</v>
      </c>
      <c r="J6" s="8">
        <f>$D6*$F6*$H6</f>
        <v>2920.06</v>
      </c>
      <c r="K6" s="8">
        <f>$E6*$G6*$H6</f>
        <v>0</v>
      </c>
      <c r="L6" s="8">
        <f>$D6*$F6*$I6</f>
        <v>2654.6</v>
      </c>
      <c r="M6" s="8">
        <f>$E6*$G6*$I6</f>
        <v>0</v>
      </c>
      <c r="N6" s="2"/>
      <c r="O6" s="2"/>
      <c r="P6" s="2"/>
      <c r="Q6" s="2"/>
    </row>
    <row r="7" spans="1:17">
      <c r="B7" s="483"/>
      <c r="C7" s="2" t="s">
        <v>11</v>
      </c>
      <c r="D7" s="2">
        <f>25*1</f>
        <v>25</v>
      </c>
      <c r="E7" s="2"/>
      <c r="F7" s="2">
        <f>132.73-84.95</f>
        <v>47.779999999999987</v>
      </c>
      <c r="G7" s="2"/>
      <c r="H7" s="2">
        <v>1.1000000000000001</v>
      </c>
      <c r="I7" s="2">
        <v>1</v>
      </c>
      <c r="J7" s="8">
        <f t="shared" ref="J7:J24" si="0">$D7*$F7*$H7</f>
        <v>1313.9499999999998</v>
      </c>
      <c r="K7" s="8">
        <f t="shared" ref="K7:K25" si="1">$E7*$G7*$H7</f>
        <v>0</v>
      </c>
      <c r="L7" s="8">
        <f t="shared" ref="L7:L25" si="2">$D7*$F7*$I7</f>
        <v>1194.4999999999998</v>
      </c>
      <c r="M7" s="8">
        <f t="shared" ref="M7:M25" si="3">$E7*$G7*$I7</f>
        <v>0</v>
      </c>
      <c r="N7" s="2"/>
      <c r="O7" s="2"/>
      <c r="P7" s="2"/>
      <c r="Q7" s="2"/>
    </row>
    <row r="8" spans="1:17">
      <c r="B8" s="2">
        <v>2</v>
      </c>
      <c r="C8" s="2" t="s">
        <v>42</v>
      </c>
      <c r="D8" s="2">
        <v>1.21</v>
      </c>
      <c r="E8" s="2"/>
      <c r="F8" s="2">
        <v>96.77</v>
      </c>
      <c r="G8" s="2"/>
      <c r="H8" s="2">
        <v>1.05</v>
      </c>
      <c r="I8" s="2">
        <v>1</v>
      </c>
      <c r="J8" s="8">
        <f t="shared" si="0"/>
        <v>122.94628499999999</v>
      </c>
      <c r="K8" s="8">
        <f t="shared" si="1"/>
        <v>0</v>
      </c>
      <c r="L8" s="8">
        <f t="shared" si="2"/>
        <v>117.09169999999999</v>
      </c>
      <c r="M8" s="8">
        <f t="shared" si="3"/>
        <v>0</v>
      </c>
      <c r="N8" s="2"/>
      <c r="O8" s="2"/>
      <c r="P8" s="2"/>
      <c r="Q8" s="2"/>
    </row>
    <row r="9" spans="1:17">
      <c r="B9" s="2">
        <v>3</v>
      </c>
      <c r="C9" s="2" t="s">
        <v>43</v>
      </c>
      <c r="E9" s="2">
        <v>20.329999999999998</v>
      </c>
      <c r="F9" s="2"/>
      <c r="G9" s="2">
        <v>34.56</v>
      </c>
      <c r="H9" s="2">
        <v>1.05</v>
      </c>
      <c r="I9" s="2">
        <v>1</v>
      </c>
      <c r="J9" s="8">
        <f t="shared" si="0"/>
        <v>0</v>
      </c>
      <c r="K9" s="8">
        <f t="shared" si="1"/>
        <v>737.73504000000003</v>
      </c>
      <c r="L9" s="8">
        <f t="shared" si="2"/>
        <v>0</v>
      </c>
      <c r="M9" s="8">
        <f t="shared" si="3"/>
        <v>702.60479999999995</v>
      </c>
      <c r="N9" s="2"/>
      <c r="O9" s="2"/>
      <c r="P9" s="2"/>
      <c r="Q9" s="2"/>
    </row>
    <row r="10" spans="1:17">
      <c r="B10" s="2">
        <v>6</v>
      </c>
      <c r="C10" s="2" t="s">
        <v>12</v>
      </c>
      <c r="D10" s="2">
        <v>18</v>
      </c>
      <c r="E10" s="2"/>
      <c r="F10" s="2">
        <v>84.95</v>
      </c>
      <c r="G10" s="2"/>
      <c r="H10" s="2">
        <v>1.1499999999999999</v>
      </c>
      <c r="I10" s="2">
        <v>1</v>
      </c>
      <c r="J10" s="8">
        <f t="shared" si="0"/>
        <v>1758.4649999999999</v>
      </c>
      <c r="K10" s="8">
        <f t="shared" si="1"/>
        <v>0</v>
      </c>
      <c r="L10" s="8">
        <f t="shared" si="2"/>
        <v>1529.1000000000001</v>
      </c>
      <c r="M10" s="8">
        <f t="shared" si="3"/>
        <v>0</v>
      </c>
      <c r="N10" s="2"/>
      <c r="O10" s="2"/>
      <c r="P10" s="2"/>
      <c r="Q10" s="2"/>
    </row>
    <row r="11" spans="1:17">
      <c r="B11" s="9"/>
      <c r="C11" s="10" t="s">
        <v>18</v>
      </c>
      <c r="D11" s="9"/>
      <c r="E11" s="9"/>
      <c r="F11" s="9"/>
      <c r="G11" s="9"/>
      <c r="H11" s="9"/>
      <c r="I11" s="9"/>
      <c r="J11" s="11">
        <f>SUM(J6:J10)</f>
        <v>6115.4212850000004</v>
      </c>
      <c r="K11" s="11">
        <f>SUM(K6:K10)</f>
        <v>737.73504000000003</v>
      </c>
      <c r="L11" s="11">
        <f>SUM(L6:L10)</f>
        <v>5495.2916999999998</v>
      </c>
      <c r="M11" s="11">
        <f>SUM(M6:M10)</f>
        <v>702.60479999999995</v>
      </c>
      <c r="N11" s="2"/>
      <c r="O11" s="2"/>
      <c r="P11" s="2"/>
      <c r="Q11" s="2"/>
    </row>
    <row r="12" spans="1:17">
      <c r="B12" s="2"/>
      <c r="C12" s="7" t="s">
        <v>19</v>
      </c>
      <c r="D12" s="2"/>
      <c r="E12" s="2"/>
      <c r="F12" s="2"/>
      <c r="G12" s="2"/>
      <c r="H12" s="2"/>
      <c r="I12" s="2"/>
      <c r="J12" s="8"/>
      <c r="K12" s="8"/>
      <c r="L12" s="8"/>
      <c r="M12" s="8"/>
      <c r="N12" s="2"/>
      <c r="O12" s="2"/>
      <c r="P12" s="2"/>
      <c r="Q12" s="2"/>
    </row>
    <row r="13" spans="1:17" ht="31.5">
      <c r="A13" s="484">
        <v>1</v>
      </c>
      <c r="B13" s="2">
        <v>7</v>
      </c>
      <c r="C13" s="2" t="s">
        <v>44</v>
      </c>
      <c r="D13" s="2">
        <v>1.5</v>
      </c>
      <c r="E13" s="2"/>
      <c r="F13" s="2">
        <v>95.33</v>
      </c>
      <c r="G13" s="2"/>
      <c r="H13" s="2">
        <v>1</v>
      </c>
      <c r="I13" s="2">
        <v>1</v>
      </c>
      <c r="J13" s="8">
        <f t="shared" si="0"/>
        <v>142.995</v>
      </c>
      <c r="K13" s="8">
        <f t="shared" si="1"/>
        <v>0</v>
      </c>
      <c r="L13" s="8">
        <f t="shared" si="2"/>
        <v>142.995</v>
      </c>
      <c r="M13" s="8">
        <f t="shared" si="3"/>
        <v>0</v>
      </c>
      <c r="N13" s="2"/>
      <c r="O13" s="2"/>
      <c r="P13" s="2"/>
      <c r="Q13" s="2"/>
    </row>
    <row r="14" spans="1:17" ht="31.5">
      <c r="A14" s="484"/>
      <c r="B14" s="2">
        <v>8</v>
      </c>
      <c r="C14" s="2" t="s">
        <v>45</v>
      </c>
      <c r="D14" s="2"/>
      <c r="E14" s="2">
        <v>4.95</v>
      </c>
      <c r="F14" s="2"/>
      <c r="G14" s="2">
        <v>34.56</v>
      </c>
      <c r="H14" s="2">
        <v>1</v>
      </c>
      <c r="I14" s="2">
        <v>1</v>
      </c>
      <c r="J14" s="8">
        <f t="shared" si="0"/>
        <v>0</v>
      </c>
      <c r="K14" s="8">
        <f t="shared" si="1"/>
        <v>171.07200000000003</v>
      </c>
      <c r="L14" s="8">
        <f t="shared" si="2"/>
        <v>0</v>
      </c>
      <c r="M14" s="8">
        <f t="shared" si="3"/>
        <v>171.07200000000003</v>
      </c>
      <c r="N14" s="2"/>
      <c r="O14" s="2"/>
      <c r="P14" s="2"/>
      <c r="Q14" s="2"/>
    </row>
    <row r="15" spans="1:17">
      <c r="A15" s="484"/>
      <c r="B15" s="2">
        <v>9</v>
      </c>
      <c r="C15" s="2" t="s">
        <v>46</v>
      </c>
      <c r="D15" s="2">
        <v>-0.5</v>
      </c>
      <c r="E15" s="2"/>
      <c r="F15" s="2">
        <v>95.33</v>
      </c>
      <c r="G15" s="2"/>
      <c r="H15" s="2">
        <v>1</v>
      </c>
      <c r="I15" s="2">
        <v>1</v>
      </c>
      <c r="J15" s="8">
        <f t="shared" si="0"/>
        <v>-47.664999999999999</v>
      </c>
      <c r="K15" s="8">
        <f t="shared" si="1"/>
        <v>0</v>
      </c>
      <c r="L15" s="8">
        <f t="shared" si="2"/>
        <v>-47.664999999999999</v>
      </c>
      <c r="M15" s="8">
        <f t="shared" si="3"/>
        <v>0</v>
      </c>
      <c r="N15" s="2"/>
      <c r="O15" s="2"/>
      <c r="P15" s="2"/>
      <c r="Q15" s="2"/>
    </row>
    <row r="16" spans="1:17">
      <c r="A16" s="484"/>
      <c r="B16" s="2">
        <v>10</v>
      </c>
      <c r="C16" s="2" t="s">
        <v>20</v>
      </c>
      <c r="D16" s="2"/>
      <c r="E16" s="2">
        <v>1.65</v>
      </c>
      <c r="F16" s="2"/>
      <c r="G16" s="2">
        <v>34.56</v>
      </c>
      <c r="H16" s="2">
        <v>1</v>
      </c>
      <c r="I16" s="2">
        <v>1</v>
      </c>
      <c r="J16" s="8">
        <f>$D16*$F16*$H16</f>
        <v>0</v>
      </c>
      <c r="K16" s="8">
        <f>$E16*$G16*$H16</f>
        <v>57.024000000000001</v>
      </c>
      <c r="L16" s="8">
        <f>$D16*$F16*$I16</f>
        <v>0</v>
      </c>
      <c r="M16" s="8">
        <f>$E16*$G16*$I16</f>
        <v>57.024000000000001</v>
      </c>
      <c r="N16" s="2"/>
      <c r="O16" s="2"/>
      <c r="P16" s="2"/>
      <c r="Q16" s="2"/>
    </row>
    <row r="17" spans="1:17" ht="31.5">
      <c r="A17" s="484"/>
      <c r="B17" s="2">
        <v>11</v>
      </c>
      <c r="C17" s="2" t="s">
        <v>47</v>
      </c>
      <c r="D17" s="2">
        <v>145</v>
      </c>
      <c r="E17" s="2"/>
      <c r="F17" s="2">
        <v>95.33</v>
      </c>
      <c r="G17" s="2"/>
      <c r="H17" s="2">
        <v>1</v>
      </c>
      <c r="I17" s="2">
        <v>1</v>
      </c>
      <c r="J17" s="8">
        <f t="shared" si="0"/>
        <v>13822.85</v>
      </c>
      <c r="K17" s="8">
        <f t="shared" si="1"/>
        <v>0</v>
      </c>
      <c r="L17" s="8">
        <f t="shared" si="2"/>
        <v>13822.85</v>
      </c>
      <c r="M17" s="8">
        <f t="shared" si="3"/>
        <v>0</v>
      </c>
      <c r="N17" s="2"/>
      <c r="O17" s="2"/>
      <c r="P17" s="2"/>
      <c r="Q17" s="2"/>
    </row>
    <row r="18" spans="1:17">
      <c r="B18" s="9"/>
      <c r="C18" s="10" t="s">
        <v>22</v>
      </c>
      <c r="D18" s="9"/>
      <c r="E18" s="9"/>
      <c r="F18" s="9"/>
      <c r="G18" s="9"/>
      <c r="H18" s="9"/>
      <c r="I18" s="9"/>
      <c r="J18" s="11">
        <f>SUM(J13:J17)</f>
        <v>13918.18</v>
      </c>
      <c r="K18" s="11">
        <f>SUM(K13:K17)</f>
        <v>228.09600000000003</v>
      </c>
      <c r="L18" s="11">
        <f>SUM(L13:L17)</f>
        <v>13918.18</v>
      </c>
      <c r="M18" s="11">
        <f>SUM(M13:M17)</f>
        <v>228.09600000000003</v>
      </c>
      <c r="N18" s="2"/>
      <c r="O18" s="2"/>
      <c r="P18" s="2"/>
      <c r="Q18" s="2"/>
    </row>
    <row r="19" spans="1:17">
      <c r="B19" s="2"/>
      <c r="C19" s="7" t="s">
        <v>23</v>
      </c>
      <c r="D19" s="2"/>
      <c r="E19" s="2"/>
      <c r="F19" s="2"/>
      <c r="G19" s="2"/>
      <c r="H19" s="2"/>
      <c r="I19" s="2"/>
      <c r="J19" s="8"/>
      <c r="K19" s="8"/>
      <c r="L19" s="8"/>
      <c r="M19" s="8"/>
      <c r="N19" s="2"/>
      <c r="O19" s="2"/>
      <c r="P19" s="2"/>
      <c r="Q19" s="2"/>
    </row>
    <row r="20" spans="1:17">
      <c r="B20" s="2">
        <v>17</v>
      </c>
      <c r="C20" s="2" t="s">
        <v>21</v>
      </c>
      <c r="D20" s="2"/>
      <c r="E20" s="2">
        <v>5.78</v>
      </c>
      <c r="F20" s="2"/>
      <c r="G20" s="2">
        <v>34.56</v>
      </c>
      <c r="H20" s="2">
        <v>1.4</v>
      </c>
      <c r="I20" s="2">
        <v>1</v>
      </c>
      <c r="J20" s="8">
        <f t="shared" si="0"/>
        <v>0</v>
      </c>
      <c r="K20" s="8">
        <f t="shared" si="1"/>
        <v>279.65952000000004</v>
      </c>
      <c r="L20" s="8">
        <f t="shared" si="2"/>
        <v>0</v>
      </c>
      <c r="M20" s="8">
        <f t="shared" si="3"/>
        <v>199.75680000000003</v>
      </c>
      <c r="N20" s="2"/>
      <c r="O20" s="2"/>
      <c r="P20" s="2"/>
      <c r="Q20" s="2"/>
    </row>
    <row r="21" spans="1:17">
      <c r="B21" s="9"/>
      <c r="C21" s="10" t="s">
        <v>24</v>
      </c>
      <c r="D21" s="9"/>
      <c r="E21" s="9"/>
      <c r="F21" s="9"/>
      <c r="G21" s="9"/>
      <c r="H21" s="9"/>
      <c r="I21" s="9"/>
      <c r="J21" s="11">
        <f>SUM(J20)</f>
        <v>0</v>
      </c>
      <c r="K21" s="11">
        <f t="shared" ref="K21:M21" si="4">SUM(K20)</f>
        <v>279.65952000000004</v>
      </c>
      <c r="L21" s="11">
        <f t="shared" si="4"/>
        <v>0</v>
      </c>
      <c r="M21" s="11">
        <f t="shared" si="4"/>
        <v>199.75680000000003</v>
      </c>
      <c r="N21" s="2"/>
      <c r="O21" s="2"/>
      <c r="P21" s="2"/>
      <c r="Q21" s="2"/>
    </row>
    <row r="22" spans="1:17" ht="31.5">
      <c r="B22" s="2"/>
      <c r="C22" s="7" t="s">
        <v>25</v>
      </c>
      <c r="D22" s="2"/>
      <c r="E22" s="2"/>
      <c r="F22" s="2"/>
      <c r="G22" s="2"/>
      <c r="H22" s="2"/>
      <c r="I22" s="2"/>
      <c r="J22" s="8"/>
      <c r="K22" s="8"/>
      <c r="L22" s="8"/>
      <c r="M22" s="8"/>
      <c r="N22" s="2"/>
      <c r="O22" s="2"/>
      <c r="P22" s="2"/>
      <c r="Q22" s="2"/>
    </row>
    <row r="23" spans="1:17">
      <c r="B23" s="2"/>
      <c r="C23" s="2" t="s">
        <v>48</v>
      </c>
      <c r="D23" s="2">
        <v>1.5</v>
      </c>
      <c r="E23" s="2"/>
      <c r="F23" s="2">
        <v>95.33</v>
      </c>
      <c r="G23" s="2"/>
      <c r="H23" s="2">
        <v>1</v>
      </c>
      <c r="I23" s="2">
        <v>1</v>
      </c>
      <c r="J23" s="8">
        <f t="shared" si="0"/>
        <v>142.995</v>
      </c>
      <c r="K23" s="8">
        <f t="shared" si="1"/>
        <v>0</v>
      </c>
      <c r="L23" s="8">
        <f t="shared" si="2"/>
        <v>142.995</v>
      </c>
      <c r="M23" s="8">
        <f t="shared" si="3"/>
        <v>0</v>
      </c>
      <c r="N23" s="2"/>
      <c r="O23" s="2"/>
      <c r="P23" s="2"/>
      <c r="Q23" s="2"/>
    </row>
    <row r="24" spans="1:17" ht="31.5">
      <c r="B24" s="2"/>
      <c r="C24" s="3" t="s">
        <v>50</v>
      </c>
      <c r="D24" s="2"/>
      <c r="E24" s="2">
        <v>5.16</v>
      </c>
      <c r="F24" s="2"/>
      <c r="G24" s="2">
        <v>34.56</v>
      </c>
      <c r="H24" s="2">
        <v>1</v>
      </c>
      <c r="I24" s="2">
        <v>1</v>
      </c>
      <c r="J24" s="8">
        <f t="shared" si="0"/>
        <v>0</v>
      </c>
      <c r="K24" s="8">
        <f t="shared" si="1"/>
        <v>178.32960000000003</v>
      </c>
      <c r="L24" s="8">
        <f t="shared" si="2"/>
        <v>0</v>
      </c>
      <c r="M24" s="8">
        <f t="shared" si="3"/>
        <v>178.32960000000003</v>
      </c>
      <c r="N24" s="2"/>
      <c r="O24" s="2"/>
      <c r="P24" s="2"/>
      <c r="Q24" s="2"/>
    </row>
    <row r="25" spans="1:17" ht="31.5">
      <c r="B25" s="2"/>
      <c r="C25" s="2" t="s">
        <v>49</v>
      </c>
      <c r="D25" s="2">
        <v>80.900000000000006</v>
      </c>
      <c r="E25" s="2"/>
      <c r="F25" s="2">
        <v>95.33</v>
      </c>
      <c r="G25" s="2"/>
      <c r="H25" s="2">
        <v>1</v>
      </c>
      <c r="I25" s="2">
        <v>1</v>
      </c>
      <c r="J25" s="8">
        <f>$D25*$F25*$H25</f>
        <v>7712.1970000000001</v>
      </c>
      <c r="K25" s="8">
        <f t="shared" si="1"/>
        <v>0</v>
      </c>
      <c r="L25" s="8">
        <f t="shared" si="2"/>
        <v>7712.1970000000001</v>
      </c>
      <c r="M25" s="8">
        <f t="shared" si="3"/>
        <v>0</v>
      </c>
      <c r="N25" s="2"/>
      <c r="O25" s="2"/>
      <c r="P25" s="2"/>
      <c r="Q25" s="2"/>
    </row>
    <row r="26" spans="1:17" hidden="1">
      <c r="B26" s="2"/>
      <c r="C26" s="2"/>
      <c r="D26" s="2"/>
      <c r="E26" s="2"/>
      <c r="F26" s="2"/>
      <c r="G26" s="2"/>
      <c r="H26" s="2"/>
      <c r="I26" s="2"/>
      <c r="J26" s="19" t="s">
        <v>8</v>
      </c>
      <c r="K26" s="19" t="s">
        <v>9</v>
      </c>
      <c r="L26" s="19" t="s">
        <v>13</v>
      </c>
      <c r="M26" s="19" t="s">
        <v>14</v>
      </c>
      <c r="N26" s="2"/>
      <c r="O26" s="2"/>
      <c r="P26" s="2"/>
      <c r="Q26" s="2"/>
    </row>
    <row r="27" spans="1:17" s="13" customFormat="1" ht="31.5">
      <c r="B27" s="487" t="s">
        <v>27</v>
      </c>
      <c r="C27" s="15" t="s">
        <v>26</v>
      </c>
      <c r="D27" s="14"/>
      <c r="E27" s="14"/>
      <c r="F27" s="14"/>
      <c r="G27" s="14"/>
      <c r="H27" s="14"/>
      <c r="I27" s="14"/>
      <c r="J27" s="16">
        <f>J11+J18+J21</f>
        <v>20033.601285000001</v>
      </c>
      <c r="K27" s="16">
        <f>K11+K18+K21</f>
        <v>1245.4905600000002</v>
      </c>
      <c r="L27" s="16">
        <f>L11+L18+L21</f>
        <v>19413.471700000002</v>
      </c>
      <c r="M27" s="16">
        <f>M11+M18+M21</f>
        <v>1130.4576</v>
      </c>
      <c r="N27" s="12"/>
      <c r="O27" s="12"/>
      <c r="P27" s="12"/>
      <c r="Q27" s="12"/>
    </row>
    <row r="28" spans="1:17">
      <c r="B28" s="488"/>
      <c r="C28" s="18" t="s">
        <v>30</v>
      </c>
      <c r="D28" s="17"/>
      <c r="E28" s="17"/>
      <c r="F28" s="17"/>
      <c r="G28" s="17"/>
      <c r="H28" s="17"/>
      <c r="I28" s="17"/>
      <c r="J28" s="485">
        <f>J27+K27</f>
        <v>21279.091845000003</v>
      </c>
      <c r="K28" s="486"/>
      <c r="L28" s="485">
        <f>L27+M27</f>
        <v>20543.929300000003</v>
      </c>
      <c r="M28" s="486"/>
      <c r="N28" s="2"/>
      <c r="O28" s="2"/>
      <c r="P28" s="2"/>
      <c r="Q28" s="2"/>
    </row>
    <row r="29" spans="1:17" ht="31.5">
      <c r="B29" s="487" t="s">
        <v>28</v>
      </c>
      <c r="C29" s="15" t="s">
        <v>29</v>
      </c>
      <c r="D29" s="14"/>
      <c r="E29" s="14"/>
      <c r="F29" s="14"/>
      <c r="G29" s="14"/>
      <c r="H29" s="14"/>
      <c r="I29" s="14"/>
      <c r="J29" s="16">
        <f>J11+0.9*J20+J15+J23+J24+J25</f>
        <v>13922.948285</v>
      </c>
      <c r="K29" s="16">
        <f t="shared" ref="K29:M29" si="5">K11+0.9*K20+K15+K23+K24+K25</f>
        <v>1167.7582080000002</v>
      </c>
      <c r="L29" s="16">
        <f t="shared" si="5"/>
        <v>13302.8187</v>
      </c>
      <c r="M29" s="16">
        <f t="shared" si="5"/>
        <v>1060.71552</v>
      </c>
    </row>
    <row r="30" spans="1:17">
      <c r="B30" s="488"/>
      <c r="C30" s="18" t="s">
        <v>30</v>
      </c>
      <c r="D30" s="17"/>
      <c r="E30" s="17"/>
      <c r="F30" s="17"/>
      <c r="G30" s="17"/>
      <c r="H30" s="17"/>
      <c r="I30" s="17"/>
      <c r="J30" s="485">
        <f t="shared" ref="J30" si="6">J29+K29</f>
        <v>15090.706493000002</v>
      </c>
      <c r="K30" s="486"/>
      <c r="L30" s="485">
        <f t="shared" ref="L30" si="7">L29+M29</f>
        <v>14363.53422</v>
      </c>
      <c r="M30" s="486"/>
    </row>
    <row r="32" spans="1:17">
      <c r="C32" s="3" t="s">
        <v>52</v>
      </c>
    </row>
    <row r="33" spans="3:9">
      <c r="C33" s="25" t="s">
        <v>53</v>
      </c>
      <c r="D33" s="26">
        <v>41</v>
      </c>
      <c r="H33" s="25" t="s">
        <v>54</v>
      </c>
      <c r="I33" s="27">
        <f>MAX(J28,J30)/$D$33</f>
        <v>519.00224012195133</v>
      </c>
    </row>
  </sheetData>
  <mergeCells count="18">
    <mergeCell ref="A13:A17"/>
    <mergeCell ref="L30:M30"/>
    <mergeCell ref="L28:M28"/>
    <mergeCell ref="B27:B28"/>
    <mergeCell ref="B29:B30"/>
    <mergeCell ref="J30:K30"/>
    <mergeCell ref="J28:K28"/>
    <mergeCell ref="B3:B4"/>
    <mergeCell ref="C3:C4"/>
    <mergeCell ref="D3:D4"/>
    <mergeCell ref="B6:B7"/>
    <mergeCell ref="J3:K3"/>
    <mergeCell ref="L3:M3"/>
    <mergeCell ref="E3:E4"/>
    <mergeCell ref="F3:F4"/>
    <mergeCell ref="G3:G4"/>
    <mergeCell ref="H3:H4"/>
    <mergeCell ref="I3:I4"/>
  </mergeCells>
  <pageMargins left="0.7" right="0.7" top="0.75" bottom="0.75" header="0.3" footer="0.3"/>
  <pageSetup paperSize="9" scale="38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Геология</vt:lpstr>
      <vt:lpstr>Скважина</vt:lpstr>
      <vt:lpstr>Стат.зонд</vt:lpstr>
      <vt:lpstr>Несущая способность по грунту 1</vt:lpstr>
      <vt:lpstr>Кбок.пов.сваи</vt:lpstr>
      <vt:lpstr>Осадка куста</vt:lpstr>
      <vt:lpstr>Осадка поля</vt:lpstr>
      <vt:lpstr>Служебный</vt:lpstr>
      <vt:lpstr>Нагрузка на сваю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Bayduraev Andrey A.</dc:creator>
  <cp:lastModifiedBy>Bayduraev Andrey A.</cp:lastModifiedBy>
  <cp:lastPrinted>2022-04-19T13:36:07Z</cp:lastPrinted>
  <dcterms:created xsi:type="dcterms:W3CDTF">2021-11-29T06:26:13Z</dcterms:created>
  <dcterms:modified xsi:type="dcterms:W3CDTF">2022-05-23T05:47:06Z</dcterms:modified>
</cp:coreProperties>
</file>