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EC44BA5B-F0B5-4CAA-9E32-DDE98485A855}" xr6:coauthVersionLast="47" xr6:coauthVersionMax="47" xr10:uidLastSave="{00000000-0000-0000-0000-000000000000}"/>
  <bookViews>
    <workbookView xWindow="2190" yWindow="720" windowWidth="19080" windowHeight="11900" firstSheet="7" activeTab="9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2" l="1"/>
  <c r="K5" i="12" s="1"/>
  <c r="F21" i="13" l="1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H14" i="13" s="1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H18" i="13"/>
  <c r="H6" i="13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G21" i="13" s="1"/>
  <c r="I22" i="1"/>
  <c r="H22" i="1"/>
  <c r="H23" i="8" s="1"/>
  <c r="I21" i="1"/>
  <c r="H21" i="1"/>
  <c r="G19" i="13" s="1"/>
  <c r="I20" i="1"/>
  <c r="H20" i="1"/>
  <c r="H21" i="8" s="1"/>
  <c r="I19" i="1"/>
  <c r="H19" i="1"/>
  <c r="H20" i="8" s="1"/>
  <c r="I18" i="1"/>
  <c r="H18" i="1"/>
  <c r="H19" i="8" s="1"/>
  <c r="I17" i="1"/>
  <c r="H17" i="1"/>
  <c r="H18" i="8" s="1"/>
  <c r="I16" i="1"/>
  <c r="H16" i="1"/>
  <c r="H17" i="8" s="1"/>
  <c r="I15" i="1"/>
  <c r="H15" i="1"/>
  <c r="H16" i="8" s="1"/>
  <c r="I14" i="1"/>
  <c r="H14" i="1"/>
  <c r="H15" i="8" s="1"/>
  <c r="I13" i="1"/>
  <c r="H13" i="1"/>
  <c r="G11" i="13" s="1"/>
  <c r="I12" i="1"/>
  <c r="H12" i="1"/>
  <c r="H13" i="8" s="1"/>
  <c r="I11" i="1"/>
  <c r="H11" i="1"/>
  <c r="H12" i="8" s="1"/>
  <c r="I10" i="1"/>
  <c r="H10" i="1"/>
  <c r="H11" i="8" s="1"/>
  <c r="I9" i="1"/>
  <c r="H9" i="1"/>
  <c r="H10" i="8" s="1"/>
  <c r="I8" i="1"/>
  <c r="H8" i="1"/>
  <c r="H9" i="8" s="1"/>
  <c r="F24" i="8"/>
  <c r="D24" i="8"/>
  <c r="C24" i="8"/>
  <c r="B24" i="8"/>
  <c r="F23" i="8"/>
  <c r="D23" i="8"/>
  <c r="C23" i="8"/>
  <c r="B23" i="8"/>
  <c r="F22" i="8"/>
  <c r="D22" i="8"/>
  <c r="C22" i="8"/>
  <c r="B22" i="8"/>
  <c r="F21" i="8"/>
  <c r="D21" i="8"/>
  <c r="C21" i="8"/>
  <c r="B21" i="8"/>
  <c r="F20" i="8"/>
  <c r="D20" i="8"/>
  <c r="C20" i="8"/>
  <c r="B20" i="8"/>
  <c r="F19" i="8"/>
  <c r="D19" i="8"/>
  <c r="C19" i="8"/>
  <c r="B19" i="8"/>
  <c r="F18" i="8"/>
  <c r="D18" i="8"/>
  <c r="C18" i="8"/>
  <c r="B18" i="8"/>
  <c r="F17" i="8"/>
  <c r="D17" i="8"/>
  <c r="C17" i="8"/>
  <c r="B17" i="8"/>
  <c r="F16" i="8"/>
  <c r="D16" i="8"/>
  <c r="C16" i="8"/>
  <c r="B16" i="8"/>
  <c r="F15" i="8"/>
  <c r="D15" i="8"/>
  <c r="C15" i="8"/>
  <c r="B15" i="8"/>
  <c r="F14" i="8"/>
  <c r="D14" i="8"/>
  <c r="C14" i="8"/>
  <c r="B14" i="8"/>
  <c r="F13" i="8"/>
  <c r="D13" i="8"/>
  <c r="C13" i="8"/>
  <c r="B13" i="8"/>
  <c r="F12" i="8"/>
  <c r="D12" i="8"/>
  <c r="C12" i="8"/>
  <c r="B12" i="8"/>
  <c r="F11" i="8"/>
  <c r="D11" i="8"/>
  <c r="C11" i="8"/>
  <c r="B11" i="8"/>
  <c r="F10" i="8"/>
  <c r="C10" i="8"/>
  <c r="B10" i="8"/>
  <c r="F8" i="8"/>
  <c r="E8" i="8"/>
  <c r="C8" i="8"/>
  <c r="B8" i="8"/>
  <c r="F9" i="8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H22" i="7" s="1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H18" i="7" s="1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H22" i="12" s="1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Q13" i="13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I11" i="12"/>
  <c r="G11" i="12"/>
  <c r="O11" i="12" s="1"/>
  <c r="F11" i="12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Q5" i="13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O6" i="12" s="1"/>
  <c r="G5" i="12"/>
  <c r="O5" i="12" s="1"/>
  <c r="G4" i="12"/>
  <c r="O4" i="12" s="1"/>
  <c r="G6" i="9"/>
  <c r="G5" i="9"/>
  <c r="G4" i="9"/>
  <c r="G6" i="7"/>
  <c r="G5" i="7"/>
  <c r="G4" i="7"/>
  <c r="G5" i="6"/>
  <c r="R5" i="6" s="1"/>
  <c r="G4" i="6"/>
  <c r="R4" i="6" s="1"/>
  <c r="L4" i="6" s="1"/>
  <c r="K2" i="13" s="1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1"/>
  <c r="I6" i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H7" i="7" l="1"/>
  <c r="V7" i="7" s="1"/>
  <c r="H7" i="9"/>
  <c r="H22" i="8"/>
  <c r="G12" i="13"/>
  <c r="G20" i="13"/>
  <c r="G4" i="13"/>
  <c r="F4" i="8"/>
  <c r="H40" i="6"/>
  <c r="H35" i="6"/>
  <c r="H56" i="9"/>
  <c r="H84" i="6"/>
  <c r="W84" i="6" s="1"/>
  <c r="H115" i="6"/>
  <c r="AB7" i="9"/>
  <c r="M7" i="9" s="1"/>
  <c r="T7" i="9" s="1"/>
  <c r="V5" i="13" s="1"/>
  <c r="Z7" i="9"/>
  <c r="K7" i="9" s="1"/>
  <c r="R7" i="9" s="1"/>
  <c r="T5" i="13" s="1"/>
  <c r="H11" i="12"/>
  <c r="N11" i="12" s="1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P7" i="7" s="1"/>
  <c r="AA7" i="9"/>
  <c r="L7" i="9" s="1"/>
  <c r="S7" i="9" s="1"/>
  <c r="U5" i="13" s="1"/>
  <c r="H70" i="6"/>
  <c r="H82" i="6"/>
  <c r="V82" i="6" s="1"/>
  <c r="H90" i="6"/>
  <c r="U90" i="6" s="1"/>
  <c r="H103" i="6"/>
  <c r="W103" i="6" s="1"/>
  <c r="R7" i="7"/>
  <c r="AC7" i="9"/>
  <c r="N7" i="9" s="1"/>
  <c r="U7" i="9" s="1"/>
  <c r="W5" i="13" s="1"/>
  <c r="H12" i="7"/>
  <c r="U12" i="7" s="1"/>
  <c r="M12" i="7" s="1"/>
  <c r="H16" i="7"/>
  <c r="V16" i="7" s="1"/>
  <c r="N16" i="7" s="1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U22" i="12"/>
  <c r="T22" i="12"/>
  <c r="S22" i="12"/>
  <c r="R22" i="12"/>
  <c r="Q22" i="12"/>
  <c r="K22" i="12" s="1"/>
  <c r="N22" i="12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T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J18" i="7" s="1"/>
  <c r="X18" i="7"/>
  <c r="P18" i="7" s="1"/>
  <c r="U18" i="7"/>
  <c r="M18" i="7" s="1"/>
  <c r="S18" i="7"/>
  <c r="K18" i="7" s="1"/>
  <c r="W18" i="7"/>
  <c r="O18" i="7" s="1"/>
  <c r="V18" i="7"/>
  <c r="N18" i="7" s="1"/>
  <c r="X22" i="7"/>
  <c r="V22" i="7"/>
  <c r="U22" i="7"/>
  <c r="M22" i="7" s="1"/>
  <c r="W22" i="7"/>
  <c r="O22" i="7" s="1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U70" i="6"/>
  <c r="M70" i="6" s="1"/>
  <c r="S81" i="6"/>
  <c r="T90" i="6"/>
  <c r="N90" i="6" s="1"/>
  <c r="W90" i="6"/>
  <c r="O90" i="6" s="1"/>
  <c r="V90" i="6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W21" i="7"/>
  <c r="O21" i="7" s="1"/>
  <c r="U21" i="7"/>
  <c r="M21" i="7" s="1"/>
  <c r="T21" i="7"/>
  <c r="V21" i="7"/>
  <c r="N21" i="7" s="1"/>
  <c r="S21" i="7"/>
  <c r="R21" i="7"/>
  <c r="J21" i="7" s="1"/>
  <c r="X21" i="7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U39" i="6"/>
  <c r="W60" i="6"/>
  <c r="O60" i="6" s="1"/>
  <c r="S82" i="6"/>
  <c r="M82" i="6" s="1"/>
  <c r="S89" i="6"/>
  <c r="W92" i="6"/>
  <c r="S105" i="6"/>
  <c r="M105" i="6" s="1"/>
  <c r="W115" i="6"/>
  <c r="T103" i="6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H10" i="6"/>
  <c r="H80" i="6"/>
  <c r="H116" i="6"/>
  <c r="K92" i="6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P21" i="7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J7" i="9"/>
  <c r="Q7" i="9" s="1"/>
  <c r="S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P22" i="7"/>
  <c r="K21" i="7"/>
  <c r="K22" i="7"/>
  <c r="N22" i="7"/>
  <c r="K30" i="7"/>
  <c r="J30" i="7"/>
  <c r="N30" i="7"/>
  <c r="L21" i="7"/>
  <c r="H50" i="7"/>
  <c r="H27" i="7"/>
  <c r="H36" i="7"/>
  <c r="J115" i="7"/>
  <c r="J29" i="7"/>
  <c r="H20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H4" i="12"/>
  <c r="AA4" i="12" s="1"/>
  <c r="H6" i="12"/>
  <c r="H5" i="12"/>
  <c r="H5" i="7"/>
  <c r="H4" i="7"/>
  <c r="H4" i="6"/>
  <c r="H6" i="9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W7" i="7" l="1"/>
  <c r="O7" i="7" s="1"/>
  <c r="U7" i="7"/>
  <c r="M7" i="7" s="1"/>
  <c r="T7" i="7"/>
  <c r="L7" i="7" s="1"/>
  <c r="S7" i="7"/>
  <c r="K7" i="7" s="1"/>
  <c r="Q11" i="12"/>
  <c r="K11" i="12" s="1"/>
  <c r="Q16" i="6"/>
  <c r="K16" i="6" s="1"/>
  <c r="J14" i="13" s="1"/>
  <c r="V16" i="6"/>
  <c r="T16" i="6"/>
  <c r="N16" i="6" s="1"/>
  <c r="M14" i="13" s="1"/>
  <c r="R11" i="12"/>
  <c r="T11" i="12"/>
  <c r="W15" i="6"/>
  <c r="Q15" i="6"/>
  <c r="K15" i="6" s="1"/>
  <c r="J13" i="13" s="1"/>
  <c r="Q15" i="12"/>
  <c r="K15" i="12" s="1"/>
  <c r="R15" i="12"/>
  <c r="S16" i="6"/>
  <c r="M16" i="6" s="1"/>
  <c r="L14" i="13" s="1"/>
  <c r="S15" i="12"/>
  <c r="S12" i="7"/>
  <c r="K12" i="7" s="1"/>
  <c r="T12" i="7"/>
  <c r="L12" i="7" s="1"/>
  <c r="S16" i="7"/>
  <c r="K16" i="7" s="1"/>
  <c r="U15" i="6"/>
  <c r="M15" i="6" s="1"/>
  <c r="L13" i="13" s="1"/>
  <c r="T15" i="6"/>
  <c r="N15" i="6" s="1"/>
  <c r="M13" i="13" s="1"/>
  <c r="V15" i="6"/>
  <c r="V12" i="7"/>
  <c r="N12" i="7" s="1"/>
  <c r="X16" i="7"/>
  <c r="P16" i="7" s="1"/>
  <c r="W16" i="7"/>
  <c r="O16" i="7" s="1"/>
  <c r="R16" i="7"/>
  <c r="J16" i="7" s="1"/>
  <c r="X12" i="7"/>
  <c r="P12" i="7" s="1"/>
  <c r="T16" i="7"/>
  <c r="L16" i="7" s="1"/>
  <c r="R12" i="7"/>
  <c r="J12" i="7" s="1"/>
  <c r="U16" i="7"/>
  <c r="M16" i="7" s="1"/>
  <c r="W12" i="7"/>
  <c r="O12" i="7" s="1"/>
  <c r="U15" i="12"/>
  <c r="U11" i="12"/>
  <c r="S11" i="12"/>
  <c r="X4" i="12"/>
  <c r="W4" i="12"/>
  <c r="AB75" i="9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K6" i="12" s="1"/>
  <c r="T6" i="7"/>
  <c r="L6" i="7" s="1"/>
  <c r="S6" i="7"/>
  <c r="R6" i="7"/>
  <c r="J6" i="7" s="1"/>
  <c r="X6" i="7"/>
  <c r="W6" i="7"/>
  <c r="O6" i="7" s="1"/>
  <c r="U6" i="7"/>
  <c r="M6" i="7" s="1"/>
  <c r="V6" i="7"/>
  <c r="N6" i="7" s="1"/>
  <c r="AB5" i="9"/>
  <c r="M5" i="9" s="1"/>
  <c r="T5" i="9" s="1"/>
  <c r="V3" i="13" s="1"/>
  <c r="AA5" i="9"/>
  <c r="L5" i="9" s="1"/>
  <c r="S5" i="9" s="1"/>
  <c r="U3" i="13" s="1"/>
  <c r="Z5" i="9"/>
  <c r="K5" i="9" s="1"/>
  <c r="R5" i="9" s="1"/>
  <c r="T3" i="13" s="1"/>
  <c r="Y5" i="9"/>
  <c r="J5" i="9" s="1"/>
  <c r="Q5" i="9" s="1"/>
  <c r="S3" i="13" s="1"/>
  <c r="AC5" i="9"/>
  <c r="AE5" i="9"/>
  <c r="P5" i="9" s="1"/>
  <c r="W5" i="9" s="1"/>
  <c r="Y3" i="13" s="1"/>
  <c r="AD5" i="9"/>
  <c r="R5" i="13"/>
  <c r="S5" i="7"/>
  <c r="K5" i="7" s="1"/>
  <c r="R5" i="7"/>
  <c r="J5" i="7" s="1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AC6" i="9"/>
  <c r="N6" i="9" s="1"/>
  <c r="U6" i="9" s="1"/>
  <c r="W4" i="13" s="1"/>
  <c r="AB6" i="9"/>
  <c r="M6" i="9" s="1"/>
  <c r="T6" i="9" s="1"/>
  <c r="V4" i="13" s="1"/>
  <c r="AD6" i="9"/>
  <c r="O6" i="9" s="1"/>
  <c r="V6" i="9" s="1"/>
  <c r="X4" i="13" s="1"/>
  <c r="AA6" i="9"/>
  <c r="Z6" i="9"/>
  <c r="K6" i="9" s="1"/>
  <c r="R6" i="9" s="1"/>
  <c r="T4" i="13" s="1"/>
  <c r="Y6" i="9"/>
  <c r="AE6" i="9"/>
  <c r="P6" i="9" s="1"/>
  <c r="W6" i="9" s="1"/>
  <c r="Y4" i="13" s="1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J4" i="9" s="1"/>
  <c r="Q4" i="9" s="1"/>
  <c r="S2" i="13" s="1"/>
  <c r="AE4" i="9"/>
  <c r="P4" i="9" s="1"/>
  <c r="W4" i="9" s="1"/>
  <c r="Y2" i="13" s="1"/>
  <c r="AD4" i="9"/>
  <c r="O4" i="9" s="1"/>
  <c r="V4" i="9" s="1"/>
  <c r="X2" i="13" s="1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N6" i="6" s="1"/>
  <c r="M4" i="13" s="1"/>
  <c r="S6" i="6"/>
  <c r="V4" i="6"/>
  <c r="U4" i="6"/>
  <c r="T4" i="6"/>
  <c r="N4" i="6" s="1"/>
  <c r="M2" i="13" s="1"/>
  <c r="S4" i="6"/>
  <c r="Q4" i="6"/>
  <c r="W4" i="6"/>
  <c r="P13" i="13"/>
  <c r="J15" i="12"/>
  <c r="O13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K19" i="12" s="1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N20" i="7" s="1"/>
  <c r="T20" i="7"/>
  <c r="L20" i="7" s="1"/>
  <c r="S20" i="7"/>
  <c r="K20" i="7" s="1"/>
  <c r="X20" i="7"/>
  <c r="P20" i="7" s="1"/>
  <c r="W20" i="7"/>
  <c r="O20" i="7" s="1"/>
  <c r="R20" i="7"/>
  <c r="J20" i="7" s="1"/>
  <c r="U20" i="7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M19" i="7" s="1"/>
  <c r="S19" i="7"/>
  <c r="K19" i="7" s="1"/>
  <c r="R19" i="7"/>
  <c r="J19" i="7" s="1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K21" i="6" s="1"/>
  <c r="J19" i="13" s="1"/>
  <c r="W21" i="6"/>
  <c r="V21" i="6"/>
  <c r="U21" i="6"/>
  <c r="T21" i="6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X11" i="7"/>
  <c r="T11" i="7"/>
  <c r="V11" i="7"/>
  <c r="N11" i="7" s="1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K14" i="9" s="1"/>
  <c r="R14" i="9" s="1"/>
  <c r="T12" i="13" s="1"/>
  <c r="AA14" i="9"/>
  <c r="L14" i="9" s="1"/>
  <c r="S14" i="9" s="1"/>
  <c r="U12" i="13" s="1"/>
  <c r="Y14" i="9"/>
  <c r="J14" i="9" s="1"/>
  <c r="Q14" i="9" s="1"/>
  <c r="S12" i="13" s="1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N22" i="6" s="1"/>
  <c r="M20" i="13" s="1"/>
  <c r="S22" i="6"/>
  <c r="Q22" i="6"/>
  <c r="K22" i="6" s="1"/>
  <c r="J20" i="13" s="1"/>
  <c r="U22" i="6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M27" i="6" s="1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O22" i="9" s="1"/>
  <c r="V22" i="9" s="1"/>
  <c r="X20" i="13" s="1"/>
  <c r="AC22" i="9"/>
  <c r="N22" i="9" s="1"/>
  <c r="U22" i="9" s="1"/>
  <c r="W20" i="13" s="1"/>
  <c r="Z22" i="9"/>
  <c r="K22" i="9" s="1"/>
  <c r="R22" i="9" s="1"/>
  <c r="T20" i="13" s="1"/>
  <c r="AA22" i="9"/>
  <c r="L22" i="9" s="1"/>
  <c r="S22" i="9" s="1"/>
  <c r="U20" i="13" s="1"/>
  <c r="AE22" i="9"/>
  <c r="P22" i="9" s="1"/>
  <c r="W22" i="9" s="1"/>
  <c r="Y20" i="13" s="1"/>
  <c r="Y22" i="9"/>
  <c r="J22" i="9" s="1"/>
  <c r="Q22" i="9" s="1"/>
  <c r="S20" i="13" s="1"/>
  <c r="AB22" i="9"/>
  <c r="U86" i="12"/>
  <c r="T86" i="12"/>
  <c r="R86" i="12"/>
  <c r="S86" i="12"/>
  <c r="Q86" i="12"/>
  <c r="K86" i="12" s="1"/>
  <c r="N86" i="12"/>
  <c r="AC13" i="9"/>
  <c r="N13" i="9" s="1"/>
  <c r="U13" i="9" s="1"/>
  <c r="W11" i="13" s="1"/>
  <c r="AB13" i="9"/>
  <c r="M13" i="9" s="1"/>
  <c r="T13" i="9" s="1"/>
  <c r="V11" i="13" s="1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O9" i="6" s="1"/>
  <c r="N7" i="13" s="1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O15" i="9" s="1"/>
  <c r="V15" i="9" s="1"/>
  <c r="X13" i="13" s="1"/>
  <c r="AA15" i="9"/>
  <c r="L15" i="9" s="1"/>
  <c r="S15" i="9" s="1"/>
  <c r="U13" i="13" s="1"/>
  <c r="Y15" i="9"/>
  <c r="J15" i="9" s="1"/>
  <c r="Q15" i="9" s="1"/>
  <c r="S13" i="13" s="1"/>
  <c r="AC15" i="9"/>
  <c r="N15" i="9" s="1"/>
  <c r="U15" i="9" s="1"/>
  <c r="W13" i="13" s="1"/>
  <c r="AB15" i="9"/>
  <c r="M15" i="9" s="1"/>
  <c r="T15" i="9" s="1"/>
  <c r="V13" i="13" s="1"/>
  <c r="Z15" i="9"/>
  <c r="K15" i="9" s="1"/>
  <c r="R15" i="9" s="1"/>
  <c r="T13" i="13" s="1"/>
  <c r="S17" i="7"/>
  <c r="X17" i="7"/>
  <c r="P17" i="7" s="1"/>
  <c r="W17" i="7"/>
  <c r="O17" i="7" s="1"/>
  <c r="V17" i="7"/>
  <c r="N17" i="7" s="1"/>
  <c r="T17" i="7"/>
  <c r="R17" i="7"/>
  <c r="U17" i="7"/>
  <c r="M17" i="7" s="1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L10" i="7" s="1"/>
  <c r="R10" i="7"/>
  <c r="V10" i="7"/>
  <c r="N10" i="7" s="1"/>
  <c r="U10" i="7"/>
  <c r="M10" i="7" s="1"/>
  <c r="X10" i="7"/>
  <c r="W10" i="7"/>
  <c r="O10" i="7" s="1"/>
  <c r="S10" i="7"/>
  <c r="K10" i="7" s="1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K10" i="6" s="1"/>
  <c r="J8" i="13" s="1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O8" i="6" s="1"/>
  <c r="N6" i="13" s="1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S26" i="7"/>
  <c r="K26" i="7" s="1"/>
  <c r="W26" i="7"/>
  <c r="O26" i="7" s="1"/>
  <c r="U26" i="7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M21" i="9" s="1"/>
  <c r="T21" i="9" s="1"/>
  <c r="V19" i="13" s="1"/>
  <c r="Y21" i="9"/>
  <c r="J21" i="9" s="1"/>
  <c r="Q21" i="9" s="1"/>
  <c r="S19" i="13" s="1"/>
  <c r="AD21" i="9"/>
  <c r="O21" i="9" s="1"/>
  <c r="V21" i="9" s="1"/>
  <c r="X19" i="13" s="1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K9" i="7" s="1"/>
  <c r="X9" i="7"/>
  <c r="P9" i="7" s="1"/>
  <c r="W9" i="7"/>
  <c r="O9" i="7" s="1"/>
  <c r="U9" i="7"/>
  <c r="T9" i="7"/>
  <c r="V9" i="7"/>
  <c r="N9" i="7" s="1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J23" i="7" s="1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R25" i="7"/>
  <c r="X25" i="7"/>
  <c r="V25" i="7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AB26" i="9"/>
  <c r="M26" i="9" s="1"/>
  <c r="T26" i="9" s="1"/>
  <c r="AA26" i="9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M25" i="6" s="1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AE27" i="9"/>
  <c r="P27" i="9" s="1"/>
  <c r="W27" i="9" s="1"/>
  <c r="AD27" i="9"/>
  <c r="Y27" i="9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M14" i="7" s="1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O8" i="7" s="1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48" i="7"/>
  <c r="J91" i="7"/>
  <c r="M88" i="6"/>
  <c r="M52" i="7"/>
  <c r="K121" i="9"/>
  <c r="R121" i="9" s="1"/>
  <c r="K25" i="9"/>
  <c r="R25" i="9" s="1"/>
  <c r="L43" i="7"/>
  <c r="O71" i="6"/>
  <c r="O83" i="6"/>
  <c r="M75" i="6"/>
  <c r="M39" i="6"/>
  <c r="K96" i="6"/>
  <c r="K71" i="6"/>
  <c r="K39" i="9"/>
  <c r="R39" i="9" s="1"/>
  <c r="K83" i="6"/>
  <c r="L93" i="7"/>
  <c r="J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K46" i="12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L50" i="9"/>
  <c r="S50" i="9" s="1"/>
  <c r="O84" i="6"/>
  <c r="K102" i="7"/>
  <c r="J102" i="7"/>
  <c r="M102" i="7"/>
  <c r="K120" i="12"/>
  <c r="M106" i="7"/>
  <c r="O87" i="9"/>
  <c r="V87" i="9" s="1"/>
  <c r="P55" i="9"/>
  <c r="W55" i="9" s="1"/>
  <c r="K74" i="9"/>
  <c r="R74" i="9" s="1"/>
  <c r="J50" i="9"/>
  <c r="Q50" i="9" s="1"/>
  <c r="J47" i="9"/>
  <c r="Q47" i="9" s="1"/>
  <c r="P50" i="9"/>
  <c r="W50" i="9" s="1"/>
  <c r="K107" i="7"/>
  <c r="O39" i="6"/>
  <c r="O105" i="6"/>
  <c r="O49" i="7"/>
  <c r="J49" i="7"/>
  <c r="N49" i="7"/>
  <c r="M49" i="7"/>
  <c r="K49" i="7"/>
  <c r="L49" i="7"/>
  <c r="K47" i="12"/>
  <c r="P67" i="7"/>
  <c r="O67" i="7"/>
  <c r="J89" i="6"/>
  <c r="P87" i="9"/>
  <c r="W87" i="9" s="1"/>
  <c r="N74" i="9"/>
  <c r="U74" i="9" s="1"/>
  <c r="P51" i="9"/>
  <c r="W51" i="9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M22" i="9"/>
  <c r="T22" i="9" s="1"/>
  <c r="V20" i="13" s="1"/>
  <c r="O15" i="6"/>
  <c r="L24" i="7"/>
  <c r="K91" i="6"/>
  <c r="M41" i="7"/>
  <c r="P53" i="9"/>
  <c r="W53" i="9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L11" i="7"/>
  <c r="O11" i="7"/>
  <c r="K11" i="7"/>
  <c r="P11" i="7"/>
  <c r="K109" i="7"/>
  <c r="O109" i="7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N26" i="9"/>
  <c r="U26" i="9" s="1"/>
  <c r="L26" i="9"/>
  <c r="S26" i="9" s="1"/>
  <c r="O25" i="7"/>
  <c r="L25" i="7"/>
  <c r="P25" i="7"/>
  <c r="J25" i="7"/>
  <c r="N25" i="7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K26" i="6"/>
  <c r="O101" i="6"/>
  <c r="N121" i="6"/>
  <c r="N50" i="6"/>
  <c r="K50" i="6"/>
  <c r="K42" i="6"/>
  <c r="O93" i="6"/>
  <c r="O40" i="6"/>
  <c r="K80" i="6"/>
  <c r="N80" i="6"/>
  <c r="M80" i="6"/>
  <c r="O24" i="6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L75" i="7"/>
  <c r="K75" i="7"/>
  <c r="L87" i="7"/>
  <c r="P87" i="7"/>
  <c r="O87" i="7"/>
  <c r="N87" i="7"/>
  <c r="K87" i="7"/>
  <c r="L41" i="7"/>
  <c r="K41" i="7"/>
  <c r="J41" i="7"/>
  <c r="K108" i="12"/>
  <c r="K60" i="12"/>
  <c r="N21" i="6"/>
  <c r="M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M9" i="7"/>
  <c r="L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O16" i="6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J17" i="7"/>
  <c r="L17" i="7"/>
  <c r="K17" i="7"/>
  <c r="M26" i="7"/>
  <c r="L26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K27" i="9"/>
  <c r="R27" i="9" s="1"/>
  <c r="J27" i="9"/>
  <c r="Q27" i="9" s="1"/>
  <c r="O27" i="9"/>
  <c r="V27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M20" i="7"/>
  <c r="P27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K18" i="12"/>
  <c r="J115" i="6"/>
  <c r="Y4" i="12"/>
  <c r="K4" i="12"/>
  <c r="W5" i="12"/>
  <c r="AA6" i="12"/>
  <c r="X5" i="12"/>
  <c r="W6" i="12"/>
  <c r="Y5" i="12"/>
  <c r="X6" i="12"/>
  <c r="Z5" i="12"/>
  <c r="AC6" i="12"/>
  <c r="Y6" i="12"/>
  <c r="AA5" i="12"/>
  <c r="Z6" i="12"/>
  <c r="AC5" i="12"/>
  <c r="AB6" i="12"/>
  <c r="AB5" i="12"/>
  <c r="M4" i="7"/>
  <c r="O5" i="6"/>
  <c r="N3" i="13" s="1"/>
  <c r="N5" i="6"/>
  <c r="M3" i="13" s="1"/>
  <c r="O5" i="9"/>
  <c r="V5" i="9" s="1"/>
  <c r="X3" i="13" s="1"/>
  <c r="K5" i="6"/>
  <c r="J3" i="13" s="1"/>
  <c r="P6" i="7"/>
  <c r="K6" i="7"/>
  <c r="L6" i="9"/>
  <c r="S6" i="9" s="1"/>
  <c r="U4" i="13" s="1"/>
  <c r="M8" i="6" l="1"/>
  <c r="L6" i="13" s="1"/>
  <c r="M11" i="6"/>
  <c r="L9" i="13" s="1"/>
  <c r="O6" i="6"/>
  <c r="N4" i="13" s="1"/>
  <c r="M23" i="6"/>
  <c r="L21" i="13" s="1"/>
  <c r="M12" i="6"/>
  <c r="L10" i="13" s="1"/>
  <c r="M22" i="6"/>
  <c r="L20" i="13" s="1"/>
  <c r="O4" i="6"/>
  <c r="N2" i="13" s="1"/>
  <c r="L23" i="8"/>
  <c r="M17" i="6"/>
  <c r="L15" i="13" s="1"/>
  <c r="O11" i="6"/>
  <c r="N9" i="13" s="1"/>
  <c r="L16" i="8"/>
  <c r="L12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J63" i="12"/>
  <c r="J106" i="12"/>
  <c r="J90" i="12"/>
  <c r="J41" i="12"/>
  <c r="J120" i="12"/>
  <c r="J55" i="12"/>
  <c r="J123" i="12"/>
  <c r="J68" i="6"/>
  <c r="J70" i="6"/>
  <c r="J105" i="6"/>
  <c r="J25" i="12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J84" i="6"/>
  <c r="J88" i="12"/>
  <c r="J64" i="12"/>
  <c r="J29" i="12"/>
  <c r="J59" i="12"/>
  <c r="M96" i="6"/>
  <c r="J51" i="12"/>
  <c r="M97" i="6"/>
  <c r="J86" i="12"/>
  <c r="J58" i="12"/>
  <c r="O27" i="6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J16" i="6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J24" i="6"/>
  <c r="M22" i="8"/>
  <c r="M52" i="6"/>
  <c r="J39" i="6"/>
  <c r="O17" i="6"/>
  <c r="J8" i="6"/>
  <c r="M6" i="8"/>
  <c r="M18" i="8"/>
  <c r="M23" i="8"/>
  <c r="M5" i="8"/>
  <c r="J27" i="6"/>
  <c r="J120" i="6"/>
  <c r="J80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L18" i="8" l="1"/>
  <c r="J11" i="6"/>
  <c r="K12" i="8" s="1"/>
  <c r="J12" i="8" s="1"/>
  <c r="L24" i="8"/>
  <c r="L19" i="8"/>
  <c r="J9" i="6"/>
  <c r="K10" i="8" s="1"/>
  <c r="L8" i="8"/>
  <c r="L10" i="8"/>
  <c r="J29" i="6"/>
  <c r="J51" i="6"/>
  <c r="J85" i="6"/>
  <c r="J122" i="6"/>
  <c r="J83" i="6"/>
  <c r="J25" i="6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I6" i="13"/>
  <c r="L15" i="8"/>
  <c r="J20" i="6"/>
  <c r="J98" i="6"/>
  <c r="J111" i="6"/>
  <c r="J114" i="6"/>
  <c r="J46" i="6"/>
  <c r="J95" i="6"/>
  <c r="M4" i="8"/>
  <c r="J113" i="6"/>
  <c r="J86" i="6"/>
  <c r="J66" i="6"/>
  <c r="J106" i="6"/>
  <c r="J54" i="6"/>
  <c r="J32" i="6"/>
  <c r="J26" i="6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I9" i="13" l="1"/>
  <c r="J9" i="8"/>
  <c r="I7" i="13"/>
  <c r="J10" i="8"/>
  <c r="K7" i="8"/>
  <c r="K19" i="8"/>
  <c r="J19" i="8" s="1"/>
  <c r="I16" i="13"/>
  <c r="J7" i="8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J6" i="8" s="1"/>
  <c r="I3" i="13"/>
  <c r="K21" i="8"/>
  <c r="J21" i="8" s="1"/>
  <c r="I18" i="13"/>
  <c r="K15" i="8"/>
  <c r="J15" i="8" s="1"/>
  <c r="I12" i="13"/>
  <c r="K13" i="8"/>
  <c r="J13" i="8" s="1"/>
  <c r="I10" i="13"/>
  <c r="L4" i="8"/>
  <c r="K5" i="8"/>
  <c r="J5" i="8" s="1"/>
  <c r="I2" i="13"/>
  <c r="K14" i="8"/>
  <c r="J14" i="8" s="1"/>
  <c r="I11" i="13"/>
  <c r="K18" i="8"/>
  <c r="J18" i="8" s="1"/>
  <c r="I15" i="13"/>
  <c r="K11" i="8"/>
  <c r="J11" i="8" s="1"/>
  <c r="I8" i="13"/>
  <c r="K24" i="8"/>
  <c r="J24" i="8" s="1"/>
  <c r="I21" i="13"/>
  <c r="J4" i="8" l="1"/>
  <c r="K4" i="8"/>
  <c r="E56" i="3"/>
  <c r="J56" i="3"/>
  <c r="E61" i="3"/>
  <c r="J61" i="3"/>
  <c r="E62" i="3"/>
  <c r="J62" i="3"/>
  <c r="E39" i="3"/>
  <c r="E59" i="3"/>
  <c r="J59" i="3"/>
  <c r="E42" i="3"/>
  <c r="E40" i="3"/>
  <c r="E60" i="3"/>
  <c r="J60" i="3"/>
  <c r="J40" i="3"/>
  <c r="J50" i="3"/>
  <c r="E50" i="3"/>
  <c r="J39" i="3"/>
  <c r="J49" i="3"/>
  <c r="E49" i="3"/>
  <c r="E48" i="3"/>
  <c r="E37" i="3"/>
  <c r="E57" i="3"/>
  <c r="J57" i="3"/>
  <c r="E36" i="3"/>
  <c r="E51" i="3"/>
  <c r="J37" i="3"/>
  <c r="J47" i="3"/>
  <c r="E47" i="3"/>
  <c r="J51" i="3"/>
  <c r="J41" i="3"/>
  <c r="E41" i="3"/>
  <c r="J58" i="3"/>
  <c r="E58" i="3"/>
  <c r="J36" i="3"/>
  <c r="J46" i="3"/>
  <c r="E46" i="3"/>
  <c r="J48" i="3"/>
  <c r="J38" i="3"/>
  <c r="E38" i="3"/>
  <c r="J42" i="3"/>
  <c r="J52" i="3"/>
  <c r="E52" i="3"/>
</calcChain>
</file>

<file path=xl/sharedStrings.xml><?xml version="1.0" encoding="utf-8"?>
<sst xmlns="http://schemas.openxmlformats.org/spreadsheetml/2006/main" count="477" uniqueCount="109">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</sst>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99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178" fontId="0" fillId="0" borderId="1" xfId="0" applyNumberForma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I124"/>
  <sheetViews>
    <sheetView zoomScale="85" zoomScaleNormal="85" workbookViewId="0">
      <selection activeCell="E5" sqref="E5:E23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9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9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9">
      <c r="B4" s="18">
        <v>2</v>
      </c>
      <c r="C4" s="18">
        <v>1</v>
      </c>
      <c r="D4" s="18">
        <v>2</v>
      </c>
      <c r="E4" s="18">
        <v>2</v>
      </c>
      <c r="F4" s="18">
        <v>5</v>
      </c>
      <c r="G4" s="18">
        <v>0</v>
      </c>
      <c r="H4" s="14" t="str">
        <f>D4&amp;E4</f>
        <v>22</v>
      </c>
      <c r="I4" s="16">
        <f>F4*365*0.8</f>
        <v>1460</v>
      </c>
    </row>
    <row r="5" spans="2:9">
      <c r="B5" s="18">
        <v>2</v>
      </c>
      <c r="C5" s="18">
        <v>2</v>
      </c>
      <c r="D5" s="18">
        <v>2</v>
      </c>
      <c r="E5" s="18">
        <v>2</v>
      </c>
      <c r="F5" s="18">
        <v>10</v>
      </c>
      <c r="G5" s="18">
        <v>0</v>
      </c>
      <c r="H5" s="14" t="str">
        <f>D5&amp;E5</f>
        <v>22</v>
      </c>
      <c r="I5" s="16">
        <f>F5*365*0.8</f>
        <v>2920</v>
      </c>
    </row>
    <row r="6" spans="2:9">
      <c r="B6" s="18">
        <v>2</v>
      </c>
      <c r="C6" s="18">
        <v>3</v>
      </c>
      <c r="D6" s="18">
        <v>2</v>
      </c>
      <c r="E6" s="18">
        <v>2</v>
      </c>
      <c r="F6" s="18">
        <v>15</v>
      </c>
      <c r="G6" s="18">
        <v>0</v>
      </c>
      <c r="H6" s="14" t="str">
        <f>D6&amp;E6</f>
        <v>22</v>
      </c>
      <c r="I6" s="16">
        <f>F6*365*0.8</f>
        <v>4380</v>
      </c>
    </row>
    <row r="7" spans="2:9">
      <c r="B7" s="18">
        <v>2</v>
      </c>
      <c r="C7" s="18">
        <v>4</v>
      </c>
      <c r="D7" s="18">
        <v>2</v>
      </c>
      <c r="E7" s="18">
        <v>2</v>
      </c>
      <c r="F7" s="18">
        <v>20</v>
      </c>
      <c r="G7" s="18">
        <v>0</v>
      </c>
      <c r="H7" s="14" t="str">
        <f>D7&amp;E7</f>
        <v>22</v>
      </c>
      <c r="I7" s="16">
        <f>F7*365*0.8</f>
        <v>5840</v>
      </c>
    </row>
    <row r="8" spans="2:9">
      <c r="B8" s="18">
        <v>2</v>
      </c>
      <c r="C8" s="18">
        <v>5</v>
      </c>
      <c r="D8" s="18">
        <v>2</v>
      </c>
      <c r="E8" s="18">
        <v>2</v>
      </c>
      <c r="F8" s="18">
        <v>25</v>
      </c>
      <c r="G8" s="18">
        <v>0</v>
      </c>
      <c r="H8" s="14" t="str">
        <f t="shared" ref="H8:H71" si="0">D8&amp;E8</f>
        <v>22</v>
      </c>
      <c r="I8" s="16">
        <f t="shared" ref="I8:I71" si="1">F8*365*0.8</f>
        <v>7300</v>
      </c>
    </row>
    <row r="9" spans="2:9">
      <c r="B9" s="18">
        <v>3</v>
      </c>
      <c r="C9" s="18">
        <v>6</v>
      </c>
      <c r="D9" s="18">
        <v>2</v>
      </c>
      <c r="E9" s="18">
        <v>2</v>
      </c>
      <c r="F9" s="18">
        <v>30</v>
      </c>
      <c r="G9" s="18">
        <v>0</v>
      </c>
      <c r="H9" s="14" t="str">
        <f t="shared" si="0"/>
        <v>22</v>
      </c>
      <c r="I9" s="16">
        <f t="shared" si="1"/>
        <v>8760</v>
      </c>
    </row>
    <row r="10" spans="2:9">
      <c r="B10" s="18">
        <v>3</v>
      </c>
      <c r="C10" s="18">
        <v>7</v>
      </c>
      <c r="D10" s="18">
        <v>2</v>
      </c>
      <c r="E10" s="18">
        <v>2</v>
      </c>
      <c r="F10" s="18">
        <v>35</v>
      </c>
      <c r="G10" s="18">
        <v>0</v>
      </c>
      <c r="H10" s="14" t="str">
        <f t="shared" si="0"/>
        <v>22</v>
      </c>
      <c r="I10" s="16">
        <f t="shared" si="1"/>
        <v>10220</v>
      </c>
    </row>
    <row r="11" spans="2:9">
      <c r="B11" s="18">
        <v>3</v>
      </c>
      <c r="C11" s="18">
        <v>8</v>
      </c>
      <c r="D11" s="18">
        <v>2</v>
      </c>
      <c r="E11" s="18">
        <v>2</v>
      </c>
      <c r="F11" s="18">
        <v>40</v>
      </c>
      <c r="G11" s="18">
        <v>0</v>
      </c>
      <c r="H11" s="14" t="str">
        <f t="shared" si="0"/>
        <v>22</v>
      </c>
      <c r="I11" s="16">
        <f t="shared" si="1"/>
        <v>11680</v>
      </c>
    </row>
    <row r="12" spans="2:9">
      <c r="B12" s="18">
        <v>3</v>
      </c>
      <c r="C12" s="18">
        <v>9</v>
      </c>
      <c r="D12" s="18">
        <v>2</v>
      </c>
      <c r="E12" s="18">
        <v>2</v>
      </c>
      <c r="F12" s="18">
        <v>45</v>
      </c>
      <c r="G12" s="18">
        <v>0</v>
      </c>
      <c r="H12" s="14" t="str">
        <f t="shared" si="0"/>
        <v>22</v>
      </c>
      <c r="I12" s="16">
        <f t="shared" si="1"/>
        <v>13140</v>
      </c>
    </row>
    <row r="13" spans="2:9">
      <c r="B13" s="18">
        <v>3</v>
      </c>
      <c r="C13" s="18">
        <v>10</v>
      </c>
      <c r="D13" s="18">
        <v>2</v>
      </c>
      <c r="E13" s="18">
        <v>2</v>
      </c>
      <c r="F13" s="18">
        <v>50</v>
      </c>
      <c r="G13" s="18">
        <v>0</v>
      </c>
      <c r="H13" s="14" t="str">
        <f t="shared" si="0"/>
        <v>22</v>
      </c>
      <c r="I13" s="16">
        <f t="shared" si="1"/>
        <v>14600</v>
      </c>
    </row>
    <row r="14" spans="2:9">
      <c r="B14" s="18">
        <v>1</v>
      </c>
      <c r="C14" s="18">
        <v>11</v>
      </c>
      <c r="D14" s="18">
        <v>2</v>
      </c>
      <c r="E14" s="18">
        <v>2</v>
      </c>
      <c r="F14" s="18">
        <v>55</v>
      </c>
      <c r="G14" s="18">
        <v>0</v>
      </c>
      <c r="H14" s="14" t="str">
        <f t="shared" si="0"/>
        <v>22</v>
      </c>
      <c r="I14" s="16">
        <f t="shared" si="1"/>
        <v>16060</v>
      </c>
    </row>
    <row r="15" spans="2:9">
      <c r="B15" s="18">
        <v>1</v>
      </c>
      <c r="C15" s="18">
        <v>12</v>
      </c>
      <c r="D15" s="18">
        <v>2</v>
      </c>
      <c r="E15" s="18">
        <v>2</v>
      </c>
      <c r="F15" s="18">
        <v>60</v>
      </c>
      <c r="G15" s="18">
        <v>0</v>
      </c>
      <c r="H15" s="14" t="str">
        <f t="shared" si="0"/>
        <v>22</v>
      </c>
      <c r="I15" s="16">
        <f t="shared" si="1"/>
        <v>17520</v>
      </c>
    </row>
    <row r="16" spans="2:9">
      <c r="B16" s="18">
        <v>1</v>
      </c>
      <c r="C16" s="18">
        <v>13</v>
      </c>
      <c r="D16" s="18">
        <v>2</v>
      </c>
      <c r="E16" s="18">
        <v>2</v>
      </c>
      <c r="F16" s="18">
        <v>65</v>
      </c>
      <c r="G16" s="18">
        <v>0</v>
      </c>
      <c r="H16" s="14" t="str">
        <f t="shared" si="0"/>
        <v>22</v>
      </c>
      <c r="I16" s="16">
        <f t="shared" si="1"/>
        <v>18980</v>
      </c>
    </row>
    <row r="17" spans="2:9">
      <c r="B17" s="18">
        <v>1</v>
      </c>
      <c r="C17" s="18">
        <v>14</v>
      </c>
      <c r="D17" s="18">
        <v>2</v>
      </c>
      <c r="E17" s="18">
        <v>2</v>
      </c>
      <c r="F17" s="18">
        <v>70</v>
      </c>
      <c r="G17" s="18">
        <v>0</v>
      </c>
      <c r="H17" s="14" t="str">
        <f t="shared" si="0"/>
        <v>22</v>
      </c>
      <c r="I17" s="16">
        <f t="shared" si="1"/>
        <v>20440</v>
      </c>
    </row>
    <row r="18" spans="2:9">
      <c r="B18" s="18">
        <v>1</v>
      </c>
      <c r="C18" s="18">
        <v>15</v>
      </c>
      <c r="D18" s="18">
        <v>2</v>
      </c>
      <c r="E18" s="18">
        <v>2</v>
      </c>
      <c r="F18" s="18">
        <v>75</v>
      </c>
      <c r="G18" s="18">
        <v>0</v>
      </c>
      <c r="H18" s="14" t="str">
        <f t="shared" si="0"/>
        <v>22</v>
      </c>
      <c r="I18" s="16">
        <f t="shared" si="1"/>
        <v>21900</v>
      </c>
    </row>
    <row r="19" spans="2:9">
      <c r="B19" s="18">
        <v>1</v>
      </c>
      <c r="C19" s="18">
        <v>16</v>
      </c>
      <c r="D19" s="18">
        <v>2</v>
      </c>
      <c r="E19" s="18">
        <v>2</v>
      </c>
      <c r="F19" s="18">
        <v>80</v>
      </c>
      <c r="G19" s="18">
        <v>0</v>
      </c>
      <c r="H19" s="14" t="str">
        <f t="shared" si="0"/>
        <v>22</v>
      </c>
      <c r="I19" s="16">
        <f t="shared" si="1"/>
        <v>23360</v>
      </c>
    </row>
    <row r="20" spans="2:9">
      <c r="B20" s="18">
        <v>4</v>
      </c>
      <c r="C20" s="18">
        <v>17</v>
      </c>
      <c r="D20" s="18">
        <v>2</v>
      </c>
      <c r="E20" s="18">
        <v>2</v>
      </c>
      <c r="F20" s="18">
        <v>85</v>
      </c>
      <c r="G20" s="18">
        <v>0</v>
      </c>
      <c r="H20" s="14" t="str">
        <f t="shared" si="0"/>
        <v>22</v>
      </c>
      <c r="I20" s="16">
        <f t="shared" si="1"/>
        <v>24820</v>
      </c>
    </row>
    <row r="21" spans="2:9">
      <c r="B21" s="18">
        <v>4</v>
      </c>
      <c r="C21" s="18">
        <v>18</v>
      </c>
      <c r="D21" s="18">
        <v>2</v>
      </c>
      <c r="E21" s="18">
        <v>2</v>
      </c>
      <c r="F21" s="18">
        <v>90</v>
      </c>
      <c r="G21" s="18">
        <v>0</v>
      </c>
      <c r="H21" s="14" t="str">
        <f t="shared" si="0"/>
        <v>22</v>
      </c>
      <c r="I21" s="16">
        <f t="shared" si="1"/>
        <v>26280</v>
      </c>
    </row>
    <row r="22" spans="2:9">
      <c r="B22" s="18">
        <v>4</v>
      </c>
      <c r="C22" s="18">
        <v>19</v>
      </c>
      <c r="D22" s="18">
        <v>2</v>
      </c>
      <c r="E22" s="18">
        <v>2</v>
      </c>
      <c r="F22" s="18">
        <v>95</v>
      </c>
      <c r="G22" s="18">
        <v>0</v>
      </c>
      <c r="H22" s="14" t="str">
        <f t="shared" si="0"/>
        <v>22</v>
      </c>
      <c r="I22" s="16">
        <f t="shared" si="1"/>
        <v>27740</v>
      </c>
    </row>
    <row r="23" spans="2:9">
      <c r="B23" s="18">
        <v>4</v>
      </c>
      <c r="C23" s="18">
        <v>20</v>
      </c>
      <c r="D23" s="18">
        <v>2</v>
      </c>
      <c r="E23" s="18">
        <v>2</v>
      </c>
      <c r="F23" s="18">
        <v>100</v>
      </c>
      <c r="G23" s="18">
        <v>0</v>
      </c>
      <c r="H23" s="14" t="str">
        <f t="shared" si="0"/>
        <v>22</v>
      </c>
      <c r="I23" s="16">
        <f t="shared" si="1"/>
        <v>29200</v>
      </c>
    </row>
    <row r="24" spans="2:9">
      <c r="B24" s="18"/>
      <c r="C24" s="18"/>
      <c r="D24" s="18"/>
      <c r="E24" s="18"/>
      <c r="F24" s="18"/>
      <c r="G24" s="18"/>
      <c r="H24" s="14" t="str">
        <f t="shared" si="0"/>
        <v/>
      </c>
      <c r="I24" s="16">
        <f t="shared" si="1"/>
        <v>0</v>
      </c>
    </row>
    <row r="25" spans="2:9">
      <c r="B25" s="18"/>
      <c r="C25" s="18"/>
      <c r="D25" s="18"/>
      <c r="E25" s="18"/>
      <c r="F25" s="18"/>
      <c r="G25" s="18"/>
      <c r="H25" s="14" t="str">
        <f t="shared" si="0"/>
        <v/>
      </c>
      <c r="I25" s="16">
        <f t="shared" si="1"/>
        <v>0</v>
      </c>
    </row>
    <row r="26" spans="2:9">
      <c r="B26" s="18"/>
      <c r="C26" s="18"/>
      <c r="D26" s="18"/>
      <c r="E26" s="18"/>
      <c r="F26" s="18"/>
      <c r="G26" s="18"/>
      <c r="H26" s="14" t="str">
        <f t="shared" si="0"/>
        <v/>
      </c>
      <c r="I26" s="16">
        <f t="shared" si="1"/>
        <v>0</v>
      </c>
    </row>
    <row r="27" spans="2:9">
      <c r="B27" s="18"/>
      <c r="C27" s="18"/>
      <c r="D27" s="18"/>
      <c r="E27" s="18"/>
      <c r="F27" s="18"/>
      <c r="G27" s="18"/>
      <c r="H27" s="14" t="str">
        <f t="shared" si="0"/>
        <v/>
      </c>
      <c r="I27" s="16">
        <f t="shared" si="1"/>
        <v>0</v>
      </c>
    </row>
    <row r="28" spans="2:9">
      <c r="B28" s="18"/>
      <c r="C28" s="18"/>
      <c r="D28" s="18"/>
      <c r="E28" s="18"/>
      <c r="F28" s="18"/>
      <c r="G28" s="18"/>
      <c r="H28" s="14" t="str">
        <f t="shared" si="0"/>
        <v/>
      </c>
      <c r="I28" s="16">
        <f t="shared" si="1"/>
        <v>0</v>
      </c>
    </row>
    <row r="29" spans="2:9">
      <c r="B29" s="18"/>
      <c r="C29" s="18"/>
      <c r="D29" s="18"/>
      <c r="E29" s="18"/>
      <c r="F29" s="18"/>
      <c r="G29" s="18"/>
      <c r="H29" s="14" t="str">
        <f t="shared" si="0"/>
        <v/>
      </c>
      <c r="I29" s="16">
        <f t="shared" si="1"/>
        <v>0</v>
      </c>
    </row>
    <row r="30" spans="2:9">
      <c r="B30" s="18"/>
      <c r="C30" s="18"/>
      <c r="D30" s="18"/>
      <c r="E30" s="18"/>
      <c r="F30" s="18"/>
      <c r="G30" s="18"/>
      <c r="H30" s="14" t="str">
        <f t="shared" si="0"/>
        <v/>
      </c>
      <c r="I30" s="16">
        <f t="shared" si="1"/>
        <v>0</v>
      </c>
    </row>
    <row r="31" spans="2:9">
      <c r="B31" s="18"/>
      <c r="C31" s="18"/>
      <c r="D31" s="18"/>
      <c r="E31" s="18"/>
      <c r="F31" s="18"/>
      <c r="G31" s="18"/>
      <c r="H31" s="14" t="str">
        <f t="shared" si="0"/>
        <v/>
      </c>
      <c r="I31" s="16">
        <f t="shared" si="1"/>
        <v>0</v>
      </c>
    </row>
    <row r="32" spans="2:9">
      <c r="B32" s="18"/>
      <c r="C32" s="18"/>
      <c r="D32" s="18"/>
      <c r="E32" s="18"/>
      <c r="F32" s="18"/>
      <c r="G32" s="18"/>
      <c r="H32" s="14" t="str">
        <f t="shared" si="0"/>
        <v/>
      </c>
      <c r="I32" s="16">
        <f t="shared" si="1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0"/>
        <v/>
      </c>
      <c r="I33" s="16">
        <f t="shared" si="1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0"/>
        <v/>
      </c>
      <c r="I34" s="16">
        <f t="shared" si="1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0"/>
        <v/>
      </c>
      <c r="I35" s="16">
        <f t="shared" si="1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0"/>
        <v/>
      </c>
      <c r="I36" s="16">
        <f t="shared" si="1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0"/>
        <v/>
      </c>
      <c r="I37" s="16">
        <f t="shared" si="1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0"/>
        <v/>
      </c>
      <c r="I38" s="16">
        <f t="shared" si="1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0"/>
        <v/>
      </c>
      <c r="I39" s="16">
        <f t="shared" si="1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0"/>
        <v/>
      </c>
      <c r="I40" s="16">
        <f t="shared" si="1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0"/>
        <v/>
      </c>
      <c r="I41" s="16">
        <f t="shared" si="1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0"/>
        <v/>
      </c>
      <c r="I42" s="16">
        <f t="shared" si="1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0"/>
        <v/>
      </c>
      <c r="I43" s="16">
        <f t="shared" si="1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0"/>
        <v/>
      </c>
      <c r="I44" s="16">
        <f t="shared" si="1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0"/>
        <v/>
      </c>
      <c r="I45" s="16">
        <f t="shared" si="1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0"/>
        <v/>
      </c>
      <c r="I46" s="16">
        <f t="shared" si="1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0"/>
        <v/>
      </c>
      <c r="I47" s="16">
        <f t="shared" si="1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0"/>
        <v/>
      </c>
      <c r="I48" s="16">
        <f t="shared" si="1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0"/>
        <v/>
      </c>
      <c r="I49" s="16">
        <f t="shared" si="1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0"/>
        <v/>
      </c>
      <c r="I50" s="16">
        <f t="shared" si="1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0"/>
        <v/>
      </c>
      <c r="I51" s="16">
        <f t="shared" si="1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0"/>
        <v/>
      </c>
      <c r="I52" s="16">
        <f t="shared" si="1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0"/>
        <v/>
      </c>
      <c r="I53" s="16">
        <f t="shared" si="1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0"/>
        <v/>
      </c>
      <c r="I54" s="16">
        <f t="shared" si="1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0"/>
        <v/>
      </c>
      <c r="I55" s="16">
        <f t="shared" si="1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0"/>
        <v/>
      </c>
      <c r="I56" s="16">
        <f t="shared" si="1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0"/>
        <v/>
      </c>
      <c r="I57" s="16">
        <f t="shared" si="1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0"/>
        <v/>
      </c>
      <c r="I58" s="16">
        <f t="shared" si="1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0"/>
        <v/>
      </c>
      <c r="I59" s="16">
        <f t="shared" si="1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0"/>
        <v/>
      </c>
      <c r="I60" s="16">
        <f t="shared" si="1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0"/>
        <v/>
      </c>
      <c r="I61" s="16">
        <f t="shared" si="1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0"/>
        <v/>
      </c>
      <c r="I62" s="16">
        <f t="shared" si="1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0"/>
        <v/>
      </c>
      <c r="I63" s="16">
        <f t="shared" si="1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0"/>
        <v/>
      </c>
      <c r="I64" s="16">
        <f t="shared" si="1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0"/>
        <v/>
      </c>
      <c r="I65" s="16">
        <f t="shared" si="1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0"/>
        <v/>
      </c>
      <c r="I66" s="16">
        <f t="shared" si="1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0"/>
        <v/>
      </c>
      <c r="I67" s="16">
        <f t="shared" si="1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0"/>
        <v/>
      </c>
      <c r="I68" s="16">
        <f t="shared" si="1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0"/>
        <v/>
      </c>
      <c r="I69" s="16">
        <f t="shared" si="1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0"/>
        <v/>
      </c>
      <c r="I70" s="16">
        <f t="shared" si="1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0"/>
        <v/>
      </c>
      <c r="I71" s="16">
        <f t="shared" si="1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2">D72&amp;E72</f>
        <v/>
      </c>
      <c r="I72" s="16">
        <f t="shared" ref="I72:I124" si="3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2"/>
        <v/>
      </c>
      <c r="I73" s="16">
        <f t="shared" si="3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2"/>
        <v/>
      </c>
      <c r="I74" s="16">
        <f t="shared" si="3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2"/>
        <v/>
      </c>
      <c r="I75" s="16">
        <f t="shared" si="3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2"/>
        <v/>
      </c>
      <c r="I76" s="16">
        <f t="shared" si="3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2"/>
        <v/>
      </c>
      <c r="I77" s="16">
        <f t="shared" si="3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2"/>
        <v/>
      </c>
      <c r="I78" s="16">
        <f t="shared" si="3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2"/>
        <v/>
      </c>
      <c r="I79" s="16">
        <f t="shared" si="3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2"/>
        <v/>
      </c>
      <c r="I80" s="16">
        <f t="shared" si="3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2"/>
        <v/>
      </c>
      <c r="I81" s="16">
        <f t="shared" si="3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2"/>
        <v/>
      </c>
      <c r="I82" s="16">
        <f t="shared" si="3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2"/>
        <v/>
      </c>
      <c r="I83" s="16">
        <f t="shared" si="3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2"/>
        <v/>
      </c>
      <c r="I84" s="16">
        <f t="shared" si="3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2"/>
        <v/>
      </c>
      <c r="I85" s="16">
        <f t="shared" si="3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2"/>
        <v/>
      </c>
      <c r="I86" s="16">
        <f t="shared" si="3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2"/>
        <v/>
      </c>
      <c r="I87" s="16">
        <f t="shared" si="3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2"/>
        <v/>
      </c>
      <c r="I88" s="16">
        <f t="shared" si="3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2"/>
        <v/>
      </c>
      <c r="I89" s="16">
        <f t="shared" si="3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2"/>
        <v/>
      </c>
      <c r="I90" s="16">
        <f t="shared" si="3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2"/>
        <v/>
      </c>
      <c r="I91" s="16">
        <f t="shared" si="3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2"/>
        <v/>
      </c>
      <c r="I92" s="16">
        <f t="shared" si="3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2"/>
        <v/>
      </c>
      <c r="I93" s="16">
        <f t="shared" si="3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2"/>
        <v/>
      </c>
      <c r="I94" s="16">
        <f t="shared" si="3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2"/>
        <v/>
      </c>
      <c r="I95" s="16">
        <f t="shared" si="3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2"/>
        <v/>
      </c>
      <c r="I96" s="16">
        <f t="shared" si="3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2"/>
        <v/>
      </c>
      <c r="I97" s="16">
        <f t="shared" si="3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2"/>
        <v/>
      </c>
      <c r="I98" s="16">
        <f t="shared" si="3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2"/>
        <v/>
      </c>
      <c r="I99" s="16">
        <f t="shared" si="3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2"/>
        <v/>
      </c>
      <c r="I100" s="16">
        <f t="shared" si="3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2"/>
        <v/>
      </c>
      <c r="I101" s="16">
        <f t="shared" si="3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2"/>
        <v/>
      </c>
      <c r="I102" s="16">
        <f t="shared" si="3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2"/>
        <v/>
      </c>
      <c r="I103" s="16">
        <f t="shared" si="3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2"/>
        <v/>
      </c>
      <c r="I104" s="16">
        <f t="shared" si="3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2"/>
        <v/>
      </c>
      <c r="I105" s="16">
        <f t="shared" si="3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2"/>
        <v/>
      </c>
      <c r="I106" s="16">
        <f t="shared" si="3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2"/>
        <v/>
      </c>
      <c r="I107" s="16">
        <f t="shared" si="3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2"/>
        <v/>
      </c>
      <c r="I108" s="16">
        <f t="shared" si="3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2"/>
        <v/>
      </c>
      <c r="I109" s="16">
        <f t="shared" si="3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2"/>
        <v/>
      </c>
      <c r="I110" s="16">
        <f t="shared" si="3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2"/>
        <v/>
      </c>
      <c r="I111" s="16">
        <f t="shared" si="3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2"/>
        <v/>
      </c>
      <c r="I112" s="16">
        <f t="shared" si="3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2"/>
        <v/>
      </c>
      <c r="I113" s="16">
        <f t="shared" si="3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2"/>
        <v/>
      </c>
      <c r="I114" s="16">
        <f t="shared" si="3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2"/>
        <v/>
      </c>
      <c r="I115" s="16">
        <f t="shared" si="3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2"/>
        <v/>
      </c>
      <c r="I116" s="16">
        <f t="shared" si="3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2"/>
        <v/>
      </c>
      <c r="I117" s="16">
        <f t="shared" si="3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2"/>
        <v/>
      </c>
      <c r="I118" s="16">
        <f t="shared" si="3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2"/>
        <v/>
      </c>
      <c r="I119" s="16">
        <f t="shared" si="3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2"/>
        <v/>
      </c>
      <c r="I120" s="16">
        <f t="shared" si="3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2"/>
        <v/>
      </c>
      <c r="I121" s="16">
        <f t="shared" si="3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2"/>
        <v/>
      </c>
      <c r="I122" s="16">
        <f t="shared" si="3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2"/>
        <v/>
      </c>
      <c r="I123" s="16">
        <f t="shared" si="3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2"/>
        <v/>
      </c>
      <c r="I124" s="16">
        <f t="shared" si="3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tabSelected="1" workbookViewId="0">
      <selection activeCell="D10" sqref="D10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8" t="s">
        <v>91</v>
      </c>
      <c r="C13" s="98"/>
      <c r="D13" s="98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6" t="s">
        <v>95</v>
      </c>
      <c r="D2" s="66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H7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8" ht="36">
      <c r="C1" s="4" t="s">
        <v>18</v>
      </c>
      <c r="D1" s="4" t="s">
        <v>97</v>
      </c>
      <c r="E1" s="4" t="s">
        <v>98</v>
      </c>
      <c r="F1" s="4" t="s">
        <v>99</v>
      </c>
    </row>
    <row r="2" spans="2:8">
      <c r="B2" t="s">
        <v>13</v>
      </c>
      <c r="C2" s="26">
        <v>3.162507954728643</v>
      </c>
      <c r="D2" s="67">
        <v>0.26</v>
      </c>
      <c r="E2" s="68">
        <v>0.13</v>
      </c>
      <c r="F2" s="67">
        <f>C2*E2+D2</f>
        <v>0.6711260341147236</v>
      </c>
    </row>
    <row r="3" spans="2:8">
      <c r="B3" t="s">
        <v>14</v>
      </c>
      <c r="C3" s="26">
        <v>6.2966492416526707</v>
      </c>
      <c r="D3" s="67">
        <v>0</v>
      </c>
      <c r="E3" s="68">
        <v>4.4999999999999998E-2</v>
      </c>
      <c r="F3" s="67">
        <f>C3*E3+D3</f>
        <v>0.28334921587437017</v>
      </c>
    </row>
    <row r="6" spans="2:8">
      <c r="H6" s="67">
        <v>0.6711260341147236</v>
      </c>
    </row>
    <row r="7" spans="2:8">
      <c r="H7" s="67"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M24"/>
  <sheetViews>
    <sheetView showGridLines="0" zoomScale="70" zoomScaleNormal="70" workbookViewId="0">
      <selection activeCell="B3" sqref="B3:M20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5" customWidth="1"/>
    <col min="12" max="12" width="15.75" style="75" customWidth="1"/>
    <col min="13" max="13" width="17.08203125" style="75" customWidth="1"/>
    <col min="14" max="15" width="12.58203125" customWidth="1"/>
  </cols>
  <sheetData>
    <row r="2" spans="2:13">
      <c r="I2" t="s">
        <v>31</v>
      </c>
      <c r="K2" s="75" t="s">
        <v>92</v>
      </c>
      <c r="L2" s="75" t="s">
        <v>92</v>
      </c>
      <c r="M2" s="75" t="s">
        <v>92</v>
      </c>
    </row>
    <row r="3" spans="2:13" ht="54.5" thickBot="1">
      <c r="B3" s="79" t="s">
        <v>0</v>
      </c>
      <c r="C3" s="79" t="s">
        <v>1</v>
      </c>
      <c r="D3" s="79" t="s">
        <v>21</v>
      </c>
      <c r="E3" s="79" t="s">
        <v>22</v>
      </c>
      <c r="F3" s="79" t="s">
        <v>24</v>
      </c>
      <c r="G3" s="79" t="s">
        <v>93</v>
      </c>
      <c r="H3" s="79" t="s">
        <v>23</v>
      </c>
      <c r="I3" s="79" t="s">
        <v>30</v>
      </c>
      <c r="J3" s="95" t="s">
        <v>106</v>
      </c>
      <c r="K3" s="86" t="s">
        <v>33</v>
      </c>
      <c r="L3" s="86" t="s">
        <v>105</v>
      </c>
      <c r="M3" s="86" t="s">
        <v>107</v>
      </c>
    </row>
    <row r="4" spans="2:13" ht="18.5" thickBot="1">
      <c r="B4" s="84"/>
      <c r="C4" s="85"/>
      <c r="D4" s="85"/>
      <c r="E4" s="85"/>
      <c r="F4" s="96">
        <f>SUM(F5:F24)</f>
        <v>1050</v>
      </c>
      <c r="G4" s="85"/>
      <c r="H4" s="85"/>
      <c r="I4" s="85"/>
      <c r="J4" s="87">
        <f>SUM(J5:J24)</f>
        <v>385649.48892865481</v>
      </c>
      <c r="K4" s="87">
        <f>SUM(K5:K24)</f>
        <v>380867.20097352541</v>
      </c>
      <c r="L4" s="87">
        <f>SUM(L5:L24)</f>
        <v>2988.4716060227693</v>
      </c>
      <c r="M4" s="88">
        <f>SUM(M5:M24)</f>
        <v>7770.7595611521847</v>
      </c>
    </row>
    <row r="5" spans="2:13">
      <c r="B5" s="80">
        <f>Input!B4</f>
        <v>2</v>
      </c>
      <c r="C5" s="80">
        <f>Input!C4</f>
        <v>1</v>
      </c>
      <c r="D5" s="80">
        <f>Input!D4</f>
        <v>2</v>
      </c>
      <c r="E5" s="80">
        <f>Input!E4</f>
        <v>2</v>
      </c>
      <c r="F5" s="80">
        <f>Input!F4</f>
        <v>5</v>
      </c>
      <c r="G5" s="80">
        <f>Input!G4</f>
        <v>0</v>
      </c>
      <c r="H5" s="80" t="str">
        <f>Input!H4</f>
        <v>22</v>
      </c>
      <c r="I5" s="81">
        <v>11680</v>
      </c>
      <c r="J5" s="89">
        <f>K5-L5+M5</f>
        <v>15169.902328231688</v>
      </c>
      <c r="K5" s="82">
        <f>TOC_calc!J4</f>
        <v>15147.129528445359</v>
      </c>
      <c r="L5" s="83">
        <f>GR_calc!J4</f>
        <v>14.230817171536994</v>
      </c>
      <c r="M5" s="82">
        <f>SUM(Externality_calc!Q4:W4)</f>
        <v>37.00361695786755</v>
      </c>
    </row>
    <row r="6" spans="2:13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2</v>
      </c>
      <c r="F6" s="56">
        <f>Input!F5</f>
        <v>10</v>
      </c>
      <c r="G6" s="56">
        <f>Input!G5</f>
        <v>0</v>
      </c>
      <c r="H6" s="80" t="str">
        <f>Input!H5</f>
        <v>22</v>
      </c>
      <c r="I6" s="59">
        <v>11680</v>
      </c>
      <c r="J6" s="89">
        <f t="shared" ref="J6:J24" si="0">K6-L6+M6</f>
        <v>15602.804656463381</v>
      </c>
      <c r="K6" s="76">
        <f>TOC_calc!J5</f>
        <v>15557.259056890718</v>
      </c>
      <c r="L6" s="47">
        <f>GR_calc!J5</f>
        <v>28.461634343073989</v>
      </c>
      <c r="M6" s="76">
        <f>SUM(Externality_calc!Q5:W5)</f>
        <v>74.0072339157351</v>
      </c>
    </row>
    <row r="7" spans="2:13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2</v>
      </c>
      <c r="F7" s="56">
        <f>Input!F6</f>
        <v>15</v>
      </c>
      <c r="G7" s="56">
        <f>Input!G6</f>
        <v>0</v>
      </c>
      <c r="H7" s="80" t="str">
        <f>Input!H6</f>
        <v>22</v>
      </c>
      <c r="I7" s="59">
        <v>11680</v>
      </c>
      <c r="J7" s="89">
        <f t="shared" si="0"/>
        <v>16035.706984695069</v>
      </c>
      <c r="K7" s="76">
        <f>TOC_calc!J6</f>
        <v>15967.388585336077</v>
      </c>
      <c r="L7" s="47">
        <f>GR_calc!J6</f>
        <v>42.692451514610987</v>
      </c>
      <c r="M7" s="76">
        <f>SUM(Externality_calc!Q6:W6)</f>
        <v>111.01085087360265</v>
      </c>
    </row>
    <row r="8" spans="2:13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2</v>
      </c>
      <c r="F8" s="56">
        <f>Input!F7</f>
        <v>20</v>
      </c>
      <c r="G8" s="56">
        <f>Input!G7</f>
        <v>0</v>
      </c>
      <c r="H8" s="80" t="str">
        <f>Input!H7</f>
        <v>22</v>
      </c>
      <c r="I8" s="59">
        <v>11680</v>
      </c>
      <c r="J8" s="89">
        <f t="shared" si="0"/>
        <v>16468.609312926757</v>
      </c>
      <c r="K8" s="76">
        <f>TOC_calc!J7</f>
        <v>16377.518113781436</v>
      </c>
      <c r="L8" s="47">
        <f>GR_calc!J7</f>
        <v>56.923268686147978</v>
      </c>
      <c r="M8" s="76">
        <f>SUM(Externality_calc!Q7:W7)</f>
        <v>148.0144678314702</v>
      </c>
    </row>
    <row r="9" spans="2:13">
      <c r="B9" s="56">
        <f>Input!B8</f>
        <v>2</v>
      </c>
      <c r="C9" s="56">
        <f>Input!C8</f>
        <v>5</v>
      </c>
      <c r="D9" s="56">
        <f>Input!D8</f>
        <v>2</v>
      </c>
      <c r="E9" s="56">
        <f>Input!E8</f>
        <v>2</v>
      </c>
      <c r="F9" s="56">
        <f>Input!F8</f>
        <v>25</v>
      </c>
      <c r="G9" s="56">
        <v>0</v>
      </c>
      <c r="H9" s="80" t="str">
        <f>Input!H8</f>
        <v>22</v>
      </c>
      <c r="I9" s="59">
        <v>11680</v>
      </c>
      <c r="J9" s="89">
        <f t="shared" si="0"/>
        <v>16901.511641158449</v>
      </c>
      <c r="K9" s="76">
        <f>TOC_calc!J8</f>
        <v>16787.647642226795</v>
      </c>
      <c r="L9" s="47">
        <f>GR_calc!J8</f>
        <v>71.154085857684976</v>
      </c>
      <c r="M9" s="76">
        <f>SUM(Externality_calc!Q8:W8)</f>
        <v>185.01808478933773</v>
      </c>
    </row>
    <row r="10" spans="2:13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2</v>
      </c>
      <c r="F10" s="56">
        <f>Input!F9</f>
        <v>30</v>
      </c>
      <c r="G10" s="56">
        <f>Input!G9</f>
        <v>0</v>
      </c>
      <c r="H10" s="80" t="str">
        <f>Input!H9</f>
        <v>22</v>
      </c>
      <c r="I10" s="59">
        <v>11680</v>
      </c>
      <c r="J10" s="89">
        <f t="shared" si="0"/>
        <v>17334.413969390138</v>
      </c>
      <c r="K10" s="76">
        <f>TOC_calc!J9</f>
        <v>17197.777170672154</v>
      </c>
      <c r="L10" s="47">
        <f>GR_calc!J9</f>
        <v>85.384903029221974</v>
      </c>
      <c r="M10" s="76">
        <f>SUM(Externality_calc!Q9:W9)</f>
        <v>222.0217017472053</v>
      </c>
    </row>
    <row r="11" spans="2:13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2</v>
      </c>
      <c r="F11" s="56">
        <f>Input!F10</f>
        <v>35</v>
      </c>
      <c r="G11" s="56">
        <f>Input!G10</f>
        <v>0</v>
      </c>
      <c r="H11" s="80" t="str">
        <f>Input!H10</f>
        <v>22</v>
      </c>
      <c r="I11" s="59">
        <v>11680</v>
      </c>
      <c r="J11" s="89">
        <f t="shared" si="0"/>
        <v>17767.316297621826</v>
      </c>
      <c r="K11" s="76">
        <f>TOC_calc!J10</f>
        <v>17607.906699117513</v>
      </c>
      <c r="L11" s="47">
        <f>GR_calc!J10</f>
        <v>99.615720200758958</v>
      </c>
      <c r="M11" s="76">
        <f>SUM(Externality_calc!Q10:W10)</f>
        <v>259.02531870507278</v>
      </c>
    </row>
    <row r="12" spans="2:13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2</v>
      </c>
      <c r="F12" s="56">
        <f>Input!F11</f>
        <v>40</v>
      </c>
      <c r="G12" s="56">
        <f>Input!G11</f>
        <v>0</v>
      </c>
      <c r="H12" s="80" t="str">
        <f>Input!H11</f>
        <v>22</v>
      </c>
      <c r="I12" s="59">
        <v>11680</v>
      </c>
      <c r="J12" s="89">
        <f t="shared" si="0"/>
        <v>18200.218625853515</v>
      </c>
      <c r="K12" s="76">
        <f>TOC_calc!J11</f>
        <v>18018.036227562872</v>
      </c>
      <c r="L12" s="47">
        <f>GR_calc!J11</f>
        <v>113.84653737229596</v>
      </c>
      <c r="M12" s="76">
        <f>SUM(Externality_calc!Q11:W11)</f>
        <v>296.0289356629404</v>
      </c>
    </row>
    <row r="13" spans="2:13">
      <c r="B13" s="56">
        <f>Input!B12</f>
        <v>3</v>
      </c>
      <c r="C13" s="56">
        <f>Input!C12</f>
        <v>9</v>
      </c>
      <c r="D13" s="56">
        <f>Input!D12</f>
        <v>2</v>
      </c>
      <c r="E13" s="56">
        <f>Input!E12</f>
        <v>2</v>
      </c>
      <c r="F13" s="56">
        <f>Input!F12</f>
        <v>45</v>
      </c>
      <c r="G13" s="56">
        <f>Input!G12</f>
        <v>0</v>
      </c>
      <c r="H13" s="80" t="str">
        <f>Input!H12</f>
        <v>22</v>
      </c>
      <c r="I13" s="59">
        <v>11680</v>
      </c>
      <c r="J13" s="89">
        <f t="shared" si="0"/>
        <v>18633.120954085207</v>
      </c>
      <c r="K13" s="76">
        <f>TOC_calc!J12</f>
        <v>18428.165756008231</v>
      </c>
      <c r="L13" s="47">
        <f>GR_calc!J12</f>
        <v>128.07735454383297</v>
      </c>
      <c r="M13" s="76">
        <f>SUM(Externality_calc!Q12:W12)</f>
        <v>333.03255262080791</v>
      </c>
    </row>
    <row r="14" spans="2:13">
      <c r="B14" s="56">
        <f>Input!B13</f>
        <v>3</v>
      </c>
      <c r="C14" s="56">
        <f>Input!C13</f>
        <v>10</v>
      </c>
      <c r="D14" s="56">
        <f>Input!D13</f>
        <v>2</v>
      </c>
      <c r="E14" s="56">
        <f>Input!E13</f>
        <v>2</v>
      </c>
      <c r="F14" s="56">
        <f>Input!F13</f>
        <v>50</v>
      </c>
      <c r="G14" s="56">
        <f>Input!G13</f>
        <v>0</v>
      </c>
      <c r="H14" s="80" t="str">
        <f>Input!H13</f>
        <v>22</v>
      </c>
      <c r="I14" s="59">
        <v>11680</v>
      </c>
      <c r="J14" s="89">
        <f t="shared" si="0"/>
        <v>19066.023282316892</v>
      </c>
      <c r="K14" s="76">
        <f>TOC_calc!J13</f>
        <v>18838.295284453587</v>
      </c>
      <c r="L14" s="47">
        <f>GR_calc!J13</f>
        <v>142.30817171536995</v>
      </c>
      <c r="M14" s="76">
        <f>SUM(Externality_calc!Q13:W13)</f>
        <v>370.03616957867547</v>
      </c>
    </row>
    <row r="15" spans="2:13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2</v>
      </c>
      <c r="F15" s="56">
        <f>Input!F14</f>
        <v>55</v>
      </c>
      <c r="G15" s="56">
        <f>Input!G14</f>
        <v>0</v>
      </c>
      <c r="H15" s="80" t="str">
        <f>Input!H14</f>
        <v>22</v>
      </c>
      <c r="I15" s="59">
        <v>11680</v>
      </c>
      <c r="J15" s="89">
        <f t="shared" si="0"/>
        <v>19498.925610548584</v>
      </c>
      <c r="K15" s="76">
        <f>TOC_calc!J14</f>
        <v>19248.424812898949</v>
      </c>
      <c r="L15" s="47">
        <f>GR_calc!J14</f>
        <v>156.53898888690694</v>
      </c>
      <c r="M15" s="76">
        <f>SUM(Externality_calc!Q14:W14)</f>
        <v>407.03978653654298</v>
      </c>
    </row>
    <row r="16" spans="2:13">
      <c r="B16" s="56">
        <f>Input!B15</f>
        <v>1</v>
      </c>
      <c r="C16" s="56">
        <f>Input!C15</f>
        <v>12</v>
      </c>
      <c r="D16" s="56">
        <f>Input!D15</f>
        <v>2</v>
      </c>
      <c r="E16" s="56">
        <f>Input!E15</f>
        <v>2</v>
      </c>
      <c r="F16" s="56">
        <f>Input!F15</f>
        <v>60</v>
      </c>
      <c r="G16" s="56">
        <f>Input!G15</f>
        <v>0</v>
      </c>
      <c r="H16" s="80" t="str">
        <f>Input!H15</f>
        <v>22</v>
      </c>
      <c r="I16" s="59">
        <v>11680</v>
      </c>
      <c r="J16" s="89">
        <f t="shared" si="0"/>
        <v>19931.827938780276</v>
      </c>
      <c r="K16" s="76">
        <f>TOC_calc!J15</f>
        <v>19658.554341344308</v>
      </c>
      <c r="L16" s="47">
        <f>GR_calc!J15</f>
        <v>170.76980605844395</v>
      </c>
      <c r="M16" s="76">
        <f>SUM(Externality_calc!Q15:W15)</f>
        <v>444.0434034944106</v>
      </c>
    </row>
    <row r="17" spans="2:13">
      <c r="B17" s="56">
        <f>Input!B16</f>
        <v>1</v>
      </c>
      <c r="C17" s="56">
        <f>Input!C16</f>
        <v>13</v>
      </c>
      <c r="D17" s="56">
        <f>Input!D16</f>
        <v>2</v>
      </c>
      <c r="E17" s="56">
        <f>Input!E16</f>
        <v>2</v>
      </c>
      <c r="F17" s="56">
        <f>Input!F16</f>
        <v>65</v>
      </c>
      <c r="G17" s="56">
        <f>Input!G16</f>
        <v>0</v>
      </c>
      <c r="H17" s="80" t="str">
        <f>Input!H16</f>
        <v>22</v>
      </c>
      <c r="I17" s="59">
        <v>11680</v>
      </c>
      <c r="J17" s="89">
        <f t="shared" si="0"/>
        <v>20364.730267011961</v>
      </c>
      <c r="K17" s="76">
        <f>TOC_calc!J16</f>
        <v>20068.683869789664</v>
      </c>
      <c r="L17" s="47">
        <f>GR_calc!J16</f>
        <v>185.00062322998093</v>
      </c>
      <c r="M17" s="76">
        <f>SUM(Externality_calc!Q16:W16)</f>
        <v>481.0470204522781</v>
      </c>
    </row>
    <row r="18" spans="2:13">
      <c r="B18" s="56">
        <f>Input!B17</f>
        <v>1</v>
      </c>
      <c r="C18" s="56">
        <f>Input!C17</f>
        <v>14</v>
      </c>
      <c r="D18" s="56">
        <f>Input!D17</f>
        <v>2</v>
      </c>
      <c r="E18" s="56">
        <f>Input!E17</f>
        <v>2</v>
      </c>
      <c r="F18" s="56">
        <f>Input!F17</f>
        <v>70</v>
      </c>
      <c r="G18" s="56">
        <f>Input!G17</f>
        <v>0</v>
      </c>
      <c r="H18" s="80" t="str">
        <f>Input!H17</f>
        <v>22</v>
      </c>
      <c r="I18" s="59">
        <v>11680</v>
      </c>
      <c r="J18" s="89">
        <f t="shared" si="0"/>
        <v>20797.632595243649</v>
      </c>
      <c r="K18" s="76">
        <f>TOC_calc!J17</f>
        <v>20478.813398235023</v>
      </c>
      <c r="L18" s="47">
        <f>GR_calc!J17</f>
        <v>199.23144040151792</v>
      </c>
      <c r="M18" s="76">
        <f>SUM(Externality_calc!Q17:W17)</f>
        <v>518.05063741014555</v>
      </c>
    </row>
    <row r="19" spans="2:13">
      <c r="B19" s="56">
        <f>Input!B18</f>
        <v>1</v>
      </c>
      <c r="C19" s="56">
        <f>Input!C18</f>
        <v>15</v>
      </c>
      <c r="D19" s="56">
        <f>Input!D18</f>
        <v>2</v>
      </c>
      <c r="E19" s="56">
        <f>Input!E18</f>
        <v>2</v>
      </c>
      <c r="F19" s="56">
        <f>Input!F18</f>
        <v>75</v>
      </c>
      <c r="G19" s="56">
        <f>Input!G18</f>
        <v>0</v>
      </c>
      <c r="H19" s="80" t="str">
        <f>Input!H18</f>
        <v>22</v>
      </c>
      <c r="I19" s="59">
        <v>11680</v>
      </c>
      <c r="J19" s="89">
        <f t="shared" si="0"/>
        <v>21230.534923475341</v>
      </c>
      <c r="K19" s="76">
        <f>TOC_calc!J18</f>
        <v>20888.942926680382</v>
      </c>
      <c r="L19" s="47">
        <f>GR_calc!J18</f>
        <v>213.46225757305493</v>
      </c>
      <c r="M19" s="76">
        <f>SUM(Externality_calc!Q18:W18)</f>
        <v>555.05425436801318</v>
      </c>
    </row>
    <row r="20" spans="2:13">
      <c r="B20" s="56">
        <f>Input!B19</f>
        <v>1</v>
      </c>
      <c r="C20" s="56">
        <f>Input!C19</f>
        <v>16</v>
      </c>
      <c r="D20" s="56">
        <f>Input!D19</f>
        <v>2</v>
      </c>
      <c r="E20" s="56">
        <f>Input!E19</f>
        <v>2</v>
      </c>
      <c r="F20" s="56">
        <f>Input!F19</f>
        <v>80</v>
      </c>
      <c r="G20" s="56">
        <f>Input!G19</f>
        <v>0</v>
      </c>
      <c r="H20" s="80" t="str">
        <f>Input!H19</f>
        <v>22</v>
      </c>
      <c r="I20" s="59">
        <v>11680</v>
      </c>
      <c r="J20" s="89">
        <f t="shared" si="0"/>
        <v>21663.43725170703</v>
      </c>
      <c r="K20" s="76">
        <f>TOC_calc!J19</f>
        <v>21299.072455125741</v>
      </c>
      <c r="L20" s="47">
        <f>GR_calc!J19</f>
        <v>227.69307474459191</v>
      </c>
      <c r="M20" s="76">
        <f>SUM(Externality_calc!Q19:W19)</f>
        <v>592.0578713258808</v>
      </c>
    </row>
    <row r="21" spans="2:13">
      <c r="B21" s="56">
        <f>Input!B20</f>
        <v>4</v>
      </c>
      <c r="C21" s="56">
        <f>Input!C20</f>
        <v>17</v>
      </c>
      <c r="D21" s="56">
        <f>Input!D20</f>
        <v>2</v>
      </c>
      <c r="E21" s="56">
        <f>Input!E20</f>
        <v>2</v>
      </c>
      <c r="F21" s="56">
        <f>Input!F20</f>
        <v>85</v>
      </c>
      <c r="G21" s="56">
        <f>Input!G20</f>
        <v>0</v>
      </c>
      <c r="H21" s="80" t="str">
        <f>Input!H20</f>
        <v>22</v>
      </c>
      <c r="I21" s="59">
        <v>11680</v>
      </c>
      <c r="J21" s="89">
        <f t="shared" si="0"/>
        <v>22096.339579938718</v>
      </c>
      <c r="K21" s="76">
        <f>TOC_calc!J20</f>
        <v>21709.2019835711</v>
      </c>
      <c r="L21" s="47">
        <f>GR_calc!J20</f>
        <v>241.92389191612889</v>
      </c>
      <c r="M21" s="76">
        <f>SUM(Externality_calc!Q20:W20)</f>
        <v>629.06148828374842</v>
      </c>
    </row>
    <row r="22" spans="2:13">
      <c r="B22" s="56">
        <f>Input!B21</f>
        <v>4</v>
      </c>
      <c r="C22" s="56">
        <f>Input!C21</f>
        <v>18</v>
      </c>
      <c r="D22" s="56">
        <f>Input!D21</f>
        <v>2</v>
      </c>
      <c r="E22" s="56">
        <f>Input!E21</f>
        <v>2</v>
      </c>
      <c r="F22" s="56">
        <f>Input!F21</f>
        <v>90</v>
      </c>
      <c r="G22" s="56">
        <f>Input!G21</f>
        <v>0</v>
      </c>
      <c r="H22" s="80" t="str">
        <f>Input!H21</f>
        <v>22</v>
      </c>
      <c r="I22" s="59">
        <v>11680</v>
      </c>
      <c r="J22" s="89">
        <f t="shared" si="0"/>
        <v>22529.24190817041</v>
      </c>
      <c r="K22" s="76">
        <f>TOC_calc!J21</f>
        <v>22119.331512016463</v>
      </c>
      <c r="L22" s="47">
        <f>GR_calc!J21</f>
        <v>256.15470908766594</v>
      </c>
      <c r="M22" s="76">
        <f>SUM(Externality_calc!Q21:W21)</f>
        <v>666.06510524161581</v>
      </c>
    </row>
    <row r="23" spans="2:13">
      <c r="B23" s="56">
        <f>Input!B22</f>
        <v>4</v>
      </c>
      <c r="C23" s="56">
        <f>Input!C22</f>
        <v>19</v>
      </c>
      <c r="D23" s="56">
        <f>Input!D22</f>
        <v>2</v>
      </c>
      <c r="E23" s="56">
        <f>Input!E22</f>
        <v>2</v>
      </c>
      <c r="F23" s="56">
        <f>Input!F22</f>
        <v>95</v>
      </c>
      <c r="G23" s="56">
        <f>Input!G22</f>
        <v>0</v>
      </c>
      <c r="H23" s="80" t="str">
        <f>Input!H22</f>
        <v>22</v>
      </c>
      <c r="I23" s="59">
        <v>11680</v>
      </c>
      <c r="J23" s="89">
        <f t="shared" si="0"/>
        <v>22962.144236402099</v>
      </c>
      <c r="K23" s="76">
        <f>TOC_calc!J22</f>
        <v>22529.461040461818</v>
      </c>
      <c r="L23" s="47">
        <f>GR_calc!J22</f>
        <v>270.38552625920289</v>
      </c>
      <c r="M23" s="76">
        <f>SUM(Externality_calc!Q22:W22)</f>
        <v>703.06872219948343</v>
      </c>
    </row>
    <row r="24" spans="2:13">
      <c r="B24" s="56">
        <f>Input!B23</f>
        <v>4</v>
      </c>
      <c r="C24" s="56">
        <f>Input!C23</f>
        <v>20</v>
      </c>
      <c r="D24" s="56">
        <f>Input!D23</f>
        <v>2</v>
      </c>
      <c r="E24" s="56">
        <f>Input!E23</f>
        <v>2</v>
      </c>
      <c r="F24" s="56">
        <f>Input!F23</f>
        <v>100</v>
      </c>
      <c r="G24" s="56">
        <f>Input!G23</f>
        <v>0</v>
      </c>
      <c r="H24" s="80" t="str">
        <f>Input!H23</f>
        <v>22</v>
      </c>
      <c r="I24" s="59">
        <v>11680</v>
      </c>
      <c r="J24" s="89">
        <f t="shared" si="0"/>
        <v>23395.046564633791</v>
      </c>
      <c r="K24" s="76">
        <f>TOC_calc!J23</f>
        <v>22939.590568907177</v>
      </c>
      <c r="L24" s="47">
        <f>GR_calc!J23</f>
        <v>284.6163434307399</v>
      </c>
      <c r="M24" s="76">
        <f>SUM(Externality_calc!Q23:W23)</f>
        <v>740.07233915735094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4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90" t="s">
        <v>33</v>
      </c>
      <c r="J1" s="91" t="s">
        <v>29</v>
      </c>
      <c r="K1" s="91" t="s">
        <v>100</v>
      </c>
      <c r="L1" s="91" t="s">
        <v>26</v>
      </c>
      <c r="M1" s="91" t="s">
        <v>27</v>
      </c>
      <c r="N1" s="91" t="s">
        <v>28</v>
      </c>
      <c r="O1" s="93" t="s">
        <v>104</v>
      </c>
      <c r="P1" s="93" t="s">
        <v>101</v>
      </c>
      <c r="Q1" s="93" t="s">
        <v>103</v>
      </c>
      <c r="R1" s="64" t="s">
        <v>108</v>
      </c>
      <c r="S1" s="64" t="s">
        <v>81</v>
      </c>
      <c r="T1" s="65" t="s">
        <v>82</v>
      </c>
      <c r="U1" s="65" t="s">
        <v>83</v>
      </c>
      <c r="V1" s="65" t="s">
        <v>84</v>
      </c>
      <c r="W1" s="65" t="s">
        <v>85</v>
      </c>
      <c r="X1" s="65" t="s">
        <v>86</v>
      </c>
      <c r="Y1" s="65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2</v>
      </c>
      <c r="E2" s="56">
        <f>Input!F4</f>
        <v>5</v>
      </c>
      <c r="F2" s="56">
        <f>Input!G4</f>
        <v>0</v>
      </c>
      <c r="G2" s="56" t="str">
        <f>Input!H4</f>
        <v>22</v>
      </c>
      <c r="H2" s="16">
        <f>E2*365*0.8</f>
        <v>1460</v>
      </c>
      <c r="I2" s="92">
        <f>TOC_calc!J4</f>
        <v>15147.129528445359</v>
      </c>
      <c r="J2" s="92">
        <f>TOC_calc!K4</f>
        <v>13600</v>
      </c>
      <c r="K2" s="92">
        <f>TOC_calc!L4</f>
        <v>0</v>
      </c>
      <c r="L2" s="92">
        <f>TOC_calc!M4</f>
        <v>316.24038158971103</v>
      </c>
      <c r="M2" s="92">
        <f>TOC_calc!N4</f>
        <v>93.889146855647837</v>
      </c>
      <c r="N2" s="92">
        <f>TOC_calc!O4</f>
        <v>1137</v>
      </c>
      <c r="O2" s="17">
        <f>GR_calc!J4</f>
        <v>14.230817171536994</v>
      </c>
      <c r="P2" s="17">
        <f>GR_calc!K4</f>
        <v>14.230817171536994</v>
      </c>
      <c r="Q2" s="17">
        <f>GR_calc!L4</f>
        <v>0</v>
      </c>
      <c r="R2" s="37">
        <f>SUM(S2:Y2)</f>
        <v>37.00361695786755</v>
      </c>
      <c r="S2" s="37">
        <f>Externality_calc!Q4</f>
        <v>28.537181521963387</v>
      </c>
      <c r="T2" s="37">
        <f>Externality_calc!R4</f>
        <v>0</v>
      </c>
      <c r="U2" s="37">
        <f>Externality_calc!S4</f>
        <v>0</v>
      </c>
      <c r="V2" s="37">
        <f>Externality_calc!T4</f>
        <v>4.044858320422585</v>
      </c>
      <c r="W2" s="37">
        <f>Externality_calc!U4</f>
        <v>4.421577115481572</v>
      </c>
      <c r="X2" s="37">
        <f>Externality_calc!V4</f>
        <v>0</v>
      </c>
      <c r="Y2" s="37">
        <f>Externality_calc!W4</f>
        <v>0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2</v>
      </c>
      <c r="E3" s="56">
        <f>Input!F5</f>
        <v>10</v>
      </c>
      <c r="F3" s="56">
        <f>Input!G5</f>
        <v>0</v>
      </c>
      <c r="G3" s="56" t="str">
        <f>Input!H5</f>
        <v>22</v>
      </c>
      <c r="H3" s="16">
        <f>E3*365*0.8</f>
        <v>2920</v>
      </c>
      <c r="I3" s="92">
        <f>TOC_calc!J5</f>
        <v>15557.259056890718</v>
      </c>
      <c r="J3" s="92">
        <f>TOC_calc!K5</f>
        <v>13600</v>
      </c>
      <c r="K3" s="92">
        <f>TOC_calc!L5</f>
        <v>0</v>
      </c>
      <c r="L3" s="92">
        <f>TOC_calc!M5</f>
        <v>632.48076317942207</v>
      </c>
      <c r="M3" s="92">
        <f>TOC_calc!N5</f>
        <v>187.77829371129567</v>
      </c>
      <c r="N3" s="92">
        <f>TOC_calc!O5</f>
        <v>1137</v>
      </c>
      <c r="O3" s="17">
        <f>GR_calc!J5</f>
        <v>28.461634343073989</v>
      </c>
      <c r="P3" s="17">
        <f>GR_calc!K5</f>
        <v>28.461634343073989</v>
      </c>
      <c r="Q3" s="17">
        <f>GR_calc!L5</f>
        <v>0</v>
      </c>
      <c r="R3" s="37">
        <f t="shared" ref="R3:R21" si="0">SUM(S3:Y3)</f>
        <v>74.0072339157351</v>
      </c>
      <c r="S3" s="37">
        <f>Externality_calc!Q5</f>
        <v>57.074363043926773</v>
      </c>
      <c r="T3" s="37">
        <f>Externality_calc!R5</f>
        <v>0</v>
      </c>
      <c r="U3" s="37">
        <f>Externality_calc!S5</f>
        <v>0</v>
      </c>
      <c r="V3" s="37">
        <f>Externality_calc!T5</f>
        <v>8.0897166408451699</v>
      </c>
      <c r="W3" s="37">
        <f>Externality_calc!U5</f>
        <v>8.8431542309631439</v>
      </c>
      <c r="X3" s="37">
        <f>Externality_calc!V5</f>
        <v>0</v>
      </c>
      <c r="Y3" s="37">
        <f>Externality_calc!W5</f>
        <v>0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2</v>
      </c>
      <c r="E4" s="56">
        <f>Input!F6</f>
        <v>15</v>
      </c>
      <c r="F4" s="56">
        <f>Input!G6</f>
        <v>0</v>
      </c>
      <c r="G4" s="56" t="str">
        <f>Input!H6</f>
        <v>22</v>
      </c>
      <c r="H4" s="16">
        <f>E4*365*0.8</f>
        <v>4380</v>
      </c>
      <c r="I4" s="92">
        <f>TOC_calc!J6</f>
        <v>15967.388585336077</v>
      </c>
      <c r="J4" s="92">
        <f>TOC_calc!K6</f>
        <v>13600</v>
      </c>
      <c r="K4" s="92">
        <f>TOC_calc!L6</f>
        <v>0</v>
      </c>
      <c r="L4" s="92">
        <f>TOC_calc!M6</f>
        <v>948.72114476913316</v>
      </c>
      <c r="M4" s="92">
        <f>TOC_calc!N6</f>
        <v>281.66744056694353</v>
      </c>
      <c r="N4" s="92">
        <f>TOC_calc!O6</f>
        <v>1137</v>
      </c>
      <c r="O4" s="17">
        <f>GR_calc!J6</f>
        <v>42.692451514610987</v>
      </c>
      <c r="P4" s="17">
        <f>GR_calc!K6</f>
        <v>42.692451514610987</v>
      </c>
      <c r="Q4" s="17">
        <f>GR_calc!L6</f>
        <v>0</v>
      </c>
      <c r="R4" s="37">
        <f t="shared" si="0"/>
        <v>111.01085087360265</v>
      </c>
      <c r="S4" s="37">
        <f>Externality_calc!Q6</f>
        <v>85.611544565890171</v>
      </c>
      <c r="T4" s="37">
        <f>Externality_calc!R6</f>
        <v>0</v>
      </c>
      <c r="U4" s="37">
        <f>Externality_calc!S6</f>
        <v>0</v>
      </c>
      <c r="V4" s="37">
        <f>Externality_calc!T6</f>
        <v>12.134574961267756</v>
      </c>
      <c r="W4" s="37">
        <f>Externality_calc!U6</f>
        <v>13.264731346444716</v>
      </c>
      <c r="X4" s="37">
        <f>Externality_calc!V6</f>
        <v>0</v>
      </c>
      <c r="Y4" s="37">
        <f>Externality_calc!W6</f>
        <v>0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2</v>
      </c>
      <c r="E5" s="56">
        <f>Input!F7</f>
        <v>20</v>
      </c>
      <c r="F5" s="56">
        <f>Input!G7</f>
        <v>0</v>
      </c>
      <c r="G5" s="56" t="str">
        <f>Input!H7</f>
        <v>22</v>
      </c>
      <c r="H5" s="16">
        <f t="shared" ref="H5:H21" si="1">E5*365*0.8</f>
        <v>5840</v>
      </c>
      <c r="I5" s="92">
        <f>TOC_calc!J7</f>
        <v>16377.518113781436</v>
      </c>
      <c r="J5" s="92">
        <f>TOC_calc!K7</f>
        <v>13600</v>
      </c>
      <c r="K5" s="92">
        <f>TOC_calc!L7</f>
        <v>0</v>
      </c>
      <c r="L5" s="92">
        <f>TOC_calc!M7</f>
        <v>1264.9615263588441</v>
      </c>
      <c r="M5" s="92">
        <f>TOC_calc!N7</f>
        <v>375.55658742259135</v>
      </c>
      <c r="N5" s="92">
        <f>TOC_calc!O7</f>
        <v>1137</v>
      </c>
      <c r="O5" s="17">
        <f>GR_calc!J7</f>
        <v>56.923268686147978</v>
      </c>
      <c r="P5" s="17">
        <f>GR_calc!K7</f>
        <v>56.923268686147978</v>
      </c>
      <c r="Q5" s="17">
        <f>GR_calc!L7</f>
        <v>0</v>
      </c>
      <c r="R5" s="37">
        <f t="shared" si="0"/>
        <v>148.0144678314702</v>
      </c>
      <c r="S5" s="37">
        <f>Externality_calc!Q7</f>
        <v>114.14872608785355</v>
      </c>
      <c r="T5" s="37">
        <f>Externality_calc!R7</f>
        <v>0</v>
      </c>
      <c r="U5" s="37">
        <f>Externality_calc!S7</f>
        <v>0</v>
      </c>
      <c r="V5" s="37">
        <f>Externality_calc!T7</f>
        <v>16.17943328169034</v>
      </c>
      <c r="W5" s="37">
        <f>Externality_calc!U7</f>
        <v>17.686308461926288</v>
      </c>
      <c r="X5" s="37">
        <f>Externality_calc!V7</f>
        <v>0</v>
      </c>
      <c r="Y5" s="37">
        <f>Externality_calc!W7</f>
        <v>0</v>
      </c>
    </row>
    <row r="6" spans="1:25">
      <c r="A6" s="56">
        <f>Input!B8</f>
        <v>2</v>
      </c>
      <c r="B6" s="56">
        <f>Input!C8</f>
        <v>5</v>
      </c>
      <c r="C6" s="56">
        <f>Input!D8</f>
        <v>2</v>
      </c>
      <c r="D6" s="56">
        <f>Input!E8</f>
        <v>2</v>
      </c>
      <c r="E6" s="56">
        <f>Input!F8</f>
        <v>25</v>
      </c>
      <c r="F6" s="56">
        <f>Input!G8</f>
        <v>0</v>
      </c>
      <c r="G6" s="56" t="str">
        <f>Input!H8</f>
        <v>22</v>
      </c>
      <c r="H6" s="16">
        <f t="shared" si="1"/>
        <v>7300</v>
      </c>
      <c r="I6" s="92">
        <f>TOC_calc!J8</f>
        <v>16787.647642226795</v>
      </c>
      <c r="J6" s="92">
        <f>TOC_calc!K8</f>
        <v>13600</v>
      </c>
      <c r="K6" s="92">
        <f>TOC_calc!L8</f>
        <v>0</v>
      </c>
      <c r="L6" s="92">
        <f>TOC_calc!M8</f>
        <v>1581.2019079485551</v>
      </c>
      <c r="M6" s="92">
        <f>TOC_calc!N8</f>
        <v>469.44573427823917</v>
      </c>
      <c r="N6" s="92">
        <f>TOC_calc!O8</f>
        <v>1137</v>
      </c>
      <c r="O6" s="17">
        <f>GR_calc!J8</f>
        <v>71.154085857684976</v>
      </c>
      <c r="P6" s="17">
        <f>GR_calc!K8</f>
        <v>71.154085857684976</v>
      </c>
      <c r="Q6" s="17">
        <f>GR_calc!L8</f>
        <v>0</v>
      </c>
      <c r="R6" s="37">
        <f t="shared" si="0"/>
        <v>185.01808478933773</v>
      </c>
      <c r="S6" s="37">
        <f>Externality_calc!Q8</f>
        <v>142.68590760981695</v>
      </c>
      <c r="T6" s="37">
        <f>Externality_calc!R8</f>
        <v>0</v>
      </c>
      <c r="U6" s="37">
        <f>Externality_calc!S8</f>
        <v>0</v>
      </c>
      <c r="V6" s="37">
        <f>Externality_calc!T8</f>
        <v>20.224291602112924</v>
      </c>
      <c r="W6" s="37">
        <f>Externality_calc!U8</f>
        <v>22.10788557740786</v>
      </c>
      <c r="X6" s="37">
        <f>Externality_calc!V8</f>
        <v>0</v>
      </c>
      <c r="Y6" s="37">
        <f>Externality_calc!W8</f>
        <v>0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2</v>
      </c>
      <c r="E7" s="56">
        <f>Input!F9</f>
        <v>30</v>
      </c>
      <c r="F7" s="56">
        <f>Input!G9</f>
        <v>0</v>
      </c>
      <c r="G7" s="56" t="str">
        <f>Input!H9</f>
        <v>22</v>
      </c>
      <c r="H7" s="16">
        <f t="shared" si="1"/>
        <v>8760</v>
      </c>
      <c r="I7" s="92">
        <f>TOC_calc!J9</f>
        <v>17197.777170672154</v>
      </c>
      <c r="J7" s="92">
        <f>TOC_calc!K9</f>
        <v>13600</v>
      </c>
      <c r="K7" s="92">
        <f>TOC_calc!L9</f>
        <v>0</v>
      </c>
      <c r="L7" s="92">
        <f>TOC_calc!M9</f>
        <v>1897.4422895382663</v>
      </c>
      <c r="M7" s="92">
        <f>TOC_calc!N9</f>
        <v>563.33488113388705</v>
      </c>
      <c r="N7" s="92">
        <f>TOC_calc!O9</f>
        <v>1137</v>
      </c>
      <c r="O7" s="17">
        <f>GR_calc!J9</f>
        <v>85.384903029221974</v>
      </c>
      <c r="P7" s="17">
        <f>GR_calc!K9</f>
        <v>85.384903029221974</v>
      </c>
      <c r="Q7" s="17">
        <f>GR_calc!L9</f>
        <v>0</v>
      </c>
      <c r="R7" s="37">
        <f t="shared" si="0"/>
        <v>222.0217017472053</v>
      </c>
      <c r="S7" s="37">
        <f>Externality_calc!Q9</f>
        <v>171.22308913178034</v>
      </c>
      <c r="T7" s="37">
        <f>Externality_calc!R9</f>
        <v>0</v>
      </c>
      <c r="U7" s="37">
        <f>Externality_calc!S9</f>
        <v>0</v>
      </c>
      <c r="V7" s="37">
        <f>Externality_calc!T9</f>
        <v>24.269149922535512</v>
      </c>
      <c r="W7" s="37">
        <f>Externality_calc!U9</f>
        <v>26.529462692889432</v>
      </c>
      <c r="X7" s="37">
        <f>Externality_calc!V9</f>
        <v>0</v>
      </c>
      <c r="Y7" s="37">
        <f>Externality_calc!W9</f>
        <v>0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2</v>
      </c>
      <c r="E8" s="56">
        <f>Input!F10</f>
        <v>35</v>
      </c>
      <c r="F8" s="56">
        <f>Input!G10</f>
        <v>0</v>
      </c>
      <c r="G8" s="56" t="str">
        <f>Input!H10</f>
        <v>22</v>
      </c>
      <c r="H8" s="16">
        <f t="shared" si="1"/>
        <v>10220</v>
      </c>
      <c r="I8" s="92">
        <f>TOC_calc!J10</f>
        <v>17607.906699117513</v>
      </c>
      <c r="J8" s="92">
        <f>TOC_calc!K10</f>
        <v>13600</v>
      </c>
      <c r="K8" s="92">
        <f>TOC_calc!L10</f>
        <v>0</v>
      </c>
      <c r="L8" s="92">
        <f>TOC_calc!M10</f>
        <v>2213.6826711279768</v>
      </c>
      <c r="M8" s="92">
        <f>TOC_calc!N10</f>
        <v>657.22402798953487</v>
      </c>
      <c r="N8" s="92">
        <f>TOC_calc!O10</f>
        <v>1137</v>
      </c>
      <c r="O8" s="17">
        <f>GR_calc!J10</f>
        <v>99.615720200758958</v>
      </c>
      <c r="P8" s="17">
        <f>GR_calc!K10</f>
        <v>99.615720200758958</v>
      </c>
      <c r="Q8" s="17">
        <f>GR_calc!L10</f>
        <v>0</v>
      </c>
      <c r="R8" s="37">
        <f t="shared" si="0"/>
        <v>259.02531870507278</v>
      </c>
      <c r="S8" s="37">
        <f>Externality_calc!Q10</f>
        <v>199.7602706537437</v>
      </c>
      <c r="T8" s="37">
        <f>Externality_calc!R10</f>
        <v>0</v>
      </c>
      <c r="U8" s="37">
        <f>Externality_calc!S10</f>
        <v>0</v>
      </c>
      <c r="V8" s="37">
        <f>Externality_calc!T10</f>
        <v>28.314008242958092</v>
      </c>
      <c r="W8" s="37">
        <f>Externality_calc!U10</f>
        <v>30.951039808371004</v>
      </c>
      <c r="X8" s="37">
        <f>Externality_calc!V10</f>
        <v>0</v>
      </c>
      <c r="Y8" s="37">
        <f>Externality_calc!W10</f>
        <v>0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2</v>
      </c>
      <c r="E9" s="56">
        <f>Input!F11</f>
        <v>40</v>
      </c>
      <c r="F9" s="56">
        <f>Input!G11</f>
        <v>0</v>
      </c>
      <c r="G9" s="56" t="str">
        <f>Input!H11</f>
        <v>22</v>
      </c>
      <c r="H9" s="16">
        <f t="shared" si="1"/>
        <v>11680</v>
      </c>
      <c r="I9" s="92">
        <f>TOC_calc!J11</f>
        <v>18018.036227562872</v>
      </c>
      <c r="J9" s="92">
        <f>TOC_calc!K11</f>
        <v>13600</v>
      </c>
      <c r="K9" s="92">
        <f>TOC_calc!L11</f>
        <v>0</v>
      </c>
      <c r="L9" s="92">
        <f>TOC_calc!M11</f>
        <v>2529.9230527176883</v>
      </c>
      <c r="M9" s="92">
        <f>TOC_calc!N11</f>
        <v>751.1131748451827</v>
      </c>
      <c r="N9" s="92">
        <f>TOC_calc!O11</f>
        <v>1137</v>
      </c>
      <c r="O9" s="17">
        <f>GR_calc!J11</f>
        <v>113.84653737229596</v>
      </c>
      <c r="P9" s="17">
        <f>GR_calc!K11</f>
        <v>113.84653737229596</v>
      </c>
      <c r="Q9" s="17">
        <f>GR_calc!L11</f>
        <v>0</v>
      </c>
      <c r="R9" s="37">
        <f t="shared" si="0"/>
        <v>296.0289356629404</v>
      </c>
      <c r="S9" s="37">
        <f>Externality_calc!Q11</f>
        <v>228.29745217570709</v>
      </c>
      <c r="T9" s="37">
        <f>Externality_calc!R11</f>
        <v>0</v>
      </c>
      <c r="U9" s="37">
        <f>Externality_calc!S11</f>
        <v>0</v>
      </c>
      <c r="V9" s="37">
        <f>Externality_calc!T11</f>
        <v>32.35886656338068</v>
      </c>
      <c r="W9" s="37">
        <f>Externality_calc!U11</f>
        <v>35.372616923852576</v>
      </c>
      <c r="X9" s="37">
        <f>Externality_calc!V11</f>
        <v>0</v>
      </c>
      <c r="Y9" s="37">
        <f>Externality_calc!W11</f>
        <v>0</v>
      </c>
    </row>
    <row r="10" spans="1:25">
      <c r="A10" s="56">
        <f>Input!B12</f>
        <v>3</v>
      </c>
      <c r="B10" s="56">
        <f>Input!C12</f>
        <v>9</v>
      </c>
      <c r="C10" s="56">
        <f>Input!D12</f>
        <v>2</v>
      </c>
      <c r="D10" s="56">
        <f>Input!E12</f>
        <v>2</v>
      </c>
      <c r="E10" s="56">
        <f>Input!F12</f>
        <v>45</v>
      </c>
      <c r="F10" s="56">
        <f>Input!G12</f>
        <v>0</v>
      </c>
      <c r="G10" s="56" t="str">
        <f>Input!H12</f>
        <v>22</v>
      </c>
      <c r="H10" s="16">
        <f t="shared" si="1"/>
        <v>13140</v>
      </c>
      <c r="I10" s="92">
        <f>TOC_calc!J12</f>
        <v>18428.165756008231</v>
      </c>
      <c r="J10" s="92">
        <f>TOC_calc!K12</f>
        <v>13600</v>
      </c>
      <c r="K10" s="92">
        <f>TOC_calc!L12</f>
        <v>0</v>
      </c>
      <c r="L10" s="92">
        <f>TOC_calc!M12</f>
        <v>2846.1634343073993</v>
      </c>
      <c r="M10" s="92">
        <f>TOC_calc!N12</f>
        <v>845.00232170083052</v>
      </c>
      <c r="N10" s="92">
        <f>TOC_calc!O12</f>
        <v>1137</v>
      </c>
      <c r="O10" s="17">
        <f>GR_calc!J12</f>
        <v>128.07735454383297</v>
      </c>
      <c r="P10" s="17">
        <f>GR_calc!K12</f>
        <v>128.07735454383297</v>
      </c>
      <c r="Q10" s="17">
        <f>GR_calc!L12</f>
        <v>0</v>
      </c>
      <c r="R10" s="37">
        <f t="shared" si="0"/>
        <v>333.03255262080791</v>
      </c>
      <c r="S10" s="37">
        <f>Externality_calc!Q12</f>
        <v>256.83463369767048</v>
      </c>
      <c r="T10" s="37">
        <f>Externality_calc!R12</f>
        <v>0</v>
      </c>
      <c r="U10" s="37">
        <f>Externality_calc!S12</f>
        <v>0</v>
      </c>
      <c r="V10" s="37">
        <f>Externality_calc!T12</f>
        <v>36.403724883803264</v>
      </c>
      <c r="W10" s="37">
        <f>Externality_calc!U12</f>
        <v>39.794194039334151</v>
      </c>
      <c r="X10" s="37">
        <f>Externality_calc!V12</f>
        <v>0</v>
      </c>
      <c r="Y10" s="37">
        <f>Externality_calc!W12</f>
        <v>0</v>
      </c>
    </row>
    <row r="11" spans="1:25">
      <c r="A11" s="56">
        <f>Input!B13</f>
        <v>3</v>
      </c>
      <c r="B11" s="56">
        <f>Input!C13</f>
        <v>10</v>
      </c>
      <c r="C11" s="56">
        <f>Input!D13</f>
        <v>2</v>
      </c>
      <c r="D11" s="56">
        <f>Input!E13</f>
        <v>2</v>
      </c>
      <c r="E11" s="56">
        <f>Input!F13</f>
        <v>50</v>
      </c>
      <c r="F11" s="56">
        <f>Input!G13</f>
        <v>0</v>
      </c>
      <c r="G11" s="56" t="str">
        <f>Input!H13</f>
        <v>22</v>
      </c>
      <c r="H11" s="16">
        <f t="shared" si="1"/>
        <v>14600</v>
      </c>
      <c r="I11" s="92">
        <f>TOC_calc!J13</f>
        <v>18838.295284453587</v>
      </c>
      <c r="J11" s="92">
        <f>TOC_calc!K13</f>
        <v>13600</v>
      </c>
      <c r="K11" s="92">
        <f>TOC_calc!L13</f>
        <v>0</v>
      </c>
      <c r="L11" s="92">
        <f>TOC_calc!M13</f>
        <v>3162.4038158971102</v>
      </c>
      <c r="M11" s="92">
        <f>TOC_calc!N13</f>
        <v>938.89146855647834</v>
      </c>
      <c r="N11" s="92">
        <f>TOC_calc!O13</f>
        <v>1137</v>
      </c>
      <c r="O11" s="17">
        <f>GR_calc!J13</f>
        <v>142.30817171536995</v>
      </c>
      <c r="P11" s="17">
        <f>GR_calc!K13</f>
        <v>142.30817171536995</v>
      </c>
      <c r="Q11" s="17">
        <f>GR_calc!L13</f>
        <v>0</v>
      </c>
      <c r="R11" s="37">
        <f t="shared" si="0"/>
        <v>370.03616957867547</v>
      </c>
      <c r="S11" s="37">
        <f>Externality_calc!Q13</f>
        <v>285.3718152196339</v>
      </c>
      <c r="T11" s="37">
        <f>Externality_calc!R13</f>
        <v>0</v>
      </c>
      <c r="U11" s="37">
        <f>Externality_calc!S13</f>
        <v>0</v>
      </c>
      <c r="V11" s="37">
        <f>Externality_calc!T13</f>
        <v>40.448583204225848</v>
      </c>
      <c r="W11" s="37">
        <f>Externality_calc!U13</f>
        <v>44.21577115481572</v>
      </c>
      <c r="X11" s="37">
        <f>Externality_calc!V13</f>
        <v>0</v>
      </c>
      <c r="Y11" s="37">
        <f>Externality_calc!W13</f>
        <v>0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2</v>
      </c>
      <c r="E12" s="56">
        <f>Input!F14</f>
        <v>55</v>
      </c>
      <c r="F12" s="56">
        <f>Input!G14</f>
        <v>0</v>
      </c>
      <c r="G12" s="56" t="str">
        <f>Input!H14</f>
        <v>22</v>
      </c>
      <c r="H12" s="16">
        <f t="shared" si="1"/>
        <v>16060</v>
      </c>
      <c r="I12" s="92">
        <f>TOC_calc!J14</f>
        <v>19248.424812898949</v>
      </c>
      <c r="J12" s="92">
        <f>TOC_calc!K14</f>
        <v>13600</v>
      </c>
      <c r="K12" s="92">
        <f>TOC_calc!L14</f>
        <v>0</v>
      </c>
      <c r="L12" s="92">
        <f>TOC_calc!M14</f>
        <v>3478.6441974868212</v>
      </c>
      <c r="M12" s="92">
        <f>TOC_calc!N14</f>
        <v>1032.7806154121263</v>
      </c>
      <c r="N12" s="92">
        <f>TOC_calc!O14</f>
        <v>1137</v>
      </c>
      <c r="O12" s="17">
        <f>GR_calc!J14</f>
        <v>156.53898888690694</v>
      </c>
      <c r="P12" s="17">
        <f>GR_calc!K14</f>
        <v>156.53898888690694</v>
      </c>
      <c r="Q12" s="17">
        <f>GR_calc!L14</f>
        <v>0</v>
      </c>
      <c r="R12" s="37">
        <f t="shared" si="0"/>
        <v>407.03978653654298</v>
      </c>
      <c r="S12" s="37">
        <f>Externality_calc!Q14</f>
        <v>313.90899674159726</v>
      </c>
      <c r="T12" s="37">
        <f>Externality_calc!R14</f>
        <v>0</v>
      </c>
      <c r="U12" s="37">
        <f>Externality_calc!S14</f>
        <v>0</v>
      </c>
      <c r="V12" s="37">
        <f>Externality_calc!T14</f>
        <v>44.493441524648432</v>
      </c>
      <c r="W12" s="37">
        <f>Externality_calc!U14</f>
        <v>48.637348270297295</v>
      </c>
      <c r="X12" s="37">
        <f>Externality_calc!V14</f>
        <v>0</v>
      </c>
      <c r="Y12" s="37">
        <f>Externality_calc!W14</f>
        <v>0</v>
      </c>
    </row>
    <row r="13" spans="1:25">
      <c r="A13" s="56">
        <f>Input!B15</f>
        <v>1</v>
      </c>
      <c r="B13" s="56">
        <f>Input!C15</f>
        <v>12</v>
      </c>
      <c r="C13" s="56">
        <f>Input!D15</f>
        <v>2</v>
      </c>
      <c r="D13" s="56">
        <f>Input!E15</f>
        <v>2</v>
      </c>
      <c r="E13" s="56">
        <f>Input!F15</f>
        <v>60</v>
      </c>
      <c r="F13" s="56">
        <f>Input!G15</f>
        <v>0</v>
      </c>
      <c r="G13" s="56" t="str">
        <f>Input!H15</f>
        <v>22</v>
      </c>
      <c r="H13" s="16">
        <f t="shared" si="1"/>
        <v>17520</v>
      </c>
      <c r="I13" s="92">
        <f>TOC_calc!J15</f>
        <v>19658.554341344308</v>
      </c>
      <c r="J13" s="92">
        <f>TOC_calc!K15</f>
        <v>13600</v>
      </c>
      <c r="K13" s="92">
        <f>TOC_calc!L15</f>
        <v>0</v>
      </c>
      <c r="L13" s="92">
        <f>TOC_calc!M15</f>
        <v>3794.8845790765326</v>
      </c>
      <c r="M13" s="92">
        <f>TOC_calc!N15</f>
        <v>1126.6697622677741</v>
      </c>
      <c r="N13" s="92">
        <f>TOC_calc!O15</f>
        <v>1137</v>
      </c>
      <c r="O13" s="17">
        <f>GR_calc!J15</f>
        <v>170.76980605844395</v>
      </c>
      <c r="P13" s="17">
        <f>GR_calc!K15</f>
        <v>170.76980605844395</v>
      </c>
      <c r="Q13" s="17">
        <f>GR_calc!L15</f>
        <v>0</v>
      </c>
      <c r="R13" s="37">
        <f t="shared" si="0"/>
        <v>444.0434034944106</v>
      </c>
      <c r="S13" s="37">
        <f>Externality_calc!Q15</f>
        <v>342.44617826356068</v>
      </c>
      <c r="T13" s="37">
        <f>Externality_calc!R15</f>
        <v>0</v>
      </c>
      <c r="U13" s="37">
        <f>Externality_calc!S15</f>
        <v>0</v>
      </c>
      <c r="V13" s="37">
        <f>Externality_calc!T15</f>
        <v>48.538299845071023</v>
      </c>
      <c r="W13" s="37">
        <f>Externality_calc!U15</f>
        <v>53.058925385778863</v>
      </c>
      <c r="X13" s="37">
        <f>Externality_calc!V15</f>
        <v>0</v>
      </c>
      <c r="Y13" s="37">
        <f>Externality_calc!W15</f>
        <v>0</v>
      </c>
    </row>
    <row r="14" spans="1:25">
      <c r="A14" s="56">
        <f>Input!B16</f>
        <v>1</v>
      </c>
      <c r="B14" s="56">
        <f>Input!C16</f>
        <v>13</v>
      </c>
      <c r="C14" s="56">
        <f>Input!D16</f>
        <v>2</v>
      </c>
      <c r="D14" s="56">
        <f>Input!E16</f>
        <v>2</v>
      </c>
      <c r="E14" s="56">
        <f>Input!F16</f>
        <v>65</v>
      </c>
      <c r="F14" s="56">
        <f>Input!G16</f>
        <v>0</v>
      </c>
      <c r="G14" s="56" t="str">
        <f>Input!H16</f>
        <v>22</v>
      </c>
      <c r="H14" s="16">
        <f t="shared" si="1"/>
        <v>18980</v>
      </c>
      <c r="I14" s="92">
        <f>TOC_calc!J16</f>
        <v>20068.683869789664</v>
      </c>
      <c r="J14" s="92">
        <f>TOC_calc!K16</f>
        <v>13600</v>
      </c>
      <c r="K14" s="92">
        <f>TOC_calc!L16</f>
        <v>0</v>
      </c>
      <c r="L14" s="92">
        <f>TOC_calc!M16</f>
        <v>4111.1249606662432</v>
      </c>
      <c r="M14" s="92">
        <f>TOC_calc!N16</f>
        <v>1220.5589091234219</v>
      </c>
      <c r="N14" s="92">
        <f>TOC_calc!O16</f>
        <v>1137</v>
      </c>
      <c r="O14" s="17">
        <f>GR_calc!J16</f>
        <v>185.00062322998093</v>
      </c>
      <c r="P14" s="17">
        <f>GR_calc!K16</f>
        <v>185.00062322998093</v>
      </c>
      <c r="Q14" s="17">
        <f>GR_calc!L16</f>
        <v>0</v>
      </c>
      <c r="R14" s="37">
        <f t="shared" si="0"/>
        <v>481.0470204522781</v>
      </c>
      <c r="S14" s="37">
        <f>Externality_calc!Q16</f>
        <v>370.98335978552404</v>
      </c>
      <c r="T14" s="37">
        <f>Externality_calc!R16</f>
        <v>0</v>
      </c>
      <c r="U14" s="37">
        <f>Externality_calc!S16</f>
        <v>0</v>
      </c>
      <c r="V14" s="37">
        <f>Externality_calc!T16</f>
        <v>52.583158165493607</v>
      </c>
      <c r="W14" s="37">
        <f>Externality_calc!U16</f>
        <v>57.480502501260439</v>
      </c>
      <c r="X14" s="37">
        <f>Externality_calc!V16</f>
        <v>0</v>
      </c>
      <c r="Y14" s="37">
        <f>Externality_calc!W16</f>
        <v>0</v>
      </c>
    </row>
    <row r="15" spans="1:25">
      <c r="A15" s="56">
        <f>Input!B17</f>
        <v>1</v>
      </c>
      <c r="B15" s="56">
        <f>Input!C17</f>
        <v>14</v>
      </c>
      <c r="C15" s="56">
        <f>Input!D17</f>
        <v>2</v>
      </c>
      <c r="D15" s="56">
        <f>Input!E17</f>
        <v>2</v>
      </c>
      <c r="E15" s="56">
        <f>Input!F17</f>
        <v>70</v>
      </c>
      <c r="F15" s="56">
        <f>Input!G17</f>
        <v>0</v>
      </c>
      <c r="G15" s="56" t="str">
        <f>Input!H17</f>
        <v>22</v>
      </c>
      <c r="H15" s="16">
        <f t="shared" si="1"/>
        <v>20440</v>
      </c>
      <c r="I15" s="92">
        <f>TOC_calc!J17</f>
        <v>20478.813398235023</v>
      </c>
      <c r="J15" s="92">
        <f>TOC_calc!K17</f>
        <v>13600</v>
      </c>
      <c r="K15" s="92">
        <f>TOC_calc!L17</f>
        <v>0</v>
      </c>
      <c r="L15" s="92">
        <f>TOC_calc!M17</f>
        <v>4427.3653422559537</v>
      </c>
      <c r="M15" s="92">
        <f>TOC_calc!N17</f>
        <v>1314.4480559790697</v>
      </c>
      <c r="N15" s="92">
        <f>TOC_calc!O17</f>
        <v>1137</v>
      </c>
      <c r="O15" s="17">
        <f>GR_calc!J17</f>
        <v>199.23144040151792</v>
      </c>
      <c r="P15" s="17">
        <f>GR_calc!K17</f>
        <v>199.23144040151792</v>
      </c>
      <c r="Q15" s="17">
        <f>GR_calc!L17</f>
        <v>0</v>
      </c>
      <c r="R15" s="37">
        <f t="shared" si="0"/>
        <v>518.05063741014555</v>
      </c>
      <c r="S15" s="37">
        <f>Externality_calc!Q17</f>
        <v>399.52054130748741</v>
      </c>
      <c r="T15" s="37">
        <f>Externality_calc!R17</f>
        <v>0</v>
      </c>
      <c r="U15" s="37">
        <f>Externality_calc!S17</f>
        <v>0</v>
      </c>
      <c r="V15" s="37">
        <f>Externality_calc!T17</f>
        <v>56.628016485916184</v>
      </c>
      <c r="W15" s="37">
        <f>Externality_calc!U17</f>
        <v>61.902079616742007</v>
      </c>
      <c r="X15" s="37">
        <f>Externality_calc!V17</f>
        <v>0</v>
      </c>
      <c r="Y15" s="37">
        <f>Externality_calc!W17</f>
        <v>0</v>
      </c>
    </row>
    <row r="16" spans="1:25">
      <c r="A16" s="56">
        <f>Input!B18</f>
        <v>1</v>
      </c>
      <c r="B16" s="56">
        <f>Input!C18</f>
        <v>15</v>
      </c>
      <c r="C16" s="56">
        <f>Input!D18</f>
        <v>2</v>
      </c>
      <c r="D16" s="56">
        <f>Input!E18</f>
        <v>2</v>
      </c>
      <c r="E16" s="56">
        <f>Input!F18</f>
        <v>75</v>
      </c>
      <c r="F16" s="56">
        <f>Input!G18</f>
        <v>0</v>
      </c>
      <c r="G16" s="56" t="str">
        <f>Input!H18</f>
        <v>22</v>
      </c>
      <c r="H16" s="16">
        <f t="shared" si="1"/>
        <v>21900</v>
      </c>
      <c r="I16" s="92">
        <f>TOC_calc!J18</f>
        <v>20888.942926680382</v>
      </c>
      <c r="J16" s="92">
        <f>TOC_calc!K18</f>
        <v>13600</v>
      </c>
      <c r="K16" s="92">
        <f>TOC_calc!L18</f>
        <v>0</v>
      </c>
      <c r="L16" s="92">
        <f>TOC_calc!M18</f>
        <v>4743.6057238456651</v>
      </c>
      <c r="M16" s="92">
        <f>TOC_calc!N18</f>
        <v>1408.3372028347176</v>
      </c>
      <c r="N16" s="92">
        <f>TOC_calc!O18</f>
        <v>1137</v>
      </c>
      <c r="O16" s="17">
        <f>GR_calc!J18</f>
        <v>213.46225757305493</v>
      </c>
      <c r="P16" s="17">
        <f>GR_calc!K18</f>
        <v>213.46225757305493</v>
      </c>
      <c r="Q16" s="17">
        <f>GR_calc!L18</f>
        <v>0</v>
      </c>
      <c r="R16" s="37">
        <f t="shared" si="0"/>
        <v>555.05425436801318</v>
      </c>
      <c r="S16" s="37">
        <f>Externality_calc!Q18</f>
        <v>428.05772282945082</v>
      </c>
      <c r="T16" s="37">
        <f>Externality_calc!R18</f>
        <v>0</v>
      </c>
      <c r="U16" s="37">
        <f>Externality_calc!S18</f>
        <v>0</v>
      </c>
      <c r="V16" s="37">
        <f>Externality_calc!T18</f>
        <v>60.672874806338768</v>
      </c>
      <c r="W16" s="37">
        <f>Externality_calc!U18</f>
        <v>66.323656732223583</v>
      </c>
      <c r="X16" s="37">
        <f>Externality_calc!V18</f>
        <v>0</v>
      </c>
      <c r="Y16" s="37">
        <f>Externality_calc!W18</f>
        <v>0</v>
      </c>
    </row>
    <row r="17" spans="1:25">
      <c r="A17" s="56">
        <f>Input!B19</f>
        <v>1</v>
      </c>
      <c r="B17" s="56">
        <f>Input!C19</f>
        <v>16</v>
      </c>
      <c r="C17" s="56">
        <f>Input!D19</f>
        <v>2</v>
      </c>
      <c r="D17" s="56">
        <f>Input!E19</f>
        <v>2</v>
      </c>
      <c r="E17" s="56">
        <f>Input!F19</f>
        <v>80</v>
      </c>
      <c r="F17" s="56">
        <f>Input!G19</f>
        <v>0</v>
      </c>
      <c r="G17" s="56" t="str">
        <f>Input!H19</f>
        <v>22</v>
      </c>
      <c r="H17" s="16">
        <f t="shared" si="1"/>
        <v>23360</v>
      </c>
      <c r="I17" s="92">
        <f>TOC_calc!J19</f>
        <v>21299.072455125741</v>
      </c>
      <c r="J17" s="92">
        <f>TOC_calc!K19</f>
        <v>13600</v>
      </c>
      <c r="K17" s="92">
        <f>TOC_calc!L19</f>
        <v>0</v>
      </c>
      <c r="L17" s="92">
        <f>TOC_calc!M19</f>
        <v>5059.8461054353766</v>
      </c>
      <c r="M17" s="92">
        <f>TOC_calc!N19</f>
        <v>1502.2263496903654</v>
      </c>
      <c r="N17" s="92">
        <f>TOC_calc!O19</f>
        <v>1137</v>
      </c>
      <c r="O17" s="17">
        <f>GR_calc!J19</f>
        <v>227.69307474459191</v>
      </c>
      <c r="P17" s="17">
        <f>GR_calc!K19</f>
        <v>227.69307474459191</v>
      </c>
      <c r="Q17" s="17">
        <f>GR_calc!L19</f>
        <v>0</v>
      </c>
      <c r="R17" s="37">
        <f t="shared" si="0"/>
        <v>592.0578713258808</v>
      </c>
      <c r="S17" s="37">
        <f>Externality_calc!Q19</f>
        <v>456.59490435141419</v>
      </c>
      <c r="T17" s="37">
        <f>Externality_calc!R19</f>
        <v>0</v>
      </c>
      <c r="U17" s="37">
        <f>Externality_calc!S19</f>
        <v>0</v>
      </c>
      <c r="V17" s="37">
        <f>Externality_calc!T19</f>
        <v>64.71773312676136</v>
      </c>
      <c r="W17" s="37">
        <f>Externality_calc!U19</f>
        <v>70.745233847705151</v>
      </c>
      <c r="X17" s="37">
        <f>Externality_calc!V19</f>
        <v>0</v>
      </c>
      <c r="Y17" s="37">
        <f>Externality_calc!W19</f>
        <v>0</v>
      </c>
    </row>
    <row r="18" spans="1:25">
      <c r="A18" s="56">
        <f>Input!B20</f>
        <v>4</v>
      </c>
      <c r="B18" s="56">
        <f>Input!C20</f>
        <v>17</v>
      </c>
      <c r="C18" s="56">
        <f>Input!D20</f>
        <v>2</v>
      </c>
      <c r="D18" s="56">
        <f>Input!E20</f>
        <v>2</v>
      </c>
      <c r="E18" s="56">
        <f>Input!F20</f>
        <v>85</v>
      </c>
      <c r="F18" s="56">
        <f>Input!G20</f>
        <v>0</v>
      </c>
      <c r="G18" s="56" t="str">
        <f>Input!H20</f>
        <v>22</v>
      </c>
      <c r="H18" s="16">
        <f t="shared" si="1"/>
        <v>24820</v>
      </c>
      <c r="I18" s="92">
        <f>TOC_calc!J20</f>
        <v>21709.2019835711</v>
      </c>
      <c r="J18" s="92">
        <f>TOC_calc!K20</f>
        <v>13600</v>
      </c>
      <c r="K18" s="92">
        <f>TOC_calc!L20</f>
        <v>0</v>
      </c>
      <c r="L18" s="92">
        <f>TOC_calc!M20</f>
        <v>5376.0864870250871</v>
      </c>
      <c r="M18" s="92">
        <f>TOC_calc!N20</f>
        <v>1596.1154965460132</v>
      </c>
      <c r="N18" s="92">
        <f>TOC_calc!O20</f>
        <v>1137</v>
      </c>
      <c r="O18" s="17">
        <f>GR_calc!J20</f>
        <v>241.92389191612889</v>
      </c>
      <c r="P18" s="17">
        <f>GR_calc!K20</f>
        <v>241.92389191612889</v>
      </c>
      <c r="Q18" s="17">
        <f>GR_calc!L20</f>
        <v>0</v>
      </c>
      <c r="R18" s="37">
        <f t="shared" si="0"/>
        <v>629.06148828374842</v>
      </c>
      <c r="S18" s="37">
        <f>Externality_calc!Q20</f>
        <v>485.13208587337766</v>
      </c>
      <c r="T18" s="37">
        <f>Externality_calc!R20</f>
        <v>0</v>
      </c>
      <c r="U18" s="37">
        <f>Externality_calc!S20</f>
        <v>0</v>
      </c>
      <c r="V18" s="37">
        <f>Externality_calc!T20</f>
        <v>68.762591447183951</v>
      </c>
      <c r="W18" s="37">
        <f>Externality_calc!U20</f>
        <v>75.166810963186734</v>
      </c>
      <c r="X18" s="37">
        <f>Externality_calc!V20</f>
        <v>0</v>
      </c>
      <c r="Y18" s="37">
        <f>Externality_calc!W20</f>
        <v>0</v>
      </c>
    </row>
    <row r="19" spans="1:25">
      <c r="A19" s="56">
        <f>Input!B21</f>
        <v>4</v>
      </c>
      <c r="B19" s="56">
        <f>Input!C21</f>
        <v>18</v>
      </c>
      <c r="C19" s="56">
        <f>Input!D21</f>
        <v>2</v>
      </c>
      <c r="D19" s="56">
        <f>Input!E21</f>
        <v>2</v>
      </c>
      <c r="E19" s="56">
        <f>Input!F21</f>
        <v>90</v>
      </c>
      <c r="F19" s="56">
        <f>Input!G21</f>
        <v>0</v>
      </c>
      <c r="G19" s="56" t="str">
        <f>Input!H21</f>
        <v>22</v>
      </c>
      <c r="H19" s="16">
        <f t="shared" si="1"/>
        <v>26280</v>
      </c>
      <c r="I19" s="92">
        <f>TOC_calc!J21</f>
        <v>22119.331512016463</v>
      </c>
      <c r="J19" s="92">
        <f>TOC_calc!K21</f>
        <v>13600</v>
      </c>
      <c r="K19" s="92">
        <f>TOC_calc!L21</f>
        <v>0</v>
      </c>
      <c r="L19" s="92">
        <f>TOC_calc!M21</f>
        <v>5692.3268686147985</v>
      </c>
      <c r="M19" s="92">
        <f>TOC_calc!N21</f>
        <v>1690.004643401661</v>
      </c>
      <c r="N19" s="92">
        <f>TOC_calc!O21</f>
        <v>1137</v>
      </c>
      <c r="O19" s="17">
        <f>GR_calc!J21</f>
        <v>256.15470908766594</v>
      </c>
      <c r="P19" s="17">
        <f>GR_calc!K21</f>
        <v>256.15470908766594</v>
      </c>
      <c r="Q19" s="17">
        <f>GR_calc!L21</f>
        <v>0</v>
      </c>
      <c r="R19" s="37">
        <f t="shared" si="0"/>
        <v>666.06510524161581</v>
      </c>
      <c r="S19" s="37">
        <f>Externality_calc!Q21</f>
        <v>513.66926739534097</v>
      </c>
      <c r="T19" s="37">
        <f>Externality_calc!R21</f>
        <v>0</v>
      </c>
      <c r="U19" s="37">
        <f>Externality_calc!S21</f>
        <v>0</v>
      </c>
      <c r="V19" s="37">
        <f>Externality_calc!T21</f>
        <v>72.807449767606528</v>
      </c>
      <c r="W19" s="37">
        <f>Externality_calc!U21</f>
        <v>79.588388078668302</v>
      </c>
      <c r="X19" s="37">
        <f>Externality_calc!V21</f>
        <v>0</v>
      </c>
      <c r="Y19" s="37">
        <f>Externality_calc!W21</f>
        <v>0</v>
      </c>
    </row>
    <row r="20" spans="1:25">
      <c r="A20" s="56">
        <f>Input!B22</f>
        <v>4</v>
      </c>
      <c r="B20" s="56">
        <f>Input!C22</f>
        <v>19</v>
      </c>
      <c r="C20" s="56">
        <f>Input!D22</f>
        <v>2</v>
      </c>
      <c r="D20" s="56">
        <f>Input!E22</f>
        <v>2</v>
      </c>
      <c r="E20" s="56">
        <f>Input!F22</f>
        <v>95</v>
      </c>
      <c r="F20" s="56">
        <f>Input!G22</f>
        <v>0</v>
      </c>
      <c r="G20" s="56" t="str">
        <f>Input!H22</f>
        <v>22</v>
      </c>
      <c r="H20" s="16">
        <f t="shared" si="1"/>
        <v>27740</v>
      </c>
      <c r="I20" s="92">
        <f>TOC_calc!J22</f>
        <v>22529.461040461818</v>
      </c>
      <c r="J20" s="92">
        <f>TOC_calc!K22</f>
        <v>13600</v>
      </c>
      <c r="K20" s="92">
        <f>TOC_calc!L22</f>
        <v>0</v>
      </c>
      <c r="L20" s="92">
        <f>TOC_calc!M22</f>
        <v>6008.567250204509</v>
      </c>
      <c r="M20" s="92">
        <f>TOC_calc!N22</f>
        <v>1783.8937902573089</v>
      </c>
      <c r="N20" s="92">
        <f>TOC_calc!O22</f>
        <v>1137</v>
      </c>
      <c r="O20" s="17">
        <f>GR_calc!J22</f>
        <v>270.38552625920289</v>
      </c>
      <c r="P20" s="17">
        <f>GR_calc!K22</f>
        <v>270.38552625920289</v>
      </c>
      <c r="Q20" s="17">
        <f>GR_calc!L22</f>
        <v>0</v>
      </c>
      <c r="R20" s="37">
        <f t="shared" si="0"/>
        <v>703.06872219948343</v>
      </c>
      <c r="S20" s="37">
        <f>Externality_calc!Q22</f>
        <v>542.20644891730444</v>
      </c>
      <c r="T20" s="37">
        <f>Externality_calc!R22</f>
        <v>0</v>
      </c>
      <c r="U20" s="37">
        <f>Externality_calc!S22</f>
        <v>0</v>
      </c>
      <c r="V20" s="37">
        <f>Externality_calc!T22</f>
        <v>76.852308088029105</v>
      </c>
      <c r="W20" s="37">
        <f>Externality_calc!U22</f>
        <v>84.009965194149871</v>
      </c>
      <c r="X20" s="37">
        <f>Externality_calc!V22</f>
        <v>0</v>
      </c>
      <c r="Y20" s="37">
        <f>Externality_calc!W22</f>
        <v>0</v>
      </c>
    </row>
    <row r="21" spans="1:25">
      <c r="A21" s="56">
        <f>Input!B23</f>
        <v>4</v>
      </c>
      <c r="B21" s="56">
        <f>Input!C23</f>
        <v>20</v>
      </c>
      <c r="C21" s="56">
        <f>Input!D23</f>
        <v>2</v>
      </c>
      <c r="D21" s="56">
        <f>Input!E23</f>
        <v>2</v>
      </c>
      <c r="E21" s="56">
        <f>Input!F23</f>
        <v>100</v>
      </c>
      <c r="F21" s="56">
        <f>Input!G23</f>
        <v>0</v>
      </c>
      <c r="G21" s="56" t="str">
        <f>Input!H23</f>
        <v>22</v>
      </c>
      <c r="H21" s="16">
        <f t="shared" si="1"/>
        <v>29200</v>
      </c>
      <c r="I21" s="92">
        <f>TOC_calc!J23</f>
        <v>22939.590568907177</v>
      </c>
      <c r="J21" s="92">
        <f>TOC_calc!K23</f>
        <v>13600</v>
      </c>
      <c r="K21" s="92">
        <f>TOC_calc!L23</f>
        <v>0</v>
      </c>
      <c r="L21" s="92">
        <f>TOC_calc!M23</f>
        <v>6324.8076317942205</v>
      </c>
      <c r="M21" s="92">
        <f>TOC_calc!N23</f>
        <v>1877.7829371129567</v>
      </c>
      <c r="N21" s="92">
        <f>TOC_calc!O23</f>
        <v>1137</v>
      </c>
      <c r="O21" s="17">
        <f>GR_calc!J23</f>
        <v>284.6163434307399</v>
      </c>
      <c r="P21" s="17">
        <f>GR_calc!K23</f>
        <v>284.6163434307399</v>
      </c>
      <c r="Q21" s="17">
        <f>GR_calc!L23</f>
        <v>0</v>
      </c>
      <c r="R21" s="37">
        <f t="shared" si="0"/>
        <v>740.07233915735094</v>
      </c>
      <c r="S21" s="37">
        <f>Externality_calc!Q23</f>
        <v>570.7436304392678</v>
      </c>
      <c r="T21" s="37">
        <f>Externality_calc!R23</f>
        <v>0</v>
      </c>
      <c r="U21" s="37">
        <f>Externality_calc!S23</f>
        <v>0</v>
      </c>
      <c r="V21" s="37">
        <f>Externality_calc!T23</f>
        <v>80.897166408451696</v>
      </c>
      <c r="W21" s="37">
        <f>Externality_calc!U23</f>
        <v>88.431542309631439</v>
      </c>
      <c r="X21" s="37">
        <f>Externality_calc!V23</f>
        <v>0</v>
      </c>
      <c r="Y21" s="37">
        <f>Externality_calc!W23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topLeftCell="D1" zoomScale="70" zoomScaleNormal="70" workbookViewId="0">
      <selection activeCell="Q6" sqref="Q6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7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7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8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2</v>
      </c>
      <c r="F4" s="56">
        <f>Input!F4</f>
        <v>5</v>
      </c>
      <c r="G4" s="56">
        <f>Input!G4</f>
        <v>0</v>
      </c>
      <c r="H4" s="14" t="str">
        <f>D4&amp;E4</f>
        <v>22</v>
      </c>
      <c r="I4" s="16">
        <f>F4*365*0.8</f>
        <v>1460</v>
      </c>
      <c r="J4" s="58">
        <f>K4+L4+M4+N4+O4</f>
        <v>15147.129528445359</v>
      </c>
      <c r="K4" s="60">
        <f>Q4</f>
        <v>13600</v>
      </c>
      <c r="L4" s="60">
        <f>R4*-1</f>
        <v>0</v>
      </c>
      <c r="M4" s="17">
        <f>I4/S4*U4</f>
        <v>316.24038158971103</v>
      </c>
      <c r="N4" s="15">
        <f>I4*T4</f>
        <v>93.889146855647837</v>
      </c>
      <c r="O4" s="15">
        <f>V4+W4</f>
        <v>1137</v>
      </c>
      <c r="Q4" s="8">
        <f>VLOOKUP(H4,'TOC Factors'!$F$6:$M$17,3,TRUE)</f>
        <v>13600</v>
      </c>
      <c r="R4" s="8">
        <f>IF(G4=1,Subsidy!$D$3,0)</f>
        <v>0</v>
      </c>
      <c r="S4" s="9">
        <f>VLOOKUP(H4,'TOC Factors'!$F$6:$M$17,4,TRUE)</f>
        <v>29.07</v>
      </c>
      <c r="T4" s="10">
        <f>VLOOKUP(H4,'TOC Factors'!$F$6:$M$17,5,TRUE)</f>
        <v>6.4307634832635505E-2</v>
      </c>
      <c r="U4" s="10">
        <f>VLOOKUP(H4,'TOC Factors'!$F$6:$M$17,6,TRUE)</f>
        <v>6.2966492416526707</v>
      </c>
      <c r="V4" s="11">
        <f>VLOOKUP(H4,'TOC Factors'!$F$6:$M$17,7,TRUE)</f>
        <v>904</v>
      </c>
      <c r="W4" s="11">
        <f>VLOOKUP(H4,'TOC Factors'!$F$6:$M$17,8,TRUE)</f>
        <v>233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2</v>
      </c>
      <c r="F5" s="56">
        <f>Input!F5</f>
        <v>10</v>
      </c>
      <c r="G5" s="56">
        <f>Input!G5</f>
        <v>0</v>
      </c>
      <c r="H5" s="14" t="str">
        <f>D5&amp;E5</f>
        <v>22</v>
      </c>
      <c r="I5" s="16">
        <f>F5*365*0.8</f>
        <v>2920</v>
      </c>
      <c r="J5" s="58">
        <f>K5+L5+M5+N5+O5</f>
        <v>15557.259056890718</v>
      </c>
      <c r="K5" s="60">
        <f>Q5</f>
        <v>13600</v>
      </c>
      <c r="L5" s="60">
        <f>R5*-1</f>
        <v>0</v>
      </c>
      <c r="M5" s="17">
        <f>I5/S5*U5</f>
        <v>632.48076317942207</v>
      </c>
      <c r="N5" s="15">
        <f>I5*T5</f>
        <v>187.77829371129567</v>
      </c>
      <c r="O5" s="15">
        <f>V5+W5</f>
        <v>1137</v>
      </c>
      <c r="Q5" s="8">
        <f>VLOOKUP(H5,'TOC Factors'!$F$6:$M$17,3,TRUE)</f>
        <v>13600</v>
      </c>
      <c r="R5" s="8">
        <f>IF(G5=1,Subsidy!$D$3,0)</f>
        <v>0</v>
      </c>
      <c r="S5" s="9">
        <f>VLOOKUP(H5,'TOC Factors'!$F$6:$M$17,4,TRUE)</f>
        <v>29.07</v>
      </c>
      <c r="T5" s="10">
        <f>VLOOKUP(H5,'TOC Factors'!$F$6:$M$17,5,TRUE)</f>
        <v>6.4307634832635505E-2</v>
      </c>
      <c r="U5" s="10">
        <f>VLOOKUP(H5,'TOC Factors'!$F$6:$M$17,6,TRUE)</f>
        <v>6.2966492416526707</v>
      </c>
      <c r="V5" s="11">
        <f>VLOOKUP(H5,'TOC Factors'!$F$6:$M$17,7,TRUE)</f>
        <v>904</v>
      </c>
      <c r="W5" s="11">
        <f>VLOOKUP(H5,'TOC Factors'!$F$6:$M$17,8,TRUE)</f>
        <v>233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2</v>
      </c>
      <c r="F6" s="56">
        <f>Input!F6</f>
        <v>15</v>
      </c>
      <c r="G6" s="56">
        <f>Input!G6</f>
        <v>0</v>
      </c>
      <c r="H6" s="14" t="str">
        <f>D6&amp;E6</f>
        <v>22</v>
      </c>
      <c r="I6" s="16">
        <f>F6*365*0.8</f>
        <v>4380</v>
      </c>
      <c r="J6" s="58">
        <f>K6+L6+M6+N6+O6</f>
        <v>15967.388585336077</v>
      </c>
      <c r="K6" s="60">
        <f>Q6</f>
        <v>13600</v>
      </c>
      <c r="L6" s="60">
        <f>R6*-1</f>
        <v>0</v>
      </c>
      <c r="M6" s="17">
        <f>I6/S6*U6</f>
        <v>948.72114476913316</v>
      </c>
      <c r="N6" s="15">
        <f>I6*T6</f>
        <v>281.66744056694353</v>
      </c>
      <c r="O6" s="15">
        <f>V6+W6</f>
        <v>1137</v>
      </c>
      <c r="Q6" s="8">
        <f>VLOOKUP(H6,'TOC Factors'!$F$6:$M$17,3,TRUE)</f>
        <v>13600</v>
      </c>
      <c r="R6" s="8">
        <f>IF(G6=1,Subsidy!$D$3,0)</f>
        <v>0</v>
      </c>
      <c r="S6" s="9">
        <f>VLOOKUP(H6,'TOC Factors'!$F$6:$M$17,4,TRUE)</f>
        <v>29.07</v>
      </c>
      <c r="T6" s="10">
        <f>VLOOKUP(H6,'TOC Factors'!$F$6:$M$17,5,TRUE)</f>
        <v>6.4307634832635505E-2</v>
      </c>
      <c r="U6" s="10">
        <f>VLOOKUP(H6,'TOC Factors'!$F$6:$M$17,6,TRUE)</f>
        <v>6.2966492416526707</v>
      </c>
      <c r="V6" s="11">
        <f>VLOOKUP(H6,'TOC Factors'!$F$6:$M$17,7,TRUE)</f>
        <v>904</v>
      </c>
      <c r="W6" s="11">
        <f>VLOOKUP(H6,'TOC Factors'!$F$6:$M$17,8,TRUE)</f>
        <v>233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2</v>
      </c>
      <c r="F7" s="56">
        <f>Input!F7</f>
        <v>20</v>
      </c>
      <c r="G7" s="56">
        <f>Input!G7</f>
        <v>0</v>
      </c>
      <c r="H7" s="14" t="str">
        <f t="shared" ref="H7:H20" si="0">D7&amp;E7</f>
        <v>22</v>
      </c>
      <c r="I7" s="16">
        <f t="shared" ref="I7:I20" si="1">F7*365*0.8</f>
        <v>5840</v>
      </c>
      <c r="J7" s="58">
        <f>K7+L7+M7+N7+O7</f>
        <v>16377.518113781436</v>
      </c>
      <c r="K7" s="60">
        <f t="shared" ref="K7:K20" si="2">Q7</f>
        <v>13600</v>
      </c>
      <c r="L7" s="60">
        <f t="shared" ref="L7:L20" si="3">R7*-1</f>
        <v>0</v>
      </c>
      <c r="M7" s="17">
        <f t="shared" ref="M7:M20" si="4">I7/S7*U7</f>
        <v>1264.9615263588441</v>
      </c>
      <c r="N7" s="15">
        <f t="shared" ref="N7:N20" si="5">I7*T7</f>
        <v>375.55658742259135</v>
      </c>
      <c r="O7" s="15">
        <f t="shared" ref="O7:O20" si="6">V7+W7</f>
        <v>1137</v>
      </c>
      <c r="Q7" s="8">
        <f>VLOOKUP(H7,'TOC Factors'!$F$6:$M$17,3,TRUE)</f>
        <v>13600</v>
      </c>
      <c r="R7" s="8">
        <f>IF(G7=1,Subsidy!$D$3,0)</f>
        <v>0</v>
      </c>
      <c r="S7" s="9">
        <f>VLOOKUP(H7,'TOC Factors'!$F$6:$M$17,4,TRUE)</f>
        <v>29.07</v>
      </c>
      <c r="T7" s="10">
        <f>VLOOKUP(H7,'TOC Factors'!$F$6:$M$17,5,TRUE)</f>
        <v>6.4307634832635505E-2</v>
      </c>
      <c r="U7" s="10">
        <f>VLOOKUP(H7,'TOC Factors'!$F$6:$M$17,6,TRUE)</f>
        <v>6.2966492416526707</v>
      </c>
      <c r="V7" s="11">
        <f>VLOOKUP(H7,'TOC Factors'!$F$6:$M$17,7,TRUE)</f>
        <v>904</v>
      </c>
      <c r="W7" s="11">
        <f>VLOOKUP(H7,'TOC Factors'!$F$6:$M$17,8,TRUE)</f>
        <v>233</v>
      </c>
    </row>
    <row r="8" spans="2:23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2</v>
      </c>
      <c r="F8" s="56">
        <f>Input!F8</f>
        <v>25</v>
      </c>
      <c r="G8" s="56">
        <f>Input!G8</f>
        <v>0</v>
      </c>
      <c r="H8" s="14" t="str">
        <f t="shared" si="0"/>
        <v>22</v>
      </c>
      <c r="I8" s="16">
        <f t="shared" si="1"/>
        <v>7300</v>
      </c>
      <c r="J8" s="58">
        <f t="shared" ref="J8:J43" si="7">K8+L8+M8+N8+O8</f>
        <v>16787.647642226795</v>
      </c>
      <c r="K8" s="60">
        <f t="shared" si="2"/>
        <v>13600</v>
      </c>
      <c r="L8" s="60">
        <f t="shared" si="3"/>
        <v>0</v>
      </c>
      <c r="M8" s="17">
        <f t="shared" si="4"/>
        <v>1581.2019079485551</v>
      </c>
      <c r="N8" s="15">
        <f t="shared" si="5"/>
        <v>469.44573427823917</v>
      </c>
      <c r="O8" s="15">
        <f t="shared" si="6"/>
        <v>1137</v>
      </c>
      <c r="Q8" s="8">
        <f>VLOOKUP(H8,'TOC Factors'!$F$6:$M$17,3,TRUE)</f>
        <v>13600</v>
      </c>
      <c r="R8" s="8">
        <f>IF(G8=1,Subsidy!$D$3,0)</f>
        <v>0</v>
      </c>
      <c r="S8" s="9">
        <f>VLOOKUP(H8,'TOC Factors'!$F$6:$M$17,4,TRUE)</f>
        <v>29.07</v>
      </c>
      <c r="T8" s="10">
        <f>VLOOKUP(H8,'TOC Factors'!$F$6:$M$17,5,TRUE)</f>
        <v>6.4307634832635505E-2</v>
      </c>
      <c r="U8" s="10">
        <f>VLOOKUP(H8,'TOC Factors'!$F$6:$M$17,6,TRUE)</f>
        <v>6.2966492416526707</v>
      </c>
      <c r="V8" s="11">
        <f>VLOOKUP(H8,'TOC Factors'!$F$6:$M$17,7,TRUE)</f>
        <v>904</v>
      </c>
      <c r="W8" s="11">
        <f>VLOOKUP(H8,'TOC Factors'!$F$6:$M$17,8,TRUE)</f>
        <v>233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2</v>
      </c>
      <c r="F9" s="56">
        <f>Input!F9</f>
        <v>30</v>
      </c>
      <c r="G9" s="56">
        <f>Input!G9</f>
        <v>0</v>
      </c>
      <c r="H9" s="14" t="str">
        <f t="shared" si="0"/>
        <v>22</v>
      </c>
      <c r="I9" s="16">
        <f t="shared" si="1"/>
        <v>8760</v>
      </c>
      <c r="J9" s="58">
        <f t="shared" si="7"/>
        <v>17197.777170672154</v>
      </c>
      <c r="K9" s="60">
        <f t="shared" si="2"/>
        <v>13600</v>
      </c>
      <c r="L9" s="60">
        <f t="shared" si="3"/>
        <v>0</v>
      </c>
      <c r="M9" s="17">
        <f t="shared" si="4"/>
        <v>1897.4422895382663</v>
      </c>
      <c r="N9" s="15">
        <f t="shared" si="5"/>
        <v>563.33488113388705</v>
      </c>
      <c r="O9" s="15">
        <f t="shared" si="6"/>
        <v>1137</v>
      </c>
      <c r="Q9" s="8">
        <f>VLOOKUP(H9,'TOC Factors'!$F$6:$M$17,3,TRUE)</f>
        <v>13600</v>
      </c>
      <c r="R9" s="8">
        <f>IF(G9=1,Subsidy!$D$3,0)</f>
        <v>0</v>
      </c>
      <c r="S9" s="9">
        <f>VLOOKUP(H9,'TOC Factors'!$F$6:$M$17,4,TRUE)</f>
        <v>29.07</v>
      </c>
      <c r="T9" s="10">
        <f>VLOOKUP(H9,'TOC Factors'!$F$6:$M$17,5,TRUE)</f>
        <v>6.4307634832635505E-2</v>
      </c>
      <c r="U9" s="10">
        <f>VLOOKUP(H9,'TOC Factors'!$F$6:$M$17,6,TRUE)</f>
        <v>6.2966492416526707</v>
      </c>
      <c r="V9" s="11">
        <f>VLOOKUP(H9,'TOC Factors'!$F$6:$M$17,7,TRUE)</f>
        <v>904</v>
      </c>
      <c r="W9" s="11">
        <f>VLOOKUP(H9,'TOC Factors'!$F$6:$M$17,8,TRUE)</f>
        <v>233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2</v>
      </c>
      <c r="F10" s="56">
        <f>Input!F10</f>
        <v>35</v>
      </c>
      <c r="G10" s="56">
        <f>Input!G10</f>
        <v>0</v>
      </c>
      <c r="H10" s="14" t="str">
        <f t="shared" si="0"/>
        <v>22</v>
      </c>
      <c r="I10" s="16">
        <f t="shared" si="1"/>
        <v>10220</v>
      </c>
      <c r="J10" s="58">
        <f t="shared" si="7"/>
        <v>17607.906699117513</v>
      </c>
      <c r="K10" s="60">
        <f t="shared" si="2"/>
        <v>13600</v>
      </c>
      <c r="L10" s="60">
        <f t="shared" si="3"/>
        <v>0</v>
      </c>
      <c r="M10" s="17">
        <f t="shared" si="4"/>
        <v>2213.6826711279768</v>
      </c>
      <c r="N10" s="15">
        <f t="shared" si="5"/>
        <v>657.22402798953487</v>
      </c>
      <c r="O10" s="15">
        <f t="shared" si="6"/>
        <v>1137</v>
      </c>
      <c r="Q10" s="8">
        <f>VLOOKUP(H10,'TOC Factors'!$F$6:$M$17,3,TRUE)</f>
        <v>13600</v>
      </c>
      <c r="R10" s="8">
        <f>IF(G10=1,Subsidy!$D$3,0)</f>
        <v>0</v>
      </c>
      <c r="S10" s="9">
        <f>VLOOKUP(H10,'TOC Factors'!$F$6:$M$17,4,TRUE)</f>
        <v>29.07</v>
      </c>
      <c r="T10" s="10">
        <f>VLOOKUP(H10,'TOC Factors'!$F$6:$M$17,5,TRUE)</f>
        <v>6.4307634832635505E-2</v>
      </c>
      <c r="U10" s="10">
        <f>VLOOKUP(H10,'TOC Factors'!$F$6:$M$17,6,TRUE)</f>
        <v>6.2966492416526707</v>
      </c>
      <c r="V10" s="11">
        <f>VLOOKUP(H10,'TOC Factors'!$F$6:$M$17,7,TRUE)</f>
        <v>904</v>
      </c>
      <c r="W10" s="11">
        <f>VLOOKUP(H10,'TOC Factors'!$F$6:$M$17,8,TRUE)</f>
        <v>233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2</v>
      </c>
      <c r="F11" s="56">
        <f>Input!F11</f>
        <v>40</v>
      </c>
      <c r="G11" s="56">
        <f>Input!G11</f>
        <v>0</v>
      </c>
      <c r="H11" s="14" t="str">
        <f t="shared" si="0"/>
        <v>22</v>
      </c>
      <c r="I11" s="16">
        <f t="shared" si="1"/>
        <v>11680</v>
      </c>
      <c r="J11" s="58">
        <f t="shared" si="7"/>
        <v>18018.036227562872</v>
      </c>
      <c r="K11" s="60">
        <f t="shared" si="2"/>
        <v>13600</v>
      </c>
      <c r="L11" s="60">
        <f t="shared" si="3"/>
        <v>0</v>
      </c>
      <c r="M11" s="17">
        <f t="shared" si="4"/>
        <v>2529.9230527176883</v>
      </c>
      <c r="N11" s="15">
        <f t="shared" si="5"/>
        <v>751.1131748451827</v>
      </c>
      <c r="O11" s="15">
        <f t="shared" si="6"/>
        <v>1137</v>
      </c>
      <c r="Q11" s="8">
        <f>VLOOKUP(H11,'TOC Factors'!$F$6:$M$17,3,TRUE)</f>
        <v>13600</v>
      </c>
      <c r="R11" s="8">
        <f>IF(G11=1,Subsidy!$D$3,0)</f>
        <v>0</v>
      </c>
      <c r="S11" s="9">
        <f>VLOOKUP(H11,'TOC Factors'!$F$6:$M$17,4,TRUE)</f>
        <v>29.07</v>
      </c>
      <c r="T11" s="10">
        <f>VLOOKUP(H11,'TOC Factors'!$F$6:$M$17,5,TRUE)</f>
        <v>6.4307634832635505E-2</v>
      </c>
      <c r="U11" s="10">
        <f>VLOOKUP(H11,'TOC Factors'!$F$6:$M$17,6,TRUE)</f>
        <v>6.2966492416526707</v>
      </c>
      <c r="V11" s="11">
        <f>VLOOKUP(H11,'TOC Factors'!$F$6:$M$17,7,TRUE)</f>
        <v>904</v>
      </c>
      <c r="W11" s="11">
        <f>VLOOKUP(H11,'TOC Factors'!$F$6:$M$17,8,TRUE)</f>
        <v>233</v>
      </c>
    </row>
    <row r="12" spans="2:23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2</v>
      </c>
      <c r="F12" s="56">
        <f>Input!F12</f>
        <v>45</v>
      </c>
      <c r="G12" s="56">
        <f>Input!G12</f>
        <v>0</v>
      </c>
      <c r="H12" s="14" t="str">
        <f t="shared" si="0"/>
        <v>22</v>
      </c>
      <c r="I12" s="16">
        <f t="shared" si="1"/>
        <v>13140</v>
      </c>
      <c r="J12" s="58">
        <f t="shared" si="7"/>
        <v>18428.165756008231</v>
      </c>
      <c r="K12" s="60">
        <f t="shared" si="2"/>
        <v>13600</v>
      </c>
      <c r="L12" s="60">
        <f t="shared" si="3"/>
        <v>0</v>
      </c>
      <c r="M12" s="17">
        <f t="shared" si="4"/>
        <v>2846.1634343073993</v>
      </c>
      <c r="N12" s="15">
        <f t="shared" si="5"/>
        <v>845.00232170083052</v>
      </c>
      <c r="O12" s="15">
        <f t="shared" si="6"/>
        <v>1137</v>
      </c>
      <c r="Q12" s="8">
        <f>VLOOKUP(H12,'TOC Factors'!$F$6:$M$17,3,TRUE)</f>
        <v>13600</v>
      </c>
      <c r="R12" s="8">
        <f>IF(G12=1,Subsidy!$D$3,0)</f>
        <v>0</v>
      </c>
      <c r="S12" s="9">
        <f>VLOOKUP(H12,'TOC Factors'!$F$6:$M$17,4,TRUE)</f>
        <v>29.07</v>
      </c>
      <c r="T12" s="10">
        <f>VLOOKUP(H12,'TOC Factors'!$F$6:$M$17,5,TRUE)</f>
        <v>6.4307634832635505E-2</v>
      </c>
      <c r="U12" s="10">
        <f>VLOOKUP(H12,'TOC Factors'!$F$6:$M$17,6,TRUE)</f>
        <v>6.2966492416526707</v>
      </c>
      <c r="V12" s="11">
        <f>VLOOKUP(H12,'TOC Factors'!$F$6:$M$17,7,TRUE)</f>
        <v>904</v>
      </c>
      <c r="W12" s="11">
        <f>VLOOKUP(H12,'TOC Factors'!$F$6:$M$17,8,TRUE)</f>
        <v>233</v>
      </c>
    </row>
    <row r="13" spans="2:23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2</v>
      </c>
      <c r="F13" s="56">
        <f>Input!F13</f>
        <v>50</v>
      </c>
      <c r="G13" s="56">
        <f>Input!G13</f>
        <v>0</v>
      </c>
      <c r="H13" s="14" t="str">
        <f t="shared" si="0"/>
        <v>22</v>
      </c>
      <c r="I13" s="16">
        <f t="shared" si="1"/>
        <v>14600</v>
      </c>
      <c r="J13" s="58">
        <f t="shared" si="7"/>
        <v>18838.295284453587</v>
      </c>
      <c r="K13" s="60">
        <f t="shared" si="2"/>
        <v>13600</v>
      </c>
      <c r="L13" s="60">
        <f t="shared" si="3"/>
        <v>0</v>
      </c>
      <c r="M13" s="17">
        <f t="shared" si="4"/>
        <v>3162.4038158971102</v>
      </c>
      <c r="N13" s="15">
        <f t="shared" si="5"/>
        <v>938.89146855647834</v>
      </c>
      <c r="O13" s="15">
        <f t="shared" si="6"/>
        <v>1137</v>
      </c>
      <c r="Q13" s="8">
        <f>VLOOKUP(H13,'TOC Factors'!$F$6:$M$17,3,TRUE)</f>
        <v>13600</v>
      </c>
      <c r="R13" s="8">
        <f>IF(G13=1,Subsidy!$D$3,0)</f>
        <v>0</v>
      </c>
      <c r="S13" s="9">
        <f>VLOOKUP(H13,'TOC Factors'!$F$6:$M$17,4,TRUE)</f>
        <v>29.07</v>
      </c>
      <c r="T13" s="10">
        <f>VLOOKUP(H13,'TOC Factors'!$F$6:$M$17,5,TRUE)</f>
        <v>6.4307634832635505E-2</v>
      </c>
      <c r="U13" s="10">
        <f>VLOOKUP(H13,'TOC Factors'!$F$6:$M$17,6,TRUE)</f>
        <v>6.2966492416526707</v>
      </c>
      <c r="V13" s="11">
        <f>VLOOKUP(H13,'TOC Factors'!$F$6:$M$17,7,TRUE)</f>
        <v>904</v>
      </c>
      <c r="W13" s="11">
        <f>VLOOKUP(H13,'TOC Factors'!$F$6:$M$17,8,TRUE)</f>
        <v>233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2</v>
      </c>
      <c r="F14" s="56">
        <f>Input!F14</f>
        <v>55</v>
      </c>
      <c r="G14" s="56">
        <f>Input!G14</f>
        <v>0</v>
      </c>
      <c r="H14" s="14" t="str">
        <f t="shared" si="0"/>
        <v>22</v>
      </c>
      <c r="I14" s="16">
        <f t="shared" si="1"/>
        <v>16060</v>
      </c>
      <c r="J14" s="58">
        <f t="shared" si="7"/>
        <v>19248.424812898949</v>
      </c>
      <c r="K14" s="60">
        <f t="shared" si="2"/>
        <v>13600</v>
      </c>
      <c r="L14" s="60">
        <f t="shared" si="3"/>
        <v>0</v>
      </c>
      <c r="M14" s="17">
        <f t="shared" si="4"/>
        <v>3478.6441974868212</v>
      </c>
      <c r="N14" s="15">
        <f t="shared" si="5"/>
        <v>1032.7806154121263</v>
      </c>
      <c r="O14" s="15">
        <f t="shared" si="6"/>
        <v>1137</v>
      </c>
      <c r="Q14" s="8">
        <f>VLOOKUP(H14,'TOC Factors'!$F$6:$M$17,3,TRUE)</f>
        <v>13600</v>
      </c>
      <c r="R14" s="8">
        <f>IF(G14=1,Subsidy!$D$3,0)</f>
        <v>0</v>
      </c>
      <c r="S14" s="9">
        <f>VLOOKUP(H14,'TOC Factors'!$F$6:$M$17,4,TRUE)</f>
        <v>29.07</v>
      </c>
      <c r="T14" s="10">
        <f>VLOOKUP(H14,'TOC Factors'!$F$6:$M$17,5,TRUE)</f>
        <v>6.4307634832635505E-2</v>
      </c>
      <c r="U14" s="10">
        <f>VLOOKUP(H14,'TOC Factors'!$F$6:$M$17,6,TRUE)</f>
        <v>6.2966492416526707</v>
      </c>
      <c r="V14" s="11">
        <f>VLOOKUP(H14,'TOC Factors'!$F$6:$M$17,7,TRUE)</f>
        <v>904</v>
      </c>
      <c r="W14" s="11">
        <f>VLOOKUP(H14,'TOC Factors'!$F$6:$M$17,8,TRUE)</f>
        <v>233</v>
      </c>
    </row>
    <row r="15" spans="2:23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2</v>
      </c>
      <c r="F15" s="56">
        <f>Input!F15</f>
        <v>60</v>
      </c>
      <c r="G15" s="56">
        <f>Input!G15</f>
        <v>0</v>
      </c>
      <c r="H15" s="14" t="str">
        <f t="shared" si="0"/>
        <v>22</v>
      </c>
      <c r="I15" s="16">
        <f t="shared" si="1"/>
        <v>17520</v>
      </c>
      <c r="J15" s="58">
        <f t="shared" si="7"/>
        <v>19658.554341344308</v>
      </c>
      <c r="K15" s="60">
        <f t="shared" si="2"/>
        <v>13600</v>
      </c>
      <c r="L15" s="60">
        <f t="shared" si="3"/>
        <v>0</v>
      </c>
      <c r="M15" s="17">
        <f t="shared" si="4"/>
        <v>3794.8845790765326</v>
      </c>
      <c r="N15" s="15">
        <f t="shared" si="5"/>
        <v>1126.6697622677741</v>
      </c>
      <c r="O15" s="15">
        <f t="shared" si="6"/>
        <v>1137</v>
      </c>
      <c r="Q15" s="8">
        <f>VLOOKUP(H15,'TOC Factors'!$F$6:$M$17,3,TRUE)</f>
        <v>13600</v>
      </c>
      <c r="R15" s="8">
        <f>IF(G15=1,Subsidy!$D$3,0)</f>
        <v>0</v>
      </c>
      <c r="S15" s="9">
        <f>VLOOKUP(H15,'TOC Factors'!$F$6:$M$17,4,TRUE)</f>
        <v>29.07</v>
      </c>
      <c r="T15" s="10">
        <f>VLOOKUP(H15,'TOC Factors'!$F$6:$M$17,5,TRUE)</f>
        <v>6.4307634832635505E-2</v>
      </c>
      <c r="U15" s="10">
        <f>VLOOKUP(H15,'TOC Factors'!$F$6:$M$17,6,TRUE)</f>
        <v>6.2966492416526707</v>
      </c>
      <c r="V15" s="11">
        <f>VLOOKUP(H15,'TOC Factors'!$F$6:$M$17,7,TRUE)</f>
        <v>904</v>
      </c>
      <c r="W15" s="11">
        <f>VLOOKUP(H15,'TOC Factors'!$F$6:$M$17,8,TRUE)</f>
        <v>233</v>
      </c>
    </row>
    <row r="16" spans="2:23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2</v>
      </c>
      <c r="F16" s="56">
        <f>Input!F16</f>
        <v>65</v>
      </c>
      <c r="G16" s="56">
        <f>Input!G16</f>
        <v>0</v>
      </c>
      <c r="H16" s="14" t="str">
        <f t="shared" si="0"/>
        <v>22</v>
      </c>
      <c r="I16" s="16">
        <f t="shared" si="1"/>
        <v>18980</v>
      </c>
      <c r="J16" s="58">
        <f t="shared" si="7"/>
        <v>20068.683869789664</v>
      </c>
      <c r="K16" s="60">
        <f t="shared" si="2"/>
        <v>13600</v>
      </c>
      <c r="L16" s="60">
        <f t="shared" si="3"/>
        <v>0</v>
      </c>
      <c r="M16" s="17">
        <f t="shared" si="4"/>
        <v>4111.1249606662432</v>
      </c>
      <c r="N16" s="15">
        <f t="shared" si="5"/>
        <v>1220.5589091234219</v>
      </c>
      <c r="O16" s="15">
        <f t="shared" si="6"/>
        <v>1137</v>
      </c>
      <c r="Q16" s="8">
        <f>VLOOKUP(H16,'TOC Factors'!$F$6:$M$17,3,TRUE)</f>
        <v>13600</v>
      </c>
      <c r="R16" s="8">
        <f>IF(G16=1,Subsidy!$D$3,0)</f>
        <v>0</v>
      </c>
      <c r="S16" s="9">
        <f>VLOOKUP(H16,'TOC Factors'!$F$6:$M$17,4,TRUE)</f>
        <v>29.07</v>
      </c>
      <c r="T16" s="10">
        <f>VLOOKUP(H16,'TOC Factors'!$F$6:$M$17,5,TRUE)</f>
        <v>6.4307634832635505E-2</v>
      </c>
      <c r="U16" s="10">
        <f>VLOOKUP(H16,'TOC Factors'!$F$6:$M$17,6,TRUE)</f>
        <v>6.2966492416526707</v>
      </c>
      <c r="V16" s="11">
        <f>VLOOKUP(H16,'TOC Factors'!$F$6:$M$17,7,TRUE)</f>
        <v>904</v>
      </c>
      <c r="W16" s="11">
        <f>VLOOKUP(H16,'TOC Factors'!$F$6:$M$17,8,TRUE)</f>
        <v>233</v>
      </c>
    </row>
    <row r="17" spans="2:23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2</v>
      </c>
      <c r="F17" s="56">
        <f>Input!F17</f>
        <v>70</v>
      </c>
      <c r="G17" s="56">
        <f>Input!G17</f>
        <v>0</v>
      </c>
      <c r="H17" s="14" t="str">
        <f t="shared" si="0"/>
        <v>22</v>
      </c>
      <c r="I17" s="16">
        <f t="shared" si="1"/>
        <v>20440</v>
      </c>
      <c r="J17" s="58">
        <f t="shared" si="7"/>
        <v>20478.813398235023</v>
      </c>
      <c r="K17" s="60">
        <f t="shared" si="2"/>
        <v>13600</v>
      </c>
      <c r="L17" s="60">
        <f t="shared" si="3"/>
        <v>0</v>
      </c>
      <c r="M17" s="17">
        <f t="shared" si="4"/>
        <v>4427.3653422559537</v>
      </c>
      <c r="N17" s="15">
        <f t="shared" si="5"/>
        <v>1314.4480559790697</v>
      </c>
      <c r="O17" s="15">
        <f t="shared" si="6"/>
        <v>1137</v>
      </c>
      <c r="Q17" s="8">
        <f>VLOOKUP(H17,'TOC Factors'!$F$6:$M$17,3,TRUE)</f>
        <v>13600</v>
      </c>
      <c r="R17" s="8">
        <f>IF(G17=1,Subsidy!$D$3,0)</f>
        <v>0</v>
      </c>
      <c r="S17" s="9">
        <f>VLOOKUP(H17,'TOC Factors'!$F$6:$M$17,4,TRUE)</f>
        <v>29.07</v>
      </c>
      <c r="T17" s="10">
        <f>VLOOKUP(H17,'TOC Factors'!$F$6:$M$17,5,TRUE)</f>
        <v>6.4307634832635505E-2</v>
      </c>
      <c r="U17" s="10">
        <f>VLOOKUP(H17,'TOC Factors'!$F$6:$M$17,6,TRUE)</f>
        <v>6.2966492416526707</v>
      </c>
      <c r="V17" s="11">
        <f>VLOOKUP(H17,'TOC Factors'!$F$6:$M$17,7,TRUE)</f>
        <v>904</v>
      </c>
      <c r="W17" s="11">
        <f>VLOOKUP(H17,'TOC Factors'!$F$6:$M$17,8,TRUE)</f>
        <v>233</v>
      </c>
    </row>
    <row r="18" spans="2:23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2</v>
      </c>
      <c r="F18" s="56">
        <f>Input!F18</f>
        <v>75</v>
      </c>
      <c r="G18" s="56">
        <f>Input!G18</f>
        <v>0</v>
      </c>
      <c r="H18" s="14" t="str">
        <f t="shared" si="0"/>
        <v>22</v>
      </c>
      <c r="I18" s="16">
        <f t="shared" si="1"/>
        <v>21900</v>
      </c>
      <c r="J18" s="58">
        <f t="shared" si="7"/>
        <v>20888.942926680382</v>
      </c>
      <c r="K18" s="60">
        <f t="shared" si="2"/>
        <v>13600</v>
      </c>
      <c r="L18" s="60">
        <f t="shared" si="3"/>
        <v>0</v>
      </c>
      <c r="M18" s="17">
        <f t="shared" si="4"/>
        <v>4743.6057238456651</v>
      </c>
      <c r="N18" s="15">
        <f t="shared" si="5"/>
        <v>1408.3372028347176</v>
      </c>
      <c r="O18" s="15">
        <f t="shared" si="6"/>
        <v>1137</v>
      </c>
      <c r="Q18" s="8">
        <f>VLOOKUP(H18,'TOC Factors'!$F$6:$M$17,3,TRUE)</f>
        <v>13600</v>
      </c>
      <c r="R18" s="8">
        <f>IF(G18=1,Subsidy!$D$3,0)</f>
        <v>0</v>
      </c>
      <c r="S18" s="9">
        <f>VLOOKUP(H18,'TOC Factors'!$F$6:$M$17,4,TRUE)</f>
        <v>29.07</v>
      </c>
      <c r="T18" s="10">
        <f>VLOOKUP(H18,'TOC Factors'!$F$6:$M$17,5,TRUE)</f>
        <v>6.4307634832635505E-2</v>
      </c>
      <c r="U18" s="10">
        <f>VLOOKUP(H18,'TOC Factors'!$F$6:$M$17,6,TRUE)</f>
        <v>6.2966492416526707</v>
      </c>
      <c r="V18" s="11">
        <f>VLOOKUP(H18,'TOC Factors'!$F$6:$M$17,7,TRUE)</f>
        <v>904</v>
      </c>
      <c r="W18" s="11">
        <f>VLOOKUP(H18,'TOC Factors'!$F$6:$M$17,8,TRUE)</f>
        <v>233</v>
      </c>
    </row>
    <row r="19" spans="2:23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80</v>
      </c>
      <c r="G19" s="56">
        <f>Input!G19</f>
        <v>0</v>
      </c>
      <c r="H19" s="14" t="str">
        <f t="shared" si="0"/>
        <v>22</v>
      </c>
      <c r="I19" s="16">
        <f t="shared" si="1"/>
        <v>23360</v>
      </c>
      <c r="J19" s="58">
        <f t="shared" si="7"/>
        <v>21299.072455125741</v>
      </c>
      <c r="K19" s="60">
        <f t="shared" si="2"/>
        <v>13600</v>
      </c>
      <c r="L19" s="60">
        <f t="shared" si="3"/>
        <v>0</v>
      </c>
      <c r="M19" s="17">
        <f t="shared" si="4"/>
        <v>5059.8461054353766</v>
      </c>
      <c r="N19" s="15">
        <f t="shared" si="5"/>
        <v>1502.2263496903654</v>
      </c>
      <c r="O19" s="15">
        <f t="shared" si="6"/>
        <v>1137</v>
      </c>
      <c r="Q19" s="8">
        <f>VLOOKUP(H19,'TOC Factors'!$F$6:$M$17,3,TRUE)</f>
        <v>13600</v>
      </c>
      <c r="R19" s="8">
        <f>IF(G19=1,Subsidy!$D$3,0)</f>
        <v>0</v>
      </c>
      <c r="S19" s="9">
        <f>VLOOKUP(H19,'TOC Factors'!$F$6:$M$17,4,TRUE)</f>
        <v>29.07</v>
      </c>
      <c r="T19" s="10">
        <f>VLOOKUP(H19,'TOC Factors'!$F$6:$M$17,5,TRUE)</f>
        <v>6.4307634832635505E-2</v>
      </c>
      <c r="U19" s="10">
        <f>VLOOKUP(H19,'TOC Factors'!$F$6:$M$17,6,TRUE)</f>
        <v>6.2966492416526707</v>
      </c>
      <c r="V19" s="11">
        <f>VLOOKUP(H19,'TOC Factors'!$F$6:$M$17,7,TRUE)</f>
        <v>904</v>
      </c>
      <c r="W19" s="11">
        <f>VLOOKUP(H19,'TOC Factors'!$F$6:$M$17,8,TRUE)</f>
        <v>233</v>
      </c>
    </row>
    <row r="20" spans="2:23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85</v>
      </c>
      <c r="G20" s="56">
        <f>Input!G20</f>
        <v>0</v>
      </c>
      <c r="H20" s="14" t="str">
        <f t="shared" si="0"/>
        <v>22</v>
      </c>
      <c r="I20" s="16">
        <f t="shared" si="1"/>
        <v>24820</v>
      </c>
      <c r="J20" s="58">
        <f t="shared" si="7"/>
        <v>21709.2019835711</v>
      </c>
      <c r="K20" s="60">
        <f t="shared" si="2"/>
        <v>13600</v>
      </c>
      <c r="L20" s="60">
        <f t="shared" si="3"/>
        <v>0</v>
      </c>
      <c r="M20" s="17">
        <f t="shared" si="4"/>
        <v>5376.0864870250871</v>
      </c>
      <c r="N20" s="15">
        <f t="shared" si="5"/>
        <v>1596.1154965460132</v>
      </c>
      <c r="O20" s="15">
        <f t="shared" si="6"/>
        <v>1137</v>
      </c>
      <c r="Q20" s="8">
        <f>VLOOKUP(H20,'TOC Factors'!$F$6:$M$17,3,TRUE)</f>
        <v>13600</v>
      </c>
      <c r="R20" s="8">
        <f>IF(G20=1,Subsidy!$D$3,0)</f>
        <v>0</v>
      </c>
      <c r="S20" s="9">
        <f>VLOOKUP(H20,'TOC Factors'!$F$6:$M$17,4,TRUE)</f>
        <v>29.07</v>
      </c>
      <c r="T20" s="10">
        <f>VLOOKUP(H20,'TOC Factors'!$F$6:$M$17,5,TRUE)</f>
        <v>6.4307634832635505E-2</v>
      </c>
      <c r="U20" s="10">
        <f>VLOOKUP(H20,'TOC Factors'!$F$6:$M$17,6,TRUE)</f>
        <v>6.2966492416526707</v>
      </c>
      <c r="V20" s="11">
        <f>VLOOKUP(H20,'TOC Factors'!$F$6:$M$17,7,TRUE)</f>
        <v>904</v>
      </c>
      <c r="W20" s="11">
        <f>VLOOKUP(H20,'TOC Factors'!$F$6:$M$17,8,TRUE)</f>
        <v>233</v>
      </c>
    </row>
    <row r="21" spans="2:23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90</v>
      </c>
      <c r="G21" s="56">
        <f>Input!G21</f>
        <v>0</v>
      </c>
      <c r="H21" s="14" t="str">
        <f t="shared" ref="H21:H43" si="8">D21&amp;E21</f>
        <v>22</v>
      </c>
      <c r="I21" s="16">
        <f t="shared" ref="I21:I43" si="9">F21*365*0.8</f>
        <v>26280</v>
      </c>
      <c r="J21" s="58">
        <f t="shared" si="7"/>
        <v>22119.331512016463</v>
      </c>
      <c r="K21" s="60">
        <f t="shared" ref="K21:K43" si="10">Q21</f>
        <v>13600</v>
      </c>
      <c r="L21" s="60">
        <f t="shared" ref="L21:L43" si="11">R21*-1</f>
        <v>0</v>
      </c>
      <c r="M21" s="17">
        <f t="shared" ref="M21:M43" si="12">I21/S21*U21</f>
        <v>5692.3268686147985</v>
      </c>
      <c r="N21" s="15">
        <f t="shared" ref="N21:N43" si="13">I21*T21</f>
        <v>1690.004643401661</v>
      </c>
      <c r="O21" s="15">
        <f t="shared" ref="O21:O43" si="14">V21+W21</f>
        <v>1137</v>
      </c>
      <c r="Q21" s="8">
        <f>VLOOKUP(H21,'TOC Factors'!$F$6:$M$17,3,TRUE)</f>
        <v>13600</v>
      </c>
      <c r="R21" s="8">
        <f>IF(G21=1,Subsidy!$D$3,0)</f>
        <v>0</v>
      </c>
      <c r="S21" s="9">
        <f>VLOOKUP(H21,'TOC Factors'!$F$6:$M$17,4,TRUE)</f>
        <v>29.07</v>
      </c>
      <c r="T21" s="10">
        <f>VLOOKUP(H21,'TOC Factors'!$F$6:$M$17,5,TRUE)</f>
        <v>6.4307634832635505E-2</v>
      </c>
      <c r="U21" s="10">
        <f>VLOOKUP(H21,'TOC Factors'!$F$6:$M$17,6,TRUE)</f>
        <v>6.2966492416526707</v>
      </c>
      <c r="V21" s="11">
        <f>VLOOKUP(H21,'TOC Factors'!$F$6:$M$17,7,TRUE)</f>
        <v>904</v>
      </c>
      <c r="W21" s="11">
        <f>VLOOKUP(H21,'TOC Factors'!$F$6:$M$17,8,TRUE)</f>
        <v>233</v>
      </c>
    </row>
    <row r="22" spans="2:23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95</v>
      </c>
      <c r="G22" s="56">
        <f>Input!G22</f>
        <v>0</v>
      </c>
      <c r="H22" s="14" t="str">
        <f t="shared" si="8"/>
        <v>22</v>
      </c>
      <c r="I22" s="16">
        <f t="shared" si="9"/>
        <v>27740</v>
      </c>
      <c r="J22" s="58">
        <f t="shared" si="7"/>
        <v>22529.461040461818</v>
      </c>
      <c r="K22" s="60">
        <f t="shared" si="10"/>
        <v>13600</v>
      </c>
      <c r="L22" s="60">
        <f t="shared" si="11"/>
        <v>0</v>
      </c>
      <c r="M22" s="17">
        <f t="shared" si="12"/>
        <v>6008.567250204509</v>
      </c>
      <c r="N22" s="15">
        <f t="shared" si="13"/>
        <v>1783.8937902573089</v>
      </c>
      <c r="O22" s="15">
        <f t="shared" si="14"/>
        <v>1137</v>
      </c>
      <c r="Q22" s="8">
        <f>VLOOKUP(H22,'TOC Factors'!$F$6:$M$17,3,TRUE)</f>
        <v>13600</v>
      </c>
      <c r="R22" s="8">
        <f>IF(G22=1,Subsidy!$D$3,0)</f>
        <v>0</v>
      </c>
      <c r="S22" s="9">
        <f>VLOOKUP(H22,'TOC Factors'!$F$6:$M$17,4,TRUE)</f>
        <v>29.07</v>
      </c>
      <c r="T22" s="10">
        <f>VLOOKUP(H22,'TOC Factors'!$F$6:$M$17,5,TRUE)</f>
        <v>6.4307634832635505E-2</v>
      </c>
      <c r="U22" s="10">
        <f>VLOOKUP(H22,'TOC Factors'!$F$6:$M$17,6,TRUE)</f>
        <v>6.2966492416526707</v>
      </c>
      <c r="V22" s="11">
        <f>VLOOKUP(H22,'TOC Factors'!$F$6:$M$17,7,TRUE)</f>
        <v>904</v>
      </c>
      <c r="W22" s="11">
        <f>VLOOKUP(H22,'TOC Factors'!$F$6:$M$17,8,TRUE)</f>
        <v>233</v>
      </c>
    </row>
    <row r="23" spans="2:23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100</v>
      </c>
      <c r="G23" s="56">
        <f>Input!G23</f>
        <v>0</v>
      </c>
      <c r="H23" s="14" t="str">
        <f t="shared" si="8"/>
        <v>22</v>
      </c>
      <c r="I23" s="16">
        <f t="shared" si="9"/>
        <v>29200</v>
      </c>
      <c r="J23" s="58">
        <f t="shared" si="7"/>
        <v>22939.590568907177</v>
      </c>
      <c r="K23" s="60">
        <f t="shared" si="10"/>
        <v>13600</v>
      </c>
      <c r="L23" s="60">
        <f t="shared" si="11"/>
        <v>0</v>
      </c>
      <c r="M23" s="17">
        <f t="shared" si="12"/>
        <v>6324.8076317942205</v>
      </c>
      <c r="N23" s="15">
        <f t="shared" si="13"/>
        <v>1877.7829371129567</v>
      </c>
      <c r="O23" s="15">
        <f t="shared" si="14"/>
        <v>1137</v>
      </c>
      <c r="Q23" s="8">
        <f>VLOOKUP(H23,'TOC Factors'!$F$6:$M$17,3,TRUE)</f>
        <v>13600</v>
      </c>
      <c r="R23" s="8">
        <f>IF(G23=1,Subsidy!$D$3,0)</f>
        <v>0</v>
      </c>
      <c r="S23" s="9">
        <f>VLOOKUP(H23,'TOC Factors'!$F$6:$M$17,4,TRUE)</f>
        <v>29.07</v>
      </c>
      <c r="T23" s="10">
        <f>VLOOKUP(H23,'TOC Factors'!$F$6:$M$17,5,TRUE)</f>
        <v>6.4307634832635505E-2</v>
      </c>
      <c r="U23" s="10">
        <f>VLOOKUP(H23,'TOC Factors'!$F$6:$M$17,6,TRUE)</f>
        <v>6.2966492416526707</v>
      </c>
      <c r="V23" s="11">
        <f>VLOOKUP(H23,'TOC Factors'!$F$6:$M$17,7,TRUE)</f>
        <v>904</v>
      </c>
      <c r="W23" s="11">
        <f>VLOOKUP(H23,'TOC Factors'!$F$6:$M$17,8,TRUE)</f>
        <v>233</v>
      </c>
    </row>
    <row r="24" spans="2:23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8"/>
        <v>00</v>
      </c>
      <c r="I24" s="16">
        <f t="shared" si="9"/>
        <v>0</v>
      </c>
      <c r="J24" s="58" t="e">
        <f t="shared" si="7"/>
        <v>#N/A</v>
      </c>
      <c r="K24" s="60" t="e">
        <f t="shared" si="10"/>
        <v>#N/A</v>
      </c>
      <c r="L24" s="60">
        <f t="shared" si="11"/>
        <v>0</v>
      </c>
      <c r="M24" s="17" t="e">
        <f t="shared" si="12"/>
        <v>#N/A</v>
      </c>
      <c r="N24" s="15" t="e">
        <f t="shared" si="13"/>
        <v>#N/A</v>
      </c>
      <c r="O24" s="15" t="e">
        <f t="shared" si="14"/>
        <v>#N/A</v>
      </c>
      <c r="Q24" s="8" t="e">
        <f>VLOOKUP(H24,'TOC Factors'!$F$6:$M$17,3,TRUE)</f>
        <v>#N/A</v>
      </c>
      <c r="R24" s="8">
        <f>IF(G24=1,Subsidy!$D$3,0)</f>
        <v>0</v>
      </c>
      <c r="S24" s="9" t="e">
        <f>VLOOKUP(H24,'TOC Factors'!$F$6:$M$17,4,TRUE)</f>
        <v>#N/A</v>
      </c>
      <c r="T24" s="10" t="e">
        <f>VLOOKUP(H24,'TOC Factors'!$F$6:$M$17,5,TRUE)</f>
        <v>#N/A</v>
      </c>
      <c r="U24" s="10" t="e">
        <f>VLOOKUP(H24,'TOC Factors'!$F$6:$M$17,6,TRUE)</f>
        <v>#N/A</v>
      </c>
      <c r="V24" s="11" t="e">
        <f>VLOOKUP(H24,'TOC Factors'!$F$6:$M$17,7,TRUE)</f>
        <v>#N/A</v>
      </c>
      <c r="W24" s="11" t="e">
        <f>VLOOKUP(H24,'TOC Factors'!$F$6:$M$17,8,TRUE)</f>
        <v>#N/A</v>
      </c>
    </row>
    <row r="25" spans="2:23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8"/>
        <v>00</v>
      </c>
      <c r="I25" s="16">
        <f t="shared" si="9"/>
        <v>0</v>
      </c>
      <c r="J25" s="58" t="e">
        <f t="shared" si="7"/>
        <v>#N/A</v>
      </c>
      <c r="K25" s="60" t="e">
        <f t="shared" si="10"/>
        <v>#N/A</v>
      </c>
      <c r="L25" s="60">
        <f t="shared" si="11"/>
        <v>0</v>
      </c>
      <c r="M25" s="17" t="e">
        <f t="shared" si="12"/>
        <v>#N/A</v>
      </c>
      <c r="N25" s="15" t="e">
        <f t="shared" si="13"/>
        <v>#N/A</v>
      </c>
      <c r="O25" s="15" t="e">
        <f t="shared" si="14"/>
        <v>#N/A</v>
      </c>
      <c r="Q25" s="8" t="e">
        <f>VLOOKUP(H25,'TOC Factors'!$F$6:$M$17,3,TRUE)</f>
        <v>#N/A</v>
      </c>
      <c r="R25" s="8">
        <f>IF(G25=1,Subsidy!$D$3,0)</f>
        <v>0</v>
      </c>
      <c r="S25" s="9" t="e">
        <f>VLOOKUP(H25,'TOC Factors'!$F$6:$M$17,4,TRUE)</f>
        <v>#N/A</v>
      </c>
      <c r="T25" s="10" t="e">
        <f>VLOOKUP(H25,'TOC Factors'!$F$6:$M$17,5,TRUE)</f>
        <v>#N/A</v>
      </c>
      <c r="U25" s="10" t="e">
        <f>VLOOKUP(H25,'TOC Factors'!$F$6:$M$17,6,TRUE)</f>
        <v>#N/A</v>
      </c>
      <c r="V25" s="11" t="e">
        <f>VLOOKUP(H25,'TOC Factors'!$F$6:$M$17,7,TRUE)</f>
        <v>#N/A</v>
      </c>
      <c r="W25" s="11" t="e">
        <f>VLOOKUP(H25,'TOC Factors'!$F$6:$M$17,8,TRUE)</f>
        <v>#N/A</v>
      </c>
    </row>
    <row r="26" spans="2:23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8"/>
        <v>00</v>
      </c>
      <c r="I26" s="16">
        <f t="shared" si="9"/>
        <v>0</v>
      </c>
      <c r="J26" s="58" t="e">
        <f t="shared" si="7"/>
        <v>#N/A</v>
      </c>
      <c r="K26" s="60" t="e">
        <f t="shared" si="10"/>
        <v>#N/A</v>
      </c>
      <c r="L26" s="60">
        <f t="shared" si="11"/>
        <v>0</v>
      </c>
      <c r="M26" s="17" t="e">
        <f t="shared" si="12"/>
        <v>#N/A</v>
      </c>
      <c r="N26" s="15" t="e">
        <f t="shared" si="13"/>
        <v>#N/A</v>
      </c>
      <c r="O26" s="15" t="e">
        <f t="shared" si="14"/>
        <v>#N/A</v>
      </c>
      <c r="Q26" s="8" t="e">
        <f>VLOOKUP(H26,'TOC Factors'!$F$6:$M$17,3,TRUE)</f>
        <v>#N/A</v>
      </c>
      <c r="R26" s="8">
        <f>IF(G26=1,Subsidy!$D$3,0)</f>
        <v>0</v>
      </c>
      <c r="S26" s="9" t="e">
        <f>VLOOKUP(H26,'TOC Factors'!$F$6:$M$17,4,TRUE)</f>
        <v>#N/A</v>
      </c>
      <c r="T26" s="10" t="e">
        <f>VLOOKUP(H26,'TOC Factors'!$F$6:$M$17,5,TRUE)</f>
        <v>#N/A</v>
      </c>
      <c r="U26" s="10" t="e">
        <f>VLOOKUP(H26,'TOC Factors'!$F$6:$M$17,6,TRUE)</f>
        <v>#N/A</v>
      </c>
      <c r="V26" s="11" t="e">
        <f>VLOOKUP(H26,'TOC Factors'!$F$6:$M$17,7,TRUE)</f>
        <v>#N/A</v>
      </c>
      <c r="W26" s="11" t="e">
        <f>VLOOKUP(H26,'TOC Factors'!$F$6:$M$17,8,TRUE)</f>
        <v>#N/A</v>
      </c>
    </row>
    <row r="27" spans="2:23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8"/>
        <v>00</v>
      </c>
      <c r="I27" s="16">
        <f t="shared" si="9"/>
        <v>0</v>
      </c>
      <c r="J27" s="58" t="e">
        <f t="shared" si="7"/>
        <v>#N/A</v>
      </c>
      <c r="K27" s="60" t="e">
        <f t="shared" si="10"/>
        <v>#N/A</v>
      </c>
      <c r="L27" s="60">
        <f t="shared" si="11"/>
        <v>0</v>
      </c>
      <c r="M27" s="17" t="e">
        <f t="shared" si="12"/>
        <v>#N/A</v>
      </c>
      <c r="N27" s="15" t="e">
        <f t="shared" si="13"/>
        <v>#N/A</v>
      </c>
      <c r="O27" s="15" t="e">
        <f t="shared" si="14"/>
        <v>#N/A</v>
      </c>
      <c r="Q27" s="8" t="e">
        <f>VLOOKUP(H27,'TOC Factors'!$F$6:$M$17,3,TRUE)</f>
        <v>#N/A</v>
      </c>
      <c r="R27" s="8">
        <f>IF(G27=1,Subsidy!$D$3,0)</f>
        <v>0</v>
      </c>
      <c r="S27" s="9" t="e">
        <f>VLOOKUP(H27,'TOC Factors'!$F$6:$M$17,4,TRUE)</f>
        <v>#N/A</v>
      </c>
      <c r="T27" s="10" t="e">
        <f>VLOOKUP(H27,'TOC Factors'!$F$6:$M$17,5,TRUE)</f>
        <v>#N/A</v>
      </c>
      <c r="U27" s="10" t="e">
        <f>VLOOKUP(H27,'TOC Factors'!$F$6:$M$17,6,TRUE)</f>
        <v>#N/A</v>
      </c>
      <c r="V27" s="11" t="e">
        <f>VLOOKUP(H27,'TOC Factors'!$F$6:$M$17,7,TRUE)</f>
        <v>#N/A</v>
      </c>
      <c r="W27" s="11" t="e">
        <f>VLOOKUP(H27,'TOC Factors'!$F$6:$M$17,8,TRUE)</f>
        <v>#N/A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60" t="e">
        <f t="shared" si="10"/>
        <v>#N/A</v>
      </c>
      <c r="L28" s="60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60" t="e">
        <f t="shared" si="10"/>
        <v>#N/A</v>
      </c>
      <c r="L29" s="60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60" t="e">
        <f t="shared" si="10"/>
        <v>#N/A</v>
      </c>
      <c r="L30" s="60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60" t="e">
        <f t="shared" si="10"/>
        <v>#N/A</v>
      </c>
      <c r="L31" s="60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60" t="e">
        <f t="shared" si="10"/>
        <v>#N/A</v>
      </c>
      <c r="L32" s="60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60" t="e">
        <f t="shared" si="10"/>
        <v>#N/A</v>
      </c>
      <c r="L33" s="60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60" t="e">
        <f t="shared" si="10"/>
        <v>#N/A</v>
      </c>
      <c r="L34" s="60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60" t="e">
        <f t="shared" si="10"/>
        <v>#N/A</v>
      </c>
      <c r="L35" s="60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60" t="e">
        <f t="shared" si="10"/>
        <v>#N/A</v>
      </c>
      <c r="L36" s="60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60" t="e">
        <f t="shared" si="10"/>
        <v>#N/A</v>
      </c>
      <c r="L37" s="60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60" t="e">
        <f t="shared" si="10"/>
        <v>#N/A</v>
      </c>
      <c r="L38" s="60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60" t="e">
        <f t="shared" si="10"/>
        <v>#N/A</v>
      </c>
      <c r="L39" s="60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60" t="e">
        <f t="shared" si="10"/>
        <v>#N/A</v>
      </c>
      <c r="L40" s="60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60" t="e">
        <f t="shared" si="10"/>
        <v>#N/A</v>
      </c>
      <c r="L41" s="60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60" t="e">
        <f t="shared" si="10"/>
        <v>#N/A</v>
      </c>
      <c r="L42" s="60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60" t="e">
        <f t="shared" si="10"/>
        <v>#N/A</v>
      </c>
      <c r="L43" s="60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60" t="e">
        <f t="shared" ref="K44:K107" si="18">Q44</f>
        <v>#N/A</v>
      </c>
      <c r="L44" s="60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60" t="e">
        <f t="shared" si="18"/>
        <v>#N/A</v>
      </c>
      <c r="L45" s="60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60" t="e">
        <f t="shared" si="18"/>
        <v>#N/A</v>
      </c>
      <c r="L46" s="60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60" t="e">
        <f t="shared" si="18"/>
        <v>#N/A</v>
      </c>
      <c r="L47" s="60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60" t="e">
        <f t="shared" si="18"/>
        <v>#N/A</v>
      </c>
      <c r="L48" s="60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60" t="e">
        <f t="shared" si="18"/>
        <v>#N/A</v>
      </c>
      <c r="L49" s="60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60" t="e">
        <f t="shared" si="18"/>
        <v>#N/A</v>
      </c>
      <c r="L50" s="60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60" t="e">
        <f t="shared" si="18"/>
        <v>#N/A</v>
      </c>
      <c r="L51" s="60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60" t="e">
        <f t="shared" si="18"/>
        <v>#N/A</v>
      </c>
      <c r="L52" s="60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60" t="e">
        <f t="shared" si="18"/>
        <v>#N/A</v>
      </c>
      <c r="L53" s="60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60" t="e">
        <f t="shared" si="18"/>
        <v>#N/A</v>
      </c>
      <c r="L54" s="60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60" t="e">
        <f t="shared" si="18"/>
        <v>#N/A</v>
      </c>
      <c r="L55" s="60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60" t="e">
        <f t="shared" si="18"/>
        <v>#N/A</v>
      </c>
      <c r="L56" s="60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60" t="e">
        <f t="shared" si="18"/>
        <v>#N/A</v>
      </c>
      <c r="L57" s="60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60" t="e">
        <f t="shared" si="18"/>
        <v>#N/A</v>
      </c>
      <c r="L58" s="60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60" t="e">
        <f t="shared" si="18"/>
        <v>#N/A</v>
      </c>
      <c r="L59" s="60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60" t="e">
        <f t="shared" si="18"/>
        <v>#N/A</v>
      </c>
      <c r="L60" s="60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60" t="e">
        <f t="shared" si="18"/>
        <v>#N/A</v>
      </c>
      <c r="L61" s="60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60" t="e">
        <f t="shared" si="18"/>
        <v>#N/A</v>
      </c>
      <c r="L62" s="60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60" t="e">
        <f t="shared" si="18"/>
        <v>#N/A</v>
      </c>
      <c r="L63" s="60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60" t="e">
        <f t="shared" si="18"/>
        <v>#N/A</v>
      </c>
      <c r="L64" s="60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60" t="e">
        <f t="shared" si="18"/>
        <v>#N/A</v>
      </c>
      <c r="L65" s="60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60" t="e">
        <f t="shared" si="18"/>
        <v>#N/A</v>
      </c>
      <c r="L66" s="60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60" t="e">
        <f t="shared" si="18"/>
        <v>#N/A</v>
      </c>
      <c r="L67" s="60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60" t="e">
        <f t="shared" si="18"/>
        <v>#N/A</v>
      </c>
      <c r="L68" s="60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60" t="e">
        <f t="shared" si="18"/>
        <v>#N/A</v>
      </c>
      <c r="L69" s="60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60" t="e">
        <f t="shared" si="18"/>
        <v>#N/A</v>
      </c>
      <c r="L70" s="60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60" t="e">
        <f t="shared" si="18"/>
        <v>#N/A</v>
      </c>
      <c r="L71" s="60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60" t="e">
        <f t="shared" si="18"/>
        <v>#N/A</v>
      </c>
      <c r="L72" s="60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60" t="e">
        <f t="shared" si="18"/>
        <v>#N/A</v>
      </c>
      <c r="L73" s="60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60" t="e">
        <f t="shared" si="18"/>
        <v>#N/A</v>
      </c>
      <c r="L74" s="60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60" t="e">
        <f t="shared" si="18"/>
        <v>#N/A</v>
      </c>
      <c r="L75" s="60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60" t="e">
        <f t="shared" si="18"/>
        <v>#N/A</v>
      </c>
      <c r="L76" s="60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60" t="e">
        <f t="shared" si="18"/>
        <v>#N/A</v>
      </c>
      <c r="L77" s="60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60" t="e">
        <f t="shared" si="18"/>
        <v>#N/A</v>
      </c>
      <c r="L78" s="60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60" t="e">
        <f t="shared" si="18"/>
        <v>#N/A</v>
      </c>
      <c r="L79" s="60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60" t="e">
        <f t="shared" si="18"/>
        <v>#N/A</v>
      </c>
      <c r="L80" s="60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60" t="e">
        <f t="shared" si="18"/>
        <v>#N/A</v>
      </c>
      <c r="L81" s="60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60" t="e">
        <f t="shared" si="18"/>
        <v>#N/A</v>
      </c>
      <c r="L82" s="60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60" t="e">
        <f t="shared" si="18"/>
        <v>#N/A</v>
      </c>
      <c r="L83" s="60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60" t="e">
        <f t="shared" si="18"/>
        <v>#N/A</v>
      </c>
      <c r="L84" s="60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60" t="e">
        <f t="shared" si="18"/>
        <v>#N/A</v>
      </c>
      <c r="L85" s="60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60" t="e">
        <f t="shared" si="18"/>
        <v>#N/A</v>
      </c>
      <c r="L86" s="60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60" t="e">
        <f t="shared" si="18"/>
        <v>#N/A</v>
      </c>
      <c r="L87" s="60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60" t="e">
        <f t="shared" si="18"/>
        <v>#N/A</v>
      </c>
      <c r="L88" s="60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60" t="e">
        <f t="shared" si="18"/>
        <v>#N/A</v>
      </c>
      <c r="L89" s="60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60" t="e">
        <f t="shared" si="18"/>
        <v>#N/A</v>
      </c>
      <c r="L90" s="60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60" t="e">
        <f t="shared" si="18"/>
        <v>#N/A</v>
      </c>
      <c r="L91" s="60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60" t="e">
        <f t="shared" si="18"/>
        <v>#N/A</v>
      </c>
      <c r="L92" s="60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60" t="e">
        <f t="shared" si="18"/>
        <v>#N/A</v>
      </c>
      <c r="L93" s="60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60" t="e">
        <f t="shared" si="18"/>
        <v>#N/A</v>
      </c>
      <c r="L94" s="60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60" t="e">
        <f t="shared" si="18"/>
        <v>#N/A</v>
      </c>
      <c r="L95" s="60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60" t="e">
        <f t="shared" si="18"/>
        <v>#N/A</v>
      </c>
      <c r="L96" s="60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60" t="e">
        <f t="shared" si="18"/>
        <v>#N/A</v>
      </c>
      <c r="L97" s="60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60" t="e">
        <f t="shared" si="18"/>
        <v>#N/A</v>
      </c>
      <c r="L98" s="60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60" t="e">
        <f t="shared" si="18"/>
        <v>#N/A</v>
      </c>
      <c r="L99" s="60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60" t="e">
        <f t="shared" si="18"/>
        <v>#N/A</v>
      </c>
      <c r="L100" s="60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60" t="e">
        <f t="shared" si="18"/>
        <v>#N/A</v>
      </c>
      <c r="L101" s="60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60" t="e">
        <f t="shared" si="18"/>
        <v>#N/A</v>
      </c>
      <c r="L102" s="60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60" t="e">
        <f t="shared" si="18"/>
        <v>#N/A</v>
      </c>
      <c r="L103" s="60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60" t="e">
        <f t="shared" si="18"/>
        <v>#N/A</v>
      </c>
      <c r="L104" s="60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60" t="e">
        <f t="shared" si="18"/>
        <v>#N/A</v>
      </c>
      <c r="L105" s="60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60" t="e">
        <f t="shared" si="18"/>
        <v>#N/A</v>
      </c>
      <c r="L106" s="60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60" t="e">
        <f t="shared" si="18"/>
        <v>#N/A</v>
      </c>
      <c r="L107" s="60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60" t="e">
        <f t="shared" ref="K108:K124" si="26">Q108</f>
        <v>#N/A</v>
      </c>
      <c r="L108" s="60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60" t="e">
        <f t="shared" si="26"/>
        <v>#N/A</v>
      </c>
      <c r="L109" s="60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60" t="e">
        <f t="shared" si="26"/>
        <v>#N/A</v>
      </c>
      <c r="L110" s="60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60" t="e">
        <f t="shared" si="26"/>
        <v>#N/A</v>
      </c>
      <c r="L111" s="60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60" t="e">
        <f t="shared" si="26"/>
        <v>#N/A</v>
      </c>
      <c r="L112" s="60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60" t="e">
        <f t="shared" si="26"/>
        <v>#N/A</v>
      </c>
      <c r="L113" s="60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60" t="e">
        <f t="shared" si="26"/>
        <v>#N/A</v>
      </c>
      <c r="L114" s="60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60" t="e">
        <f t="shared" si="26"/>
        <v>#N/A</v>
      </c>
      <c r="L115" s="60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60" t="e">
        <f t="shared" si="26"/>
        <v>#N/A</v>
      </c>
      <c r="L116" s="60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60" t="e">
        <f t="shared" si="26"/>
        <v>#N/A</v>
      </c>
      <c r="L117" s="60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60" t="e">
        <f t="shared" si="26"/>
        <v>#N/A</v>
      </c>
      <c r="L118" s="60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60" t="e">
        <f t="shared" si="26"/>
        <v>#N/A</v>
      </c>
      <c r="L119" s="60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60" t="e">
        <f t="shared" si="26"/>
        <v>#N/A</v>
      </c>
      <c r="L120" s="60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60" t="e">
        <f t="shared" si="26"/>
        <v>#N/A</v>
      </c>
      <c r="L121" s="60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60" t="e">
        <f t="shared" si="26"/>
        <v>#N/A</v>
      </c>
      <c r="L122" s="60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60" t="e">
        <f t="shared" si="26"/>
        <v>#N/A</v>
      </c>
      <c r="L123" s="60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60" t="e">
        <f t="shared" si="26"/>
        <v>#N/A</v>
      </c>
      <c r="L124" s="60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K28" sqref="K28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2" customWidth="1"/>
    <col min="16" max="16" width="11.4140625" style="69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4" t="s">
        <v>104</v>
      </c>
      <c r="K3" s="74" t="s">
        <v>101</v>
      </c>
      <c r="L3" s="74" t="s">
        <v>103</v>
      </c>
      <c r="M3" s="6"/>
      <c r="N3" s="7" t="s">
        <v>11</v>
      </c>
      <c r="O3" s="7" t="s">
        <v>100</v>
      </c>
      <c r="P3" s="70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2</v>
      </c>
      <c r="F4" s="56">
        <f>Input!F4</f>
        <v>5</v>
      </c>
      <c r="G4" s="56">
        <f>Input!G4</f>
        <v>0</v>
      </c>
      <c r="H4" s="14" t="str">
        <f>D4&amp;E4</f>
        <v>22</v>
      </c>
      <c r="I4" s="16">
        <f>F4*365*0.8</f>
        <v>1460</v>
      </c>
      <c r="J4" s="73">
        <f>K4-L4</f>
        <v>14.230817171536994</v>
      </c>
      <c r="K4" s="73">
        <f>I4/Q4*P4</f>
        <v>14.230817171536994</v>
      </c>
      <c r="L4" s="73">
        <f>O4</f>
        <v>0</v>
      </c>
      <c r="N4" s="8">
        <f>VLOOKUP(H4,'TOC Factors'!$F$6:$M$17,3,TRUE)</f>
        <v>13600</v>
      </c>
      <c r="O4" s="8">
        <f>IF(G4=1,Subsidy!$D$3,0)</f>
        <v>0</v>
      </c>
      <c r="P4" s="71">
        <f>IF(E4=1,Tax!$F$2,IF(E4=2,Tax!$F$3,"-"))</f>
        <v>0.28334921587437017</v>
      </c>
      <c r="Q4" s="9">
        <f>VLOOKUP(H4,'TOC Factors'!$F$6:$M$17,4,TRUE)</f>
        <v>29.07</v>
      </c>
      <c r="R4" s="10">
        <f>VLOOKUP(H4,'TOC Factors'!$F$6:$M$17,5,TRUE)</f>
        <v>6.4307634832635505E-2</v>
      </c>
      <c r="S4" s="10">
        <f>VLOOKUP(H4,'TOC Factors'!$F$6:$M$17,6,TRUE)</f>
        <v>6.2966492416526707</v>
      </c>
      <c r="T4" s="11">
        <f>VLOOKUP(H4,'TOC Factors'!$F$6:$M$17,7,TRUE)</f>
        <v>904</v>
      </c>
      <c r="U4" s="11">
        <f>VLOOKUP(H4,'TOC Factors'!$F$6:$M$17,8,TRUE)</f>
        <v>233</v>
      </c>
      <c r="W4" s="33">
        <f>VLOOKUP(H4,'Emssions Factors'!F6:M18,2,TRUE)</f>
        <v>4.795627032713937E-4</v>
      </c>
      <c r="X4" s="33">
        <f>VLOOKUP(H4,'Emssions Factors'!F6:M18,3,TRUE)</f>
        <v>0</v>
      </c>
      <c r="Y4" s="33">
        <f>VLOOKUP(H4,'Emssions Factors'!F6:M18,4,TRUE)</f>
        <v>0</v>
      </c>
      <c r="Z4" s="33">
        <f>VLOOKUP(H4,'Emssions Factors'!F6:M18,5,TRUE)</f>
        <v>8.1846614836135796E-5</v>
      </c>
      <c r="AA4" s="33">
        <f>VLOOKUP(H4,'Emssions Factors'!F6:M18,6,TRUE)</f>
        <v>9.9208017983194923E-6</v>
      </c>
      <c r="AB4" s="33">
        <f>VLOOKUP(H4,'Emssions Factors'!F6:M18,7,TRUE)</f>
        <v>0</v>
      </c>
      <c r="AC4" s="33">
        <f>VLOOKUP(H4,'Emssions Factors'!F6:M18,8,TRUE)</f>
        <v>0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2</v>
      </c>
      <c r="F5" s="56">
        <f>Input!F5</f>
        <v>10</v>
      </c>
      <c r="G5" s="56">
        <f>Input!G5</f>
        <v>0</v>
      </c>
      <c r="H5" s="14" t="str">
        <f>D5&amp;E5</f>
        <v>22</v>
      </c>
      <c r="I5" s="16">
        <f>F5*365*0.8</f>
        <v>2920</v>
      </c>
      <c r="J5" s="73">
        <f t="shared" ref="J5:J68" si="0">K5-L5</f>
        <v>28.461634343073989</v>
      </c>
      <c r="K5" s="73">
        <f>I5/Q5*P5</f>
        <v>28.461634343073989</v>
      </c>
      <c r="L5" s="73">
        <f>O5*-1</f>
        <v>0</v>
      </c>
      <c r="N5" s="8">
        <f>VLOOKUP(H5,'TOC Factors'!$F$6:$M$17,3,TRUE)</f>
        <v>13600</v>
      </c>
      <c r="O5" s="8">
        <f>IF(G5=1,Subsidy!$D$3,0)</f>
        <v>0</v>
      </c>
      <c r="P5" s="71">
        <f>IF(E5=1,Tax!$F$2,IF(E5=2,Tax!$F$3,"-"))</f>
        <v>0.28334921587437017</v>
      </c>
      <c r="Q5" s="9">
        <f>VLOOKUP(H5,'TOC Factors'!$F$6:$M$17,4,TRUE)</f>
        <v>29.07</v>
      </c>
      <c r="R5" s="10">
        <f>VLOOKUP(H5,'TOC Factors'!$F$6:$M$17,5,TRUE)</f>
        <v>6.4307634832635505E-2</v>
      </c>
      <c r="S5" s="10">
        <f>VLOOKUP(H5,'TOC Factors'!$F$6:$M$17,6,TRUE)</f>
        <v>6.2966492416526707</v>
      </c>
      <c r="T5" s="11">
        <f>VLOOKUP(H5,'TOC Factors'!$F$6:$M$17,7,TRUE)</f>
        <v>904</v>
      </c>
      <c r="U5" s="11">
        <f>VLOOKUP(H5,'TOC Factors'!$F$6:$M$17,8,TRUE)</f>
        <v>233</v>
      </c>
      <c r="W5" s="33">
        <f>VLOOKUP(H5,'Emssions Factors'!F7:M23,2,TRUE)</f>
        <v>4.795627032713937E-4</v>
      </c>
      <c r="X5" s="33">
        <f>VLOOKUP(H5,'Emssions Factors'!F7:M23,3,TRUE)</f>
        <v>0</v>
      </c>
      <c r="Y5" s="33">
        <f>VLOOKUP(H5,'Emssions Factors'!F7:M23,4,TRUE)</f>
        <v>0</v>
      </c>
      <c r="Z5" s="33">
        <f>VLOOKUP(H5,'Emssions Factors'!F7:M23,5,TRUE)</f>
        <v>8.1846614836135796E-5</v>
      </c>
      <c r="AA5" s="33">
        <f>VLOOKUP(H5,'Emssions Factors'!F7:M23,6,TRUE)</f>
        <v>9.9208017983194923E-6</v>
      </c>
      <c r="AB5" s="33">
        <f>VLOOKUP(H5,'Emssions Factors'!F7:M23,7,TRUE)</f>
        <v>0</v>
      </c>
      <c r="AC5" s="33">
        <f>VLOOKUP(H5,'Emssions Factors'!F7:M23,8,TRUE)</f>
        <v>0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2</v>
      </c>
      <c r="F6" s="56">
        <f>Input!F6</f>
        <v>15</v>
      </c>
      <c r="G6" s="56">
        <f>Input!G6</f>
        <v>0</v>
      </c>
      <c r="H6" s="14" t="str">
        <f>D6&amp;E6</f>
        <v>22</v>
      </c>
      <c r="I6" s="16">
        <f>F6*365*0.8</f>
        <v>4380</v>
      </c>
      <c r="J6" s="73">
        <f t="shared" si="0"/>
        <v>42.692451514610987</v>
      </c>
      <c r="K6" s="73">
        <f>I6/Q6*P6</f>
        <v>42.692451514610987</v>
      </c>
      <c r="L6" s="73">
        <f>O6</f>
        <v>0</v>
      </c>
      <c r="N6" s="8">
        <f>VLOOKUP(H6,'TOC Factors'!$F$6:$M$17,3,TRUE)</f>
        <v>13600</v>
      </c>
      <c r="O6" s="8">
        <f>IF(G6=1,Subsidy!$D$3,0)</f>
        <v>0</v>
      </c>
      <c r="P6" s="71">
        <f>IF(E6=1,Tax!$F$2,IF(E6=2,Tax!$F$3,"-"))</f>
        <v>0.28334921587437017</v>
      </c>
      <c r="Q6" s="9">
        <f>VLOOKUP(H6,'TOC Factors'!$F$6:$M$17,4,TRUE)</f>
        <v>29.07</v>
      </c>
      <c r="R6" s="10">
        <f>VLOOKUP(H6,'TOC Factors'!$F$6:$M$17,5,TRUE)</f>
        <v>6.4307634832635505E-2</v>
      </c>
      <c r="S6" s="10">
        <f>VLOOKUP(H6,'TOC Factors'!$F$6:$M$17,6,TRUE)</f>
        <v>6.2966492416526707</v>
      </c>
      <c r="T6" s="11">
        <f>VLOOKUP(H6,'TOC Factors'!$F$6:$M$17,7,TRUE)</f>
        <v>904</v>
      </c>
      <c r="U6" s="11">
        <f>VLOOKUP(H6,'TOC Factors'!$F$6:$M$17,8,TRUE)</f>
        <v>233</v>
      </c>
      <c r="W6" s="33">
        <f>VLOOKUP(H6,'Emssions Factors'!F8:M24,2,TRUE)</f>
        <v>4.795627032713937E-4</v>
      </c>
      <c r="X6" s="33">
        <f>VLOOKUP(H6,'Emssions Factors'!F8:M24,3,TRUE)</f>
        <v>0</v>
      </c>
      <c r="Y6" s="33">
        <f>VLOOKUP(H6,'Emssions Factors'!F8:M24,4,TRUE)</f>
        <v>0</v>
      </c>
      <c r="Z6" s="33">
        <f>VLOOKUP(H6,'Emssions Factors'!F8:M24,5,TRUE)</f>
        <v>8.1846614836135796E-5</v>
      </c>
      <c r="AA6" s="33">
        <f>VLOOKUP(H6,'Emssions Factors'!F8:M24,6,TRUE)</f>
        <v>9.9208017983194923E-6</v>
      </c>
      <c r="AB6" s="33">
        <f>VLOOKUP(H6,'Emssions Factors'!F8:M24,7,TRUE)</f>
        <v>0</v>
      </c>
      <c r="AC6" s="33">
        <f>VLOOKUP(H6,'Emssions Factors'!F8:M24,8,TRUE)</f>
        <v>0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2</v>
      </c>
      <c r="F7" s="56">
        <f>Input!F7</f>
        <v>20</v>
      </c>
      <c r="G7" s="56">
        <f>Input!G7</f>
        <v>0</v>
      </c>
      <c r="H7" s="14" t="str">
        <f t="shared" ref="H7:H70" si="1">D7&amp;E7</f>
        <v>22</v>
      </c>
      <c r="I7" s="16">
        <f t="shared" ref="I7:I70" si="2">F7*365*0.8</f>
        <v>5840</v>
      </c>
      <c r="J7" s="73">
        <f t="shared" si="0"/>
        <v>56.923268686147978</v>
      </c>
      <c r="K7" s="73">
        <f t="shared" ref="K7:K70" si="3">I7/Q7*P7</f>
        <v>56.923268686147978</v>
      </c>
      <c r="L7" s="73">
        <f t="shared" ref="L7:L70" si="4">O7</f>
        <v>0</v>
      </c>
      <c r="N7" s="8">
        <f>VLOOKUP(H7,'TOC Factors'!$F$6:$M$17,3,TRUE)</f>
        <v>13600</v>
      </c>
      <c r="O7" s="8">
        <f>IF(G7=1,Subsidy!$D$3,0)</f>
        <v>0</v>
      </c>
      <c r="P7" s="71">
        <f>IF(E7=1,Tax!$F$2,IF(E7=2,Tax!$F$3,"-"))</f>
        <v>0.28334921587437017</v>
      </c>
      <c r="Q7" s="9">
        <f>VLOOKUP(H7,'TOC Factors'!$F$6:$M$17,4,TRUE)</f>
        <v>29.07</v>
      </c>
      <c r="R7" s="10">
        <f>VLOOKUP(H7,'TOC Factors'!$F$6:$M$17,5,TRUE)</f>
        <v>6.4307634832635505E-2</v>
      </c>
      <c r="S7" s="10">
        <f>VLOOKUP(H7,'TOC Factors'!$F$6:$M$17,6,TRUE)</f>
        <v>6.2966492416526707</v>
      </c>
      <c r="T7" s="11">
        <f>VLOOKUP(H7,'TOC Factors'!$F$6:$M$17,7,TRUE)</f>
        <v>904</v>
      </c>
      <c r="U7" s="11">
        <f>VLOOKUP(H7,'TOC Factors'!$F$6:$M$17,8,TRUE)</f>
        <v>233</v>
      </c>
    </row>
    <row r="8" spans="2:29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2</v>
      </c>
      <c r="F8" s="56">
        <f>Input!F8</f>
        <v>25</v>
      </c>
      <c r="G8" s="56">
        <f>Input!G8</f>
        <v>0</v>
      </c>
      <c r="H8" s="14" t="str">
        <f t="shared" si="1"/>
        <v>22</v>
      </c>
      <c r="I8" s="16">
        <f t="shared" si="2"/>
        <v>7300</v>
      </c>
      <c r="J8" s="73">
        <f t="shared" si="0"/>
        <v>71.154085857684976</v>
      </c>
      <c r="K8" s="73">
        <f t="shared" si="3"/>
        <v>71.154085857684976</v>
      </c>
      <c r="L8" s="73">
        <f t="shared" si="4"/>
        <v>0</v>
      </c>
      <c r="N8" s="8">
        <f>VLOOKUP(H8,'TOC Factors'!$F$6:$M$17,3,TRUE)</f>
        <v>13600</v>
      </c>
      <c r="O8" s="8">
        <f>IF(G8=1,Subsidy!$D$3,0)</f>
        <v>0</v>
      </c>
      <c r="P8" s="71">
        <f>IF(E8=1,Tax!$F$2,IF(E8=2,Tax!$F$3,"-"))</f>
        <v>0.28334921587437017</v>
      </c>
      <c r="Q8" s="9">
        <f>VLOOKUP(H8,'TOC Factors'!$F$6:$M$17,4,TRUE)</f>
        <v>29.07</v>
      </c>
      <c r="R8" s="10">
        <f>VLOOKUP(H8,'TOC Factors'!$F$6:$M$17,5,TRUE)</f>
        <v>6.4307634832635505E-2</v>
      </c>
      <c r="S8" s="10">
        <f>VLOOKUP(H8,'TOC Factors'!$F$6:$M$17,6,TRUE)</f>
        <v>6.2966492416526707</v>
      </c>
      <c r="T8" s="11">
        <f>VLOOKUP(H8,'TOC Factors'!$F$6:$M$17,7,TRUE)</f>
        <v>904</v>
      </c>
      <c r="U8" s="11">
        <f>VLOOKUP(H8,'TOC Factors'!$F$6:$M$17,8,TRUE)</f>
        <v>233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2</v>
      </c>
      <c r="F9" s="56">
        <f>Input!F9</f>
        <v>30</v>
      </c>
      <c r="G9" s="56">
        <f>Input!G9</f>
        <v>0</v>
      </c>
      <c r="H9" s="14" t="str">
        <f t="shared" si="1"/>
        <v>22</v>
      </c>
      <c r="I9" s="16">
        <f t="shared" si="2"/>
        <v>8760</v>
      </c>
      <c r="J9" s="73">
        <f t="shared" si="0"/>
        <v>85.384903029221974</v>
      </c>
      <c r="K9" s="73">
        <f t="shared" si="3"/>
        <v>85.384903029221974</v>
      </c>
      <c r="L9" s="73">
        <f t="shared" si="4"/>
        <v>0</v>
      </c>
      <c r="N9" s="8">
        <f>VLOOKUP(H9,'TOC Factors'!$F$6:$M$17,3,TRUE)</f>
        <v>13600</v>
      </c>
      <c r="O9" s="8">
        <f>IF(G9=1,Subsidy!$D$3,0)</f>
        <v>0</v>
      </c>
      <c r="P9" s="71">
        <f>IF(E9=1,Tax!$F$2,IF(E9=2,Tax!$F$3,"-"))</f>
        <v>0.28334921587437017</v>
      </c>
      <c r="Q9" s="9">
        <f>VLOOKUP(H9,'TOC Factors'!$F$6:$M$17,4,TRUE)</f>
        <v>29.07</v>
      </c>
      <c r="R9" s="10">
        <f>VLOOKUP(H9,'TOC Factors'!$F$6:$M$17,5,TRUE)</f>
        <v>6.4307634832635505E-2</v>
      </c>
      <c r="S9" s="10">
        <f>VLOOKUP(H9,'TOC Factors'!$F$6:$M$17,6,TRUE)</f>
        <v>6.2966492416526707</v>
      </c>
      <c r="T9" s="11">
        <f>VLOOKUP(H9,'TOC Factors'!$F$6:$M$17,7,TRUE)</f>
        <v>904</v>
      </c>
      <c r="U9" s="11">
        <f>VLOOKUP(H9,'TOC Factors'!$F$6:$M$17,8,TRUE)</f>
        <v>233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2</v>
      </c>
      <c r="F10" s="56">
        <f>Input!F10</f>
        <v>35</v>
      </c>
      <c r="G10" s="56">
        <f>Input!G10</f>
        <v>0</v>
      </c>
      <c r="H10" s="14" t="str">
        <f t="shared" si="1"/>
        <v>22</v>
      </c>
      <c r="I10" s="16">
        <f t="shared" si="2"/>
        <v>10220</v>
      </c>
      <c r="J10" s="73">
        <f t="shared" si="0"/>
        <v>99.615720200758958</v>
      </c>
      <c r="K10" s="73">
        <f t="shared" si="3"/>
        <v>99.615720200758958</v>
      </c>
      <c r="L10" s="73">
        <f t="shared" si="4"/>
        <v>0</v>
      </c>
      <c r="N10" s="8">
        <f>VLOOKUP(H10,'TOC Factors'!$F$6:$M$17,3,TRUE)</f>
        <v>13600</v>
      </c>
      <c r="O10" s="8">
        <f>IF(G10=1,Subsidy!$D$3,0)</f>
        <v>0</v>
      </c>
      <c r="P10" s="71">
        <f>IF(E10=1,Tax!$F$2,IF(E10=2,Tax!$F$3,"-"))</f>
        <v>0.28334921587437017</v>
      </c>
      <c r="Q10" s="9">
        <f>VLOOKUP(H10,'TOC Factors'!$F$6:$M$17,4,TRUE)</f>
        <v>29.07</v>
      </c>
      <c r="R10" s="10">
        <f>VLOOKUP(H10,'TOC Factors'!$F$6:$M$17,5,TRUE)</f>
        <v>6.4307634832635505E-2</v>
      </c>
      <c r="S10" s="10">
        <f>VLOOKUP(H10,'TOC Factors'!$F$6:$M$17,6,TRUE)</f>
        <v>6.2966492416526707</v>
      </c>
      <c r="T10" s="11">
        <f>VLOOKUP(H10,'TOC Factors'!$F$6:$M$17,7,TRUE)</f>
        <v>904</v>
      </c>
      <c r="U10" s="11">
        <f>VLOOKUP(H10,'TOC Factors'!$F$6:$M$17,8,TRUE)</f>
        <v>233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2</v>
      </c>
      <c r="F11" s="56">
        <f>Input!F11</f>
        <v>40</v>
      </c>
      <c r="G11" s="56">
        <f>Input!G11</f>
        <v>0</v>
      </c>
      <c r="H11" s="14" t="str">
        <f t="shared" si="1"/>
        <v>22</v>
      </c>
      <c r="I11" s="16">
        <f t="shared" si="2"/>
        <v>11680</v>
      </c>
      <c r="J11" s="73">
        <f t="shared" si="0"/>
        <v>113.84653737229596</v>
      </c>
      <c r="K11" s="73">
        <f t="shared" si="3"/>
        <v>113.84653737229596</v>
      </c>
      <c r="L11" s="73">
        <f t="shared" si="4"/>
        <v>0</v>
      </c>
      <c r="N11" s="8">
        <f>VLOOKUP(H11,'TOC Factors'!$F$6:$M$17,3,TRUE)</f>
        <v>13600</v>
      </c>
      <c r="O11" s="8">
        <f>IF(G11=1,Subsidy!$D$3,0)</f>
        <v>0</v>
      </c>
      <c r="P11" s="71">
        <f>IF(E11=1,Tax!$F$2,IF(E11=2,Tax!$F$3,"-"))</f>
        <v>0.28334921587437017</v>
      </c>
      <c r="Q11" s="9">
        <f>VLOOKUP(H11,'TOC Factors'!$F$6:$M$17,4,TRUE)</f>
        <v>29.07</v>
      </c>
      <c r="R11" s="10">
        <f>VLOOKUP(H11,'TOC Factors'!$F$6:$M$17,5,TRUE)</f>
        <v>6.4307634832635505E-2</v>
      </c>
      <c r="S11" s="10">
        <f>VLOOKUP(H11,'TOC Factors'!$F$6:$M$17,6,TRUE)</f>
        <v>6.2966492416526707</v>
      </c>
      <c r="T11" s="11">
        <f>VLOOKUP(H11,'TOC Factors'!$F$6:$M$17,7,TRUE)</f>
        <v>904</v>
      </c>
      <c r="U11" s="11">
        <f>VLOOKUP(H11,'TOC Factors'!$F$6:$M$17,8,TRUE)</f>
        <v>233</v>
      </c>
    </row>
    <row r="12" spans="2:29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2</v>
      </c>
      <c r="F12" s="56">
        <f>Input!F12</f>
        <v>45</v>
      </c>
      <c r="G12" s="56">
        <f>Input!G12</f>
        <v>0</v>
      </c>
      <c r="H12" s="14" t="str">
        <f t="shared" si="1"/>
        <v>22</v>
      </c>
      <c r="I12" s="16">
        <f t="shared" si="2"/>
        <v>13140</v>
      </c>
      <c r="J12" s="73">
        <f t="shared" si="0"/>
        <v>128.07735454383297</v>
      </c>
      <c r="K12" s="73">
        <f t="shared" si="3"/>
        <v>128.07735454383297</v>
      </c>
      <c r="L12" s="73">
        <f t="shared" si="4"/>
        <v>0</v>
      </c>
      <c r="N12" s="8">
        <f>VLOOKUP(H12,'TOC Factors'!$F$6:$M$17,3,TRUE)</f>
        <v>13600</v>
      </c>
      <c r="O12" s="8">
        <f>IF(G12=1,Subsidy!$D$3,0)</f>
        <v>0</v>
      </c>
      <c r="P12" s="71">
        <f>IF(E12=1,Tax!$F$2,IF(E12=2,Tax!$F$3,"-"))</f>
        <v>0.28334921587437017</v>
      </c>
      <c r="Q12" s="9">
        <f>VLOOKUP(H12,'TOC Factors'!$F$6:$M$17,4,TRUE)</f>
        <v>29.07</v>
      </c>
      <c r="R12" s="10">
        <f>VLOOKUP(H12,'TOC Factors'!$F$6:$M$17,5,TRUE)</f>
        <v>6.4307634832635505E-2</v>
      </c>
      <c r="S12" s="10">
        <f>VLOOKUP(H12,'TOC Factors'!$F$6:$M$17,6,TRUE)</f>
        <v>6.2966492416526707</v>
      </c>
      <c r="T12" s="11">
        <f>VLOOKUP(H12,'TOC Factors'!$F$6:$M$17,7,TRUE)</f>
        <v>904</v>
      </c>
      <c r="U12" s="11">
        <f>VLOOKUP(H12,'TOC Factors'!$F$6:$M$17,8,TRUE)</f>
        <v>233</v>
      </c>
    </row>
    <row r="13" spans="2:29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2</v>
      </c>
      <c r="F13" s="56">
        <f>Input!F13</f>
        <v>50</v>
      </c>
      <c r="G13" s="56">
        <f>Input!G13</f>
        <v>0</v>
      </c>
      <c r="H13" s="14" t="str">
        <f t="shared" si="1"/>
        <v>22</v>
      </c>
      <c r="I13" s="16">
        <f t="shared" si="2"/>
        <v>14600</v>
      </c>
      <c r="J13" s="73">
        <f t="shared" si="0"/>
        <v>142.30817171536995</v>
      </c>
      <c r="K13" s="73">
        <f t="shared" si="3"/>
        <v>142.30817171536995</v>
      </c>
      <c r="L13" s="73">
        <f t="shared" si="4"/>
        <v>0</v>
      </c>
      <c r="N13" s="8">
        <f>VLOOKUP(H13,'TOC Factors'!$F$6:$M$17,3,TRUE)</f>
        <v>13600</v>
      </c>
      <c r="O13" s="8">
        <f>IF(G13=1,Subsidy!$D$3,0)</f>
        <v>0</v>
      </c>
      <c r="P13" s="71">
        <f>IF(E13=1,Tax!$F$2,IF(E13=2,Tax!$F$3,"-"))</f>
        <v>0.28334921587437017</v>
      </c>
      <c r="Q13" s="9">
        <f>VLOOKUP(H13,'TOC Factors'!$F$6:$M$17,4,TRUE)</f>
        <v>29.07</v>
      </c>
      <c r="R13" s="10">
        <f>VLOOKUP(H13,'TOC Factors'!$F$6:$M$17,5,TRUE)</f>
        <v>6.4307634832635505E-2</v>
      </c>
      <c r="S13" s="10">
        <f>VLOOKUP(H13,'TOC Factors'!$F$6:$M$17,6,TRUE)</f>
        <v>6.2966492416526707</v>
      </c>
      <c r="T13" s="11">
        <f>VLOOKUP(H13,'TOC Factors'!$F$6:$M$17,7,TRUE)</f>
        <v>904</v>
      </c>
      <c r="U13" s="11">
        <f>VLOOKUP(H13,'TOC Factors'!$F$6:$M$17,8,TRUE)</f>
        <v>233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2</v>
      </c>
      <c r="F14" s="56">
        <f>Input!F14</f>
        <v>55</v>
      </c>
      <c r="G14" s="56">
        <f>Input!G14</f>
        <v>0</v>
      </c>
      <c r="H14" s="14" t="str">
        <f t="shared" si="1"/>
        <v>22</v>
      </c>
      <c r="I14" s="16">
        <f t="shared" si="2"/>
        <v>16060</v>
      </c>
      <c r="J14" s="73">
        <f t="shared" si="0"/>
        <v>156.53898888690694</v>
      </c>
      <c r="K14" s="73">
        <f t="shared" si="3"/>
        <v>156.53898888690694</v>
      </c>
      <c r="L14" s="73">
        <f t="shared" si="4"/>
        <v>0</v>
      </c>
      <c r="N14" s="8">
        <f>VLOOKUP(H14,'TOC Factors'!$F$6:$M$17,3,TRUE)</f>
        <v>13600</v>
      </c>
      <c r="O14" s="8">
        <f>IF(G14=1,Subsidy!$D$3,0)</f>
        <v>0</v>
      </c>
      <c r="P14" s="71">
        <f>IF(E14=1,Tax!$F$2,IF(E14=2,Tax!$F$3,"-"))</f>
        <v>0.28334921587437017</v>
      </c>
      <c r="Q14" s="9">
        <f>VLOOKUP(H14,'TOC Factors'!$F$6:$M$17,4,TRUE)</f>
        <v>29.07</v>
      </c>
      <c r="R14" s="10">
        <f>VLOOKUP(H14,'TOC Factors'!$F$6:$M$17,5,TRUE)</f>
        <v>6.4307634832635505E-2</v>
      </c>
      <c r="S14" s="10">
        <f>VLOOKUP(H14,'TOC Factors'!$F$6:$M$17,6,TRUE)</f>
        <v>6.2966492416526707</v>
      </c>
      <c r="T14" s="11">
        <f>VLOOKUP(H14,'TOC Factors'!$F$6:$M$17,7,TRUE)</f>
        <v>904</v>
      </c>
      <c r="U14" s="11">
        <f>VLOOKUP(H14,'TOC Factors'!$F$6:$M$17,8,TRUE)</f>
        <v>233</v>
      </c>
    </row>
    <row r="15" spans="2:29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2</v>
      </c>
      <c r="F15" s="56">
        <f>Input!F15</f>
        <v>60</v>
      </c>
      <c r="G15" s="56">
        <f>Input!G15</f>
        <v>0</v>
      </c>
      <c r="H15" s="14" t="str">
        <f t="shared" si="1"/>
        <v>22</v>
      </c>
      <c r="I15" s="16">
        <f t="shared" si="2"/>
        <v>17520</v>
      </c>
      <c r="J15" s="73">
        <f t="shared" si="0"/>
        <v>170.76980605844395</v>
      </c>
      <c r="K15" s="73">
        <f t="shared" si="3"/>
        <v>170.76980605844395</v>
      </c>
      <c r="L15" s="73">
        <f t="shared" si="4"/>
        <v>0</v>
      </c>
      <c r="N15" s="8">
        <f>VLOOKUP(H15,'TOC Factors'!$F$6:$M$17,3,TRUE)</f>
        <v>13600</v>
      </c>
      <c r="O15" s="8">
        <f>IF(G15=1,Subsidy!$D$3,0)</f>
        <v>0</v>
      </c>
      <c r="P15" s="71">
        <f>IF(E15=1,Tax!$F$2,IF(E15=2,Tax!$F$3,"-"))</f>
        <v>0.28334921587437017</v>
      </c>
      <c r="Q15" s="9">
        <f>VLOOKUP(H15,'TOC Factors'!$F$6:$M$17,4,TRUE)</f>
        <v>29.07</v>
      </c>
      <c r="R15" s="10">
        <f>VLOOKUP(H15,'TOC Factors'!$F$6:$M$17,5,TRUE)</f>
        <v>6.4307634832635505E-2</v>
      </c>
      <c r="S15" s="10">
        <f>VLOOKUP(H15,'TOC Factors'!$F$6:$M$17,6,TRUE)</f>
        <v>6.2966492416526707</v>
      </c>
      <c r="T15" s="11">
        <f>VLOOKUP(H15,'TOC Factors'!$F$6:$M$17,7,TRUE)</f>
        <v>904</v>
      </c>
      <c r="U15" s="11">
        <f>VLOOKUP(H15,'TOC Factors'!$F$6:$M$17,8,TRUE)</f>
        <v>233</v>
      </c>
    </row>
    <row r="16" spans="2:29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2</v>
      </c>
      <c r="F16" s="56">
        <f>Input!F16</f>
        <v>65</v>
      </c>
      <c r="G16" s="56">
        <f>Input!G16</f>
        <v>0</v>
      </c>
      <c r="H16" s="14" t="str">
        <f t="shared" si="1"/>
        <v>22</v>
      </c>
      <c r="I16" s="16">
        <f t="shared" si="2"/>
        <v>18980</v>
      </c>
      <c r="J16" s="73">
        <f t="shared" si="0"/>
        <v>185.00062322998093</v>
      </c>
      <c r="K16" s="73">
        <f t="shared" si="3"/>
        <v>185.00062322998093</v>
      </c>
      <c r="L16" s="73">
        <f t="shared" si="4"/>
        <v>0</v>
      </c>
      <c r="N16" s="8">
        <f>VLOOKUP(H16,'TOC Factors'!$F$6:$M$17,3,TRUE)</f>
        <v>13600</v>
      </c>
      <c r="O16" s="8">
        <f>IF(G16=1,Subsidy!$D$3,0)</f>
        <v>0</v>
      </c>
      <c r="P16" s="71">
        <f>IF(E16=1,Tax!$F$2,IF(E16=2,Tax!$F$3,"-"))</f>
        <v>0.28334921587437017</v>
      </c>
      <c r="Q16" s="9">
        <f>VLOOKUP(H16,'TOC Factors'!$F$6:$M$17,4,TRUE)</f>
        <v>29.07</v>
      </c>
      <c r="R16" s="10">
        <f>VLOOKUP(H16,'TOC Factors'!$F$6:$M$17,5,TRUE)</f>
        <v>6.4307634832635505E-2</v>
      </c>
      <c r="S16" s="10">
        <f>VLOOKUP(H16,'TOC Factors'!$F$6:$M$17,6,TRUE)</f>
        <v>6.2966492416526707</v>
      </c>
      <c r="T16" s="11">
        <f>VLOOKUP(H16,'TOC Factors'!$F$6:$M$17,7,TRUE)</f>
        <v>904</v>
      </c>
      <c r="U16" s="11">
        <f>VLOOKUP(H16,'TOC Factors'!$F$6:$M$17,8,TRUE)</f>
        <v>233</v>
      </c>
    </row>
    <row r="17" spans="2:2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2</v>
      </c>
      <c r="F17" s="56">
        <f>Input!F17</f>
        <v>70</v>
      </c>
      <c r="G17" s="56">
        <f>Input!G17</f>
        <v>0</v>
      </c>
      <c r="H17" s="14" t="str">
        <f t="shared" si="1"/>
        <v>22</v>
      </c>
      <c r="I17" s="16">
        <f t="shared" si="2"/>
        <v>20440</v>
      </c>
      <c r="J17" s="73">
        <f t="shared" si="0"/>
        <v>199.23144040151792</v>
      </c>
      <c r="K17" s="73">
        <f t="shared" si="3"/>
        <v>199.23144040151792</v>
      </c>
      <c r="L17" s="73">
        <f t="shared" si="4"/>
        <v>0</v>
      </c>
      <c r="N17" s="8">
        <f>VLOOKUP(H17,'TOC Factors'!$F$6:$M$17,3,TRUE)</f>
        <v>13600</v>
      </c>
      <c r="O17" s="8">
        <f>IF(G17=1,Subsidy!$D$3,0)</f>
        <v>0</v>
      </c>
      <c r="P17" s="71">
        <f>IF(E17=1,Tax!$F$2,IF(E17=2,Tax!$F$3,"-"))</f>
        <v>0.28334921587437017</v>
      </c>
      <c r="Q17" s="9">
        <f>VLOOKUP(H17,'TOC Factors'!$F$6:$M$17,4,TRUE)</f>
        <v>29.07</v>
      </c>
      <c r="R17" s="10">
        <f>VLOOKUP(H17,'TOC Factors'!$F$6:$M$17,5,TRUE)</f>
        <v>6.4307634832635505E-2</v>
      </c>
      <c r="S17" s="10">
        <f>VLOOKUP(H17,'TOC Factors'!$F$6:$M$17,6,TRUE)</f>
        <v>6.2966492416526707</v>
      </c>
      <c r="T17" s="11">
        <f>VLOOKUP(H17,'TOC Factors'!$F$6:$M$17,7,TRUE)</f>
        <v>904</v>
      </c>
      <c r="U17" s="11">
        <f>VLOOKUP(H17,'TOC Factors'!$F$6:$M$17,8,TRUE)</f>
        <v>233</v>
      </c>
    </row>
    <row r="18" spans="2:2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2</v>
      </c>
      <c r="F18" s="56">
        <f>Input!F18</f>
        <v>75</v>
      </c>
      <c r="G18" s="56">
        <f>Input!G18</f>
        <v>0</v>
      </c>
      <c r="H18" s="14" t="str">
        <f t="shared" si="1"/>
        <v>22</v>
      </c>
      <c r="I18" s="16">
        <f t="shared" si="2"/>
        <v>21900</v>
      </c>
      <c r="J18" s="73">
        <f t="shared" si="0"/>
        <v>213.46225757305493</v>
      </c>
      <c r="K18" s="73">
        <f t="shared" si="3"/>
        <v>213.46225757305493</v>
      </c>
      <c r="L18" s="73">
        <f t="shared" si="4"/>
        <v>0</v>
      </c>
      <c r="N18" s="8">
        <f>VLOOKUP(H18,'TOC Factors'!$F$6:$M$17,3,TRUE)</f>
        <v>13600</v>
      </c>
      <c r="O18" s="8">
        <f>IF(G18=1,Subsidy!$D$3,0)</f>
        <v>0</v>
      </c>
      <c r="P18" s="71">
        <f>IF(E18=1,Tax!$F$2,IF(E18=2,Tax!$F$3,"-"))</f>
        <v>0.28334921587437017</v>
      </c>
      <c r="Q18" s="9">
        <f>VLOOKUP(H18,'TOC Factors'!$F$6:$M$17,4,TRUE)</f>
        <v>29.07</v>
      </c>
      <c r="R18" s="10">
        <f>VLOOKUP(H18,'TOC Factors'!$F$6:$M$17,5,TRUE)</f>
        <v>6.4307634832635505E-2</v>
      </c>
      <c r="S18" s="10">
        <f>VLOOKUP(H18,'TOC Factors'!$F$6:$M$17,6,TRUE)</f>
        <v>6.2966492416526707</v>
      </c>
      <c r="T18" s="11">
        <f>VLOOKUP(H18,'TOC Factors'!$F$6:$M$17,7,TRUE)</f>
        <v>904</v>
      </c>
      <c r="U18" s="11">
        <f>VLOOKUP(H18,'TOC Factors'!$F$6:$M$17,8,TRUE)</f>
        <v>233</v>
      </c>
    </row>
    <row r="19" spans="2:2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80</v>
      </c>
      <c r="G19" s="56">
        <f>Input!G19</f>
        <v>0</v>
      </c>
      <c r="H19" s="14" t="str">
        <f t="shared" si="1"/>
        <v>22</v>
      </c>
      <c r="I19" s="16">
        <f t="shared" si="2"/>
        <v>23360</v>
      </c>
      <c r="J19" s="73">
        <f t="shared" si="0"/>
        <v>227.69307474459191</v>
      </c>
      <c r="K19" s="73">
        <f t="shared" si="3"/>
        <v>227.69307474459191</v>
      </c>
      <c r="L19" s="73">
        <f t="shared" si="4"/>
        <v>0</v>
      </c>
      <c r="N19" s="8">
        <f>VLOOKUP(H19,'TOC Factors'!$F$6:$M$17,3,TRUE)</f>
        <v>13600</v>
      </c>
      <c r="O19" s="8">
        <f>IF(G19=1,Subsidy!$D$3,0)</f>
        <v>0</v>
      </c>
      <c r="P19" s="71">
        <f>IF(E19=1,Tax!$F$2,IF(E19=2,Tax!$F$3,"-"))</f>
        <v>0.28334921587437017</v>
      </c>
      <c r="Q19" s="9">
        <f>VLOOKUP(H19,'TOC Factors'!$F$6:$M$17,4,TRUE)</f>
        <v>29.07</v>
      </c>
      <c r="R19" s="10">
        <f>VLOOKUP(H19,'TOC Factors'!$F$6:$M$17,5,TRUE)</f>
        <v>6.4307634832635505E-2</v>
      </c>
      <c r="S19" s="10">
        <f>VLOOKUP(H19,'TOC Factors'!$F$6:$M$17,6,TRUE)</f>
        <v>6.2966492416526707</v>
      </c>
      <c r="T19" s="11">
        <f>VLOOKUP(H19,'TOC Factors'!$F$6:$M$17,7,TRUE)</f>
        <v>904</v>
      </c>
      <c r="U19" s="11">
        <f>VLOOKUP(H19,'TOC Factors'!$F$6:$M$17,8,TRUE)</f>
        <v>233</v>
      </c>
    </row>
    <row r="20" spans="2:21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85</v>
      </c>
      <c r="G20" s="56">
        <f>Input!G20</f>
        <v>0</v>
      </c>
      <c r="H20" s="14" t="str">
        <f t="shared" si="1"/>
        <v>22</v>
      </c>
      <c r="I20" s="16">
        <f t="shared" si="2"/>
        <v>24820</v>
      </c>
      <c r="J20" s="73">
        <f t="shared" si="0"/>
        <v>241.92389191612889</v>
      </c>
      <c r="K20" s="73">
        <f t="shared" si="3"/>
        <v>241.92389191612889</v>
      </c>
      <c r="L20" s="73">
        <f t="shared" si="4"/>
        <v>0</v>
      </c>
      <c r="N20" s="8">
        <f>VLOOKUP(H20,'TOC Factors'!$F$6:$M$17,3,TRUE)</f>
        <v>13600</v>
      </c>
      <c r="O20" s="8">
        <f>IF(G20=1,Subsidy!$D$3,0)</f>
        <v>0</v>
      </c>
      <c r="P20" s="71">
        <f>IF(E20=1,Tax!$F$2,IF(E20=2,Tax!$F$3,"-"))</f>
        <v>0.28334921587437017</v>
      </c>
      <c r="Q20" s="9">
        <f>VLOOKUP(H20,'TOC Factors'!$F$6:$M$17,4,TRUE)</f>
        <v>29.07</v>
      </c>
      <c r="R20" s="10">
        <f>VLOOKUP(H20,'TOC Factors'!$F$6:$M$17,5,TRUE)</f>
        <v>6.4307634832635505E-2</v>
      </c>
      <c r="S20" s="10">
        <f>VLOOKUP(H20,'TOC Factors'!$F$6:$M$17,6,TRUE)</f>
        <v>6.2966492416526707</v>
      </c>
      <c r="T20" s="11">
        <f>VLOOKUP(H20,'TOC Factors'!$F$6:$M$17,7,TRUE)</f>
        <v>904</v>
      </c>
      <c r="U20" s="11">
        <f>VLOOKUP(H20,'TOC Factors'!$F$6:$M$17,8,TRUE)</f>
        <v>233</v>
      </c>
    </row>
    <row r="21" spans="2:21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90</v>
      </c>
      <c r="G21" s="56">
        <f>Input!G21</f>
        <v>0</v>
      </c>
      <c r="H21" s="14" t="str">
        <f t="shared" si="1"/>
        <v>22</v>
      </c>
      <c r="I21" s="16">
        <f t="shared" si="2"/>
        <v>26280</v>
      </c>
      <c r="J21" s="73">
        <f t="shared" si="0"/>
        <v>256.15470908766594</v>
      </c>
      <c r="K21" s="73">
        <f t="shared" si="3"/>
        <v>256.15470908766594</v>
      </c>
      <c r="L21" s="73">
        <f t="shared" si="4"/>
        <v>0</v>
      </c>
      <c r="N21" s="8">
        <f>VLOOKUP(H21,'TOC Factors'!$F$6:$M$17,3,TRUE)</f>
        <v>13600</v>
      </c>
      <c r="O21" s="8">
        <f>IF(G21=1,Subsidy!$D$3,0)</f>
        <v>0</v>
      </c>
      <c r="P21" s="71">
        <f>IF(E21=1,Tax!$F$2,IF(E21=2,Tax!$F$3,"-"))</f>
        <v>0.28334921587437017</v>
      </c>
      <c r="Q21" s="9">
        <f>VLOOKUP(H21,'TOC Factors'!$F$6:$M$17,4,TRUE)</f>
        <v>29.07</v>
      </c>
      <c r="R21" s="10">
        <f>VLOOKUP(H21,'TOC Factors'!$F$6:$M$17,5,TRUE)</f>
        <v>6.4307634832635505E-2</v>
      </c>
      <c r="S21" s="10">
        <f>VLOOKUP(H21,'TOC Factors'!$F$6:$M$17,6,TRUE)</f>
        <v>6.2966492416526707</v>
      </c>
      <c r="T21" s="11">
        <f>VLOOKUP(H21,'TOC Factors'!$F$6:$M$17,7,TRUE)</f>
        <v>904</v>
      </c>
      <c r="U21" s="11">
        <f>VLOOKUP(H21,'TOC Factors'!$F$6:$M$17,8,TRUE)</f>
        <v>233</v>
      </c>
    </row>
    <row r="22" spans="2:2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95</v>
      </c>
      <c r="G22" s="56">
        <f>Input!G22</f>
        <v>0</v>
      </c>
      <c r="H22" s="14" t="str">
        <f t="shared" si="1"/>
        <v>22</v>
      </c>
      <c r="I22" s="16">
        <f t="shared" si="2"/>
        <v>27740</v>
      </c>
      <c r="J22" s="73">
        <f t="shared" si="0"/>
        <v>270.38552625920289</v>
      </c>
      <c r="K22" s="73">
        <f t="shared" si="3"/>
        <v>270.38552625920289</v>
      </c>
      <c r="L22" s="73">
        <f t="shared" si="4"/>
        <v>0</v>
      </c>
      <c r="N22" s="8">
        <f>VLOOKUP(H22,'TOC Factors'!$F$6:$M$17,3,TRUE)</f>
        <v>13600</v>
      </c>
      <c r="O22" s="8">
        <f>IF(G22=1,Subsidy!$D$3,0)</f>
        <v>0</v>
      </c>
      <c r="P22" s="71">
        <f>IF(E22=1,Tax!$F$2,IF(E22=2,Tax!$F$3,"-"))</f>
        <v>0.28334921587437017</v>
      </c>
      <c r="Q22" s="9">
        <f>VLOOKUP(H22,'TOC Factors'!$F$6:$M$17,4,TRUE)</f>
        <v>29.07</v>
      </c>
      <c r="R22" s="10">
        <f>VLOOKUP(H22,'TOC Factors'!$F$6:$M$17,5,TRUE)</f>
        <v>6.4307634832635505E-2</v>
      </c>
      <c r="S22" s="10">
        <f>VLOOKUP(H22,'TOC Factors'!$F$6:$M$17,6,TRUE)</f>
        <v>6.2966492416526707</v>
      </c>
      <c r="T22" s="11">
        <f>VLOOKUP(H22,'TOC Factors'!$F$6:$M$17,7,TRUE)</f>
        <v>904</v>
      </c>
      <c r="U22" s="11">
        <f>VLOOKUP(H22,'TOC Factors'!$F$6:$M$17,8,TRUE)</f>
        <v>233</v>
      </c>
    </row>
    <row r="23" spans="2:2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100</v>
      </c>
      <c r="G23" s="56">
        <f>Input!G23</f>
        <v>0</v>
      </c>
      <c r="H23" s="14" t="str">
        <f t="shared" si="1"/>
        <v>22</v>
      </c>
      <c r="I23" s="16">
        <f t="shared" si="2"/>
        <v>29200</v>
      </c>
      <c r="J23" s="73">
        <f t="shared" si="0"/>
        <v>284.6163434307399</v>
      </c>
      <c r="K23" s="73">
        <f t="shared" si="3"/>
        <v>284.6163434307399</v>
      </c>
      <c r="L23" s="73">
        <f t="shared" si="4"/>
        <v>0</v>
      </c>
      <c r="N23" s="8">
        <f>VLOOKUP(H23,'TOC Factors'!$F$6:$M$17,3,TRUE)</f>
        <v>13600</v>
      </c>
      <c r="O23" s="8">
        <f>IF(G23=1,Subsidy!$D$3,0)</f>
        <v>0</v>
      </c>
      <c r="P23" s="71">
        <f>IF(E23=1,Tax!$F$2,IF(E23=2,Tax!$F$3,"-"))</f>
        <v>0.28334921587437017</v>
      </c>
      <c r="Q23" s="9">
        <f>VLOOKUP(H23,'TOC Factors'!$F$6:$M$17,4,TRUE)</f>
        <v>29.07</v>
      </c>
      <c r="R23" s="10">
        <f>VLOOKUP(H23,'TOC Factors'!$F$6:$M$17,5,TRUE)</f>
        <v>6.4307634832635505E-2</v>
      </c>
      <c r="S23" s="10">
        <f>VLOOKUP(H23,'TOC Factors'!$F$6:$M$17,6,TRUE)</f>
        <v>6.2966492416526707</v>
      </c>
      <c r="T23" s="11">
        <f>VLOOKUP(H23,'TOC Factors'!$F$6:$M$17,7,TRUE)</f>
        <v>904</v>
      </c>
      <c r="U23" s="11">
        <f>VLOOKUP(H23,'TOC Factors'!$F$6:$M$17,8,TRUE)</f>
        <v>233</v>
      </c>
    </row>
    <row r="24" spans="2:21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1"/>
        <v>00</v>
      </c>
      <c r="I24" s="16">
        <f t="shared" si="2"/>
        <v>0</v>
      </c>
      <c r="J24" s="73" t="e">
        <f t="shared" si="0"/>
        <v>#N/A</v>
      </c>
      <c r="K24" s="73" t="e">
        <f t="shared" si="3"/>
        <v>#N/A</v>
      </c>
      <c r="L24" s="73">
        <f t="shared" si="4"/>
        <v>0</v>
      </c>
      <c r="N24" s="8" t="e">
        <f>VLOOKUP(H24,'TOC Factors'!$F$6:$M$17,3,TRUE)</f>
        <v>#N/A</v>
      </c>
      <c r="O24" s="8">
        <f>IF(G24=1,Subsidy!$D$3,0)</f>
        <v>0</v>
      </c>
      <c r="P24" s="71" t="str">
        <f>IF(E24=1,Tax!$F$2,IF(E24=2,Tax!$F$3,"-"))</f>
        <v>-</v>
      </c>
      <c r="Q24" s="9" t="e">
        <f>VLOOKUP(H24,'TOC Factors'!$F$6:$M$17,4,TRUE)</f>
        <v>#N/A</v>
      </c>
      <c r="R24" s="10" t="e">
        <f>VLOOKUP(H24,'TOC Factors'!$F$6:$M$17,5,TRUE)</f>
        <v>#N/A</v>
      </c>
      <c r="S24" s="10" t="e">
        <f>VLOOKUP(H24,'TOC Factors'!$F$6:$M$17,6,TRUE)</f>
        <v>#N/A</v>
      </c>
      <c r="T24" s="11" t="e">
        <f>VLOOKUP(H24,'TOC Factors'!$F$6:$M$17,7,TRUE)</f>
        <v>#N/A</v>
      </c>
      <c r="U24" s="11" t="e">
        <f>VLOOKUP(H24,'TOC Factors'!$F$6:$M$17,8,TRUE)</f>
        <v>#N/A</v>
      </c>
    </row>
    <row r="25" spans="2:21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1"/>
        <v>00</v>
      </c>
      <c r="I25" s="16">
        <f t="shared" si="2"/>
        <v>0</v>
      </c>
      <c r="J25" s="73" t="e">
        <f t="shared" si="0"/>
        <v>#N/A</v>
      </c>
      <c r="K25" s="73" t="e">
        <f t="shared" si="3"/>
        <v>#N/A</v>
      </c>
      <c r="L25" s="73">
        <f t="shared" si="4"/>
        <v>0</v>
      </c>
      <c r="N25" s="8" t="e">
        <f>VLOOKUP(H25,'TOC Factors'!$F$6:$M$17,3,TRUE)</f>
        <v>#N/A</v>
      </c>
      <c r="O25" s="8">
        <f>IF(G25=1,Subsidy!$D$3,0)</f>
        <v>0</v>
      </c>
      <c r="P25" s="71" t="str">
        <f>IF(E25=1,Tax!$F$2,IF(E25=2,Tax!$F$3,"-"))</f>
        <v>-</v>
      </c>
      <c r="Q25" s="9" t="e">
        <f>VLOOKUP(H25,'TOC Factors'!$F$6:$M$17,4,TRUE)</f>
        <v>#N/A</v>
      </c>
      <c r="R25" s="10" t="e">
        <f>VLOOKUP(H25,'TOC Factors'!$F$6:$M$17,5,TRUE)</f>
        <v>#N/A</v>
      </c>
      <c r="S25" s="10" t="e">
        <f>VLOOKUP(H25,'TOC Factors'!$F$6:$M$17,6,TRUE)</f>
        <v>#N/A</v>
      </c>
      <c r="T25" s="11" t="e">
        <f>VLOOKUP(H25,'TOC Factors'!$F$6:$M$17,7,TRUE)</f>
        <v>#N/A</v>
      </c>
      <c r="U25" s="11" t="e">
        <f>VLOOKUP(H25,'TOC Factors'!$F$6:$M$17,8,TRUE)</f>
        <v>#N/A</v>
      </c>
    </row>
    <row r="26" spans="2:21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1"/>
        <v>00</v>
      </c>
      <c r="I26" s="16">
        <f t="shared" si="2"/>
        <v>0</v>
      </c>
      <c r="J26" s="73" t="e">
        <f t="shared" si="0"/>
        <v>#N/A</v>
      </c>
      <c r="K26" s="73" t="e">
        <f t="shared" si="3"/>
        <v>#N/A</v>
      </c>
      <c r="L26" s="73">
        <f t="shared" si="4"/>
        <v>0</v>
      </c>
      <c r="N26" s="8" t="e">
        <f>VLOOKUP(H26,'TOC Factors'!$F$6:$M$17,3,TRUE)</f>
        <v>#N/A</v>
      </c>
      <c r="O26" s="8">
        <f>IF(G26=1,Subsidy!$D$3,0)</f>
        <v>0</v>
      </c>
      <c r="P26" s="71" t="str">
        <f>IF(E26=1,Tax!$F$2,IF(E26=2,Tax!$F$3,"-"))</f>
        <v>-</v>
      </c>
      <c r="Q26" s="9" t="e">
        <f>VLOOKUP(H26,'TOC Factors'!$F$6:$M$17,4,TRUE)</f>
        <v>#N/A</v>
      </c>
      <c r="R26" s="10" t="e">
        <f>VLOOKUP(H26,'TOC Factors'!$F$6:$M$17,5,TRUE)</f>
        <v>#N/A</v>
      </c>
      <c r="S26" s="10" t="e">
        <f>VLOOKUP(H26,'TOC Factors'!$F$6:$M$17,6,TRUE)</f>
        <v>#N/A</v>
      </c>
      <c r="T26" s="11" t="e">
        <f>VLOOKUP(H26,'TOC Factors'!$F$6:$M$17,7,TRUE)</f>
        <v>#N/A</v>
      </c>
      <c r="U26" s="11" t="e">
        <f>VLOOKUP(H26,'TOC Factors'!$F$6:$M$17,8,TRUE)</f>
        <v>#N/A</v>
      </c>
    </row>
    <row r="27" spans="2:21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1"/>
        <v>00</v>
      </c>
      <c r="I27" s="16">
        <f t="shared" si="2"/>
        <v>0</v>
      </c>
      <c r="J27" s="73" t="e">
        <f t="shared" si="0"/>
        <v>#N/A</v>
      </c>
      <c r="K27" s="73" t="e">
        <f t="shared" si="3"/>
        <v>#N/A</v>
      </c>
      <c r="L27" s="73">
        <f t="shared" si="4"/>
        <v>0</v>
      </c>
      <c r="N27" s="8" t="e">
        <f>VLOOKUP(H27,'TOC Factors'!$F$6:$M$17,3,TRUE)</f>
        <v>#N/A</v>
      </c>
      <c r="O27" s="8">
        <f>IF(G27=1,Subsidy!$D$3,0)</f>
        <v>0</v>
      </c>
      <c r="P27" s="71" t="str">
        <f>IF(E27=1,Tax!$F$2,IF(E27=2,Tax!$F$3,"-"))</f>
        <v>-</v>
      </c>
      <c r="Q27" s="9" t="e">
        <f>VLOOKUP(H27,'TOC Factors'!$F$6:$M$17,4,TRUE)</f>
        <v>#N/A</v>
      </c>
      <c r="R27" s="10" t="e">
        <f>VLOOKUP(H27,'TOC Factors'!$F$6:$M$17,5,TRUE)</f>
        <v>#N/A</v>
      </c>
      <c r="S27" s="10" t="e">
        <f>VLOOKUP(H27,'TOC Factors'!$F$6:$M$17,6,TRUE)</f>
        <v>#N/A</v>
      </c>
      <c r="T27" s="11" t="e">
        <f>VLOOKUP(H27,'TOC Factors'!$F$6:$M$17,7,TRUE)</f>
        <v>#N/A</v>
      </c>
      <c r="U27" s="11" t="e">
        <f>VLOOKUP(H27,'TOC Factors'!$F$6:$M$17,8,TRUE)</f>
        <v>#N/A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3" t="e">
        <f t="shared" si="0"/>
        <v>#N/A</v>
      </c>
      <c r="K28" s="73" t="e">
        <f t="shared" si="3"/>
        <v>#N/A</v>
      </c>
      <c r="L28" s="73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1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3" t="e">
        <f t="shared" si="0"/>
        <v>#N/A</v>
      </c>
      <c r="K29" s="73" t="e">
        <f t="shared" si="3"/>
        <v>#N/A</v>
      </c>
      <c r="L29" s="73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1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3" t="e">
        <f t="shared" si="0"/>
        <v>#N/A</v>
      </c>
      <c r="K30" s="73" t="e">
        <f t="shared" si="3"/>
        <v>#N/A</v>
      </c>
      <c r="L30" s="73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1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3" t="e">
        <f t="shared" si="0"/>
        <v>#N/A</v>
      </c>
      <c r="K31" s="73" t="e">
        <f t="shared" si="3"/>
        <v>#N/A</v>
      </c>
      <c r="L31" s="73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1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3" t="e">
        <f t="shared" si="0"/>
        <v>#N/A</v>
      </c>
      <c r="K32" s="73" t="e">
        <f t="shared" si="3"/>
        <v>#N/A</v>
      </c>
      <c r="L32" s="73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1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3" t="e">
        <f t="shared" si="0"/>
        <v>#N/A</v>
      </c>
      <c r="K33" s="73" t="e">
        <f t="shared" si="3"/>
        <v>#N/A</v>
      </c>
      <c r="L33" s="73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1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3" t="e">
        <f t="shared" si="0"/>
        <v>#N/A</v>
      </c>
      <c r="K34" s="73" t="e">
        <f t="shared" si="3"/>
        <v>#N/A</v>
      </c>
      <c r="L34" s="73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1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3" t="e">
        <f t="shared" si="0"/>
        <v>#N/A</v>
      </c>
      <c r="K35" s="73" t="e">
        <f t="shared" si="3"/>
        <v>#N/A</v>
      </c>
      <c r="L35" s="73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1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3" t="e">
        <f t="shared" si="0"/>
        <v>#N/A</v>
      </c>
      <c r="K36" s="73" t="e">
        <f t="shared" si="3"/>
        <v>#N/A</v>
      </c>
      <c r="L36" s="73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1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3" t="e">
        <f t="shared" si="0"/>
        <v>#N/A</v>
      </c>
      <c r="K37" s="73" t="e">
        <f t="shared" si="3"/>
        <v>#N/A</v>
      </c>
      <c r="L37" s="73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1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3" t="e">
        <f t="shared" si="0"/>
        <v>#N/A</v>
      </c>
      <c r="K38" s="73" t="e">
        <f t="shared" si="3"/>
        <v>#N/A</v>
      </c>
      <c r="L38" s="73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1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3" t="e">
        <f t="shared" si="0"/>
        <v>#N/A</v>
      </c>
      <c r="K39" s="73" t="e">
        <f t="shared" si="3"/>
        <v>#N/A</v>
      </c>
      <c r="L39" s="73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1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3" t="e">
        <f t="shared" si="0"/>
        <v>#N/A</v>
      </c>
      <c r="K40" s="73" t="e">
        <f t="shared" si="3"/>
        <v>#N/A</v>
      </c>
      <c r="L40" s="73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1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3" t="e">
        <f t="shared" si="0"/>
        <v>#N/A</v>
      </c>
      <c r="K41" s="73" t="e">
        <f t="shared" si="3"/>
        <v>#N/A</v>
      </c>
      <c r="L41" s="73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1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3" t="e">
        <f t="shared" si="0"/>
        <v>#N/A</v>
      </c>
      <c r="K42" s="73" t="e">
        <f t="shared" si="3"/>
        <v>#N/A</v>
      </c>
      <c r="L42" s="73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1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3" t="e">
        <f t="shared" si="0"/>
        <v>#N/A</v>
      </c>
      <c r="K43" s="73" t="e">
        <f t="shared" si="3"/>
        <v>#N/A</v>
      </c>
      <c r="L43" s="73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1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3" t="e">
        <f t="shared" si="0"/>
        <v>#N/A</v>
      </c>
      <c r="K44" s="73" t="e">
        <f t="shared" si="3"/>
        <v>#N/A</v>
      </c>
      <c r="L44" s="73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1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3" t="e">
        <f t="shared" si="0"/>
        <v>#N/A</v>
      </c>
      <c r="K45" s="73" t="e">
        <f t="shared" si="3"/>
        <v>#N/A</v>
      </c>
      <c r="L45" s="73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1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3" t="e">
        <f t="shared" si="0"/>
        <v>#N/A</v>
      </c>
      <c r="K46" s="73" t="e">
        <f t="shared" si="3"/>
        <v>#N/A</v>
      </c>
      <c r="L46" s="73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1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3" t="e">
        <f t="shared" si="0"/>
        <v>#N/A</v>
      </c>
      <c r="K47" s="73" t="e">
        <f t="shared" si="3"/>
        <v>#N/A</v>
      </c>
      <c r="L47" s="73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1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3" t="e">
        <f t="shared" si="0"/>
        <v>#N/A</v>
      </c>
      <c r="K48" s="73" t="e">
        <f t="shared" si="3"/>
        <v>#N/A</v>
      </c>
      <c r="L48" s="73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1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3" t="e">
        <f t="shared" si="0"/>
        <v>#N/A</v>
      </c>
      <c r="K49" s="73" t="e">
        <f t="shared" si="3"/>
        <v>#N/A</v>
      </c>
      <c r="L49" s="73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1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3" t="e">
        <f t="shared" si="0"/>
        <v>#N/A</v>
      </c>
      <c r="K50" s="73" t="e">
        <f t="shared" si="3"/>
        <v>#N/A</v>
      </c>
      <c r="L50" s="73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1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3" t="e">
        <f t="shared" si="0"/>
        <v>#N/A</v>
      </c>
      <c r="K51" s="73" t="e">
        <f t="shared" si="3"/>
        <v>#N/A</v>
      </c>
      <c r="L51" s="73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1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3" t="e">
        <f t="shared" si="0"/>
        <v>#N/A</v>
      </c>
      <c r="K52" s="73" t="e">
        <f t="shared" si="3"/>
        <v>#N/A</v>
      </c>
      <c r="L52" s="73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1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3" t="e">
        <f t="shared" si="0"/>
        <v>#N/A</v>
      </c>
      <c r="K53" s="73" t="e">
        <f t="shared" si="3"/>
        <v>#N/A</v>
      </c>
      <c r="L53" s="73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1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3" t="e">
        <f t="shared" si="0"/>
        <v>#N/A</v>
      </c>
      <c r="K54" s="73" t="e">
        <f t="shared" si="3"/>
        <v>#N/A</v>
      </c>
      <c r="L54" s="73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1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3" t="e">
        <f t="shared" si="0"/>
        <v>#N/A</v>
      </c>
      <c r="K55" s="73" t="e">
        <f t="shared" si="3"/>
        <v>#N/A</v>
      </c>
      <c r="L55" s="73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1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3" t="e">
        <f t="shared" si="0"/>
        <v>#N/A</v>
      </c>
      <c r="K56" s="73" t="e">
        <f t="shared" si="3"/>
        <v>#N/A</v>
      </c>
      <c r="L56" s="73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1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3" t="e">
        <f t="shared" si="0"/>
        <v>#N/A</v>
      </c>
      <c r="K57" s="73" t="e">
        <f t="shared" si="3"/>
        <v>#N/A</v>
      </c>
      <c r="L57" s="73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1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3" t="e">
        <f t="shared" si="0"/>
        <v>#N/A</v>
      </c>
      <c r="K58" s="73" t="e">
        <f t="shared" si="3"/>
        <v>#N/A</v>
      </c>
      <c r="L58" s="73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1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3" t="e">
        <f t="shared" si="0"/>
        <v>#N/A</v>
      </c>
      <c r="K59" s="73" t="e">
        <f t="shared" si="3"/>
        <v>#N/A</v>
      </c>
      <c r="L59" s="73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1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3" t="e">
        <f t="shared" si="0"/>
        <v>#N/A</v>
      </c>
      <c r="K60" s="73" t="e">
        <f t="shared" si="3"/>
        <v>#N/A</v>
      </c>
      <c r="L60" s="73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1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3" t="e">
        <f t="shared" si="0"/>
        <v>#N/A</v>
      </c>
      <c r="K61" s="73" t="e">
        <f t="shared" si="3"/>
        <v>#N/A</v>
      </c>
      <c r="L61" s="73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1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3" t="e">
        <f t="shared" si="0"/>
        <v>#N/A</v>
      </c>
      <c r="K62" s="73" t="e">
        <f t="shared" si="3"/>
        <v>#N/A</v>
      </c>
      <c r="L62" s="73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1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3" t="e">
        <f t="shared" si="0"/>
        <v>#N/A</v>
      </c>
      <c r="K63" s="73" t="e">
        <f t="shared" si="3"/>
        <v>#N/A</v>
      </c>
      <c r="L63" s="73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1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3" t="e">
        <f t="shared" si="0"/>
        <v>#N/A</v>
      </c>
      <c r="K64" s="73" t="e">
        <f t="shared" si="3"/>
        <v>#N/A</v>
      </c>
      <c r="L64" s="73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1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3" t="e">
        <f t="shared" si="0"/>
        <v>#N/A</v>
      </c>
      <c r="K65" s="73" t="e">
        <f t="shared" si="3"/>
        <v>#N/A</v>
      </c>
      <c r="L65" s="73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1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3" t="e">
        <f t="shared" si="0"/>
        <v>#N/A</v>
      </c>
      <c r="K66" s="73" t="e">
        <f t="shared" si="3"/>
        <v>#N/A</v>
      </c>
      <c r="L66" s="73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1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3" t="e">
        <f t="shared" si="0"/>
        <v>#N/A</v>
      </c>
      <c r="K67" s="73" t="e">
        <f t="shared" si="3"/>
        <v>#N/A</v>
      </c>
      <c r="L67" s="73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1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3" t="e">
        <f t="shared" si="0"/>
        <v>#N/A</v>
      </c>
      <c r="K68" s="73" t="e">
        <f t="shared" si="3"/>
        <v>#N/A</v>
      </c>
      <c r="L68" s="73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1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3" t="e">
        <f t="shared" ref="J69:J124" si="5">K69-L69</f>
        <v>#N/A</v>
      </c>
      <c r="K69" s="73" t="e">
        <f t="shared" si="3"/>
        <v>#N/A</v>
      </c>
      <c r="L69" s="73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1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3" t="e">
        <f t="shared" si="5"/>
        <v>#N/A</v>
      </c>
      <c r="K70" s="73" t="e">
        <f t="shared" si="3"/>
        <v>#N/A</v>
      </c>
      <c r="L70" s="73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1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3" t="e">
        <f t="shared" si="5"/>
        <v>#N/A</v>
      </c>
      <c r="K71" s="73" t="e">
        <f t="shared" ref="K71:K124" si="8">I71/Q71*P71</f>
        <v>#N/A</v>
      </c>
      <c r="L71" s="73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1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3" t="e">
        <f t="shared" si="5"/>
        <v>#N/A</v>
      </c>
      <c r="K72" s="73" t="e">
        <f t="shared" si="8"/>
        <v>#N/A</v>
      </c>
      <c r="L72" s="73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1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3" t="e">
        <f t="shared" si="5"/>
        <v>#N/A</v>
      </c>
      <c r="K73" s="73" t="e">
        <f t="shared" si="8"/>
        <v>#N/A</v>
      </c>
      <c r="L73" s="73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1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3" t="e">
        <f t="shared" si="5"/>
        <v>#N/A</v>
      </c>
      <c r="K74" s="73" t="e">
        <f t="shared" si="8"/>
        <v>#N/A</v>
      </c>
      <c r="L74" s="73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1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3" t="e">
        <f t="shared" si="5"/>
        <v>#N/A</v>
      </c>
      <c r="K75" s="73" t="e">
        <f t="shared" si="8"/>
        <v>#N/A</v>
      </c>
      <c r="L75" s="73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1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3" t="e">
        <f t="shared" si="5"/>
        <v>#N/A</v>
      </c>
      <c r="K76" s="73" t="e">
        <f t="shared" si="8"/>
        <v>#N/A</v>
      </c>
      <c r="L76" s="73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1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3" t="e">
        <f t="shared" si="5"/>
        <v>#N/A</v>
      </c>
      <c r="K77" s="73" t="e">
        <f t="shared" si="8"/>
        <v>#N/A</v>
      </c>
      <c r="L77" s="73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1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3" t="e">
        <f t="shared" si="5"/>
        <v>#N/A</v>
      </c>
      <c r="K78" s="73" t="e">
        <f t="shared" si="8"/>
        <v>#N/A</v>
      </c>
      <c r="L78" s="73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1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3" t="e">
        <f t="shared" si="5"/>
        <v>#N/A</v>
      </c>
      <c r="K79" s="73" t="e">
        <f t="shared" si="8"/>
        <v>#N/A</v>
      </c>
      <c r="L79" s="73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1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3" t="e">
        <f t="shared" si="5"/>
        <v>#N/A</v>
      </c>
      <c r="K80" s="73" t="e">
        <f t="shared" si="8"/>
        <v>#N/A</v>
      </c>
      <c r="L80" s="73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1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3" t="e">
        <f t="shared" si="5"/>
        <v>#N/A</v>
      </c>
      <c r="K81" s="73" t="e">
        <f t="shared" si="8"/>
        <v>#N/A</v>
      </c>
      <c r="L81" s="73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1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3" t="e">
        <f t="shared" si="5"/>
        <v>#N/A</v>
      </c>
      <c r="K82" s="73" t="e">
        <f t="shared" si="8"/>
        <v>#N/A</v>
      </c>
      <c r="L82" s="73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1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3" t="e">
        <f t="shared" si="5"/>
        <v>#N/A</v>
      </c>
      <c r="K83" s="73" t="e">
        <f t="shared" si="8"/>
        <v>#N/A</v>
      </c>
      <c r="L83" s="73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1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3" t="e">
        <f t="shared" si="5"/>
        <v>#N/A</v>
      </c>
      <c r="K84" s="73" t="e">
        <f t="shared" si="8"/>
        <v>#N/A</v>
      </c>
      <c r="L84" s="73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1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3" t="e">
        <f t="shared" si="5"/>
        <v>#N/A</v>
      </c>
      <c r="K85" s="73" t="e">
        <f t="shared" si="8"/>
        <v>#N/A</v>
      </c>
      <c r="L85" s="73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1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3" t="e">
        <f t="shared" si="5"/>
        <v>#N/A</v>
      </c>
      <c r="K86" s="73" t="e">
        <f t="shared" si="8"/>
        <v>#N/A</v>
      </c>
      <c r="L86" s="73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1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3" t="e">
        <f t="shared" si="5"/>
        <v>#N/A</v>
      </c>
      <c r="K87" s="73" t="e">
        <f t="shared" si="8"/>
        <v>#N/A</v>
      </c>
      <c r="L87" s="73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1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3" t="e">
        <f t="shared" si="5"/>
        <v>#N/A</v>
      </c>
      <c r="K88" s="73" t="e">
        <f t="shared" si="8"/>
        <v>#N/A</v>
      </c>
      <c r="L88" s="73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1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3" t="e">
        <f t="shared" si="5"/>
        <v>#N/A</v>
      </c>
      <c r="K89" s="73" t="e">
        <f t="shared" si="8"/>
        <v>#N/A</v>
      </c>
      <c r="L89" s="73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1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3" t="e">
        <f t="shared" si="5"/>
        <v>#N/A</v>
      </c>
      <c r="K90" s="73" t="e">
        <f t="shared" si="8"/>
        <v>#N/A</v>
      </c>
      <c r="L90" s="73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1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3" t="e">
        <f t="shared" si="5"/>
        <v>#N/A</v>
      </c>
      <c r="K91" s="73" t="e">
        <f t="shared" si="8"/>
        <v>#N/A</v>
      </c>
      <c r="L91" s="73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1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3" t="e">
        <f t="shared" si="5"/>
        <v>#N/A</v>
      </c>
      <c r="K92" s="73" t="e">
        <f t="shared" si="8"/>
        <v>#N/A</v>
      </c>
      <c r="L92" s="73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1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3" t="e">
        <f t="shared" si="5"/>
        <v>#N/A</v>
      </c>
      <c r="K93" s="73" t="e">
        <f t="shared" si="8"/>
        <v>#N/A</v>
      </c>
      <c r="L93" s="73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1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3" t="e">
        <f t="shared" si="5"/>
        <v>#N/A</v>
      </c>
      <c r="K94" s="73" t="e">
        <f t="shared" si="8"/>
        <v>#N/A</v>
      </c>
      <c r="L94" s="73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1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3" t="e">
        <f t="shared" si="5"/>
        <v>#N/A</v>
      </c>
      <c r="K95" s="73" t="e">
        <f t="shared" si="8"/>
        <v>#N/A</v>
      </c>
      <c r="L95" s="73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1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3" t="e">
        <f t="shared" si="5"/>
        <v>#N/A</v>
      </c>
      <c r="K96" s="73" t="e">
        <f t="shared" si="8"/>
        <v>#N/A</v>
      </c>
      <c r="L96" s="73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1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3" t="e">
        <f t="shared" si="5"/>
        <v>#N/A</v>
      </c>
      <c r="K97" s="73" t="e">
        <f t="shared" si="8"/>
        <v>#N/A</v>
      </c>
      <c r="L97" s="73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1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3" t="e">
        <f t="shared" si="5"/>
        <v>#N/A</v>
      </c>
      <c r="K98" s="73" t="e">
        <f t="shared" si="8"/>
        <v>#N/A</v>
      </c>
      <c r="L98" s="73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1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3" t="e">
        <f t="shared" si="5"/>
        <v>#N/A</v>
      </c>
      <c r="K99" s="73" t="e">
        <f t="shared" si="8"/>
        <v>#N/A</v>
      </c>
      <c r="L99" s="73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1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3" t="e">
        <f t="shared" si="5"/>
        <v>#N/A</v>
      </c>
      <c r="K100" s="73" t="e">
        <f t="shared" si="8"/>
        <v>#N/A</v>
      </c>
      <c r="L100" s="73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1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3" t="e">
        <f t="shared" si="5"/>
        <v>#N/A</v>
      </c>
      <c r="K101" s="73" t="e">
        <f t="shared" si="8"/>
        <v>#N/A</v>
      </c>
      <c r="L101" s="73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1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3" t="e">
        <f t="shared" si="5"/>
        <v>#N/A</v>
      </c>
      <c r="K102" s="73" t="e">
        <f t="shared" si="8"/>
        <v>#N/A</v>
      </c>
      <c r="L102" s="73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1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3" t="e">
        <f t="shared" si="5"/>
        <v>#N/A</v>
      </c>
      <c r="K103" s="73" t="e">
        <f t="shared" si="8"/>
        <v>#N/A</v>
      </c>
      <c r="L103" s="73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1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3" t="e">
        <f t="shared" si="5"/>
        <v>#N/A</v>
      </c>
      <c r="K104" s="73" t="e">
        <f t="shared" si="8"/>
        <v>#N/A</v>
      </c>
      <c r="L104" s="73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1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3" t="e">
        <f t="shared" si="5"/>
        <v>#N/A</v>
      </c>
      <c r="K105" s="73" t="e">
        <f t="shared" si="8"/>
        <v>#N/A</v>
      </c>
      <c r="L105" s="73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1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3" t="e">
        <f t="shared" si="5"/>
        <v>#N/A</v>
      </c>
      <c r="K106" s="73" t="e">
        <f t="shared" si="8"/>
        <v>#N/A</v>
      </c>
      <c r="L106" s="73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1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3" t="e">
        <f t="shared" si="5"/>
        <v>#N/A</v>
      </c>
      <c r="K107" s="73" t="e">
        <f t="shared" si="8"/>
        <v>#N/A</v>
      </c>
      <c r="L107" s="73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1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3" t="e">
        <f t="shared" si="5"/>
        <v>#N/A</v>
      </c>
      <c r="K108" s="73" t="e">
        <f t="shared" si="8"/>
        <v>#N/A</v>
      </c>
      <c r="L108" s="73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1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3" t="e">
        <f t="shared" si="5"/>
        <v>#N/A</v>
      </c>
      <c r="K109" s="73" t="e">
        <f t="shared" si="8"/>
        <v>#N/A</v>
      </c>
      <c r="L109" s="73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1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3" t="e">
        <f t="shared" si="5"/>
        <v>#N/A</v>
      </c>
      <c r="K110" s="73" t="e">
        <f t="shared" si="8"/>
        <v>#N/A</v>
      </c>
      <c r="L110" s="73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1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3" t="e">
        <f t="shared" si="5"/>
        <v>#N/A</v>
      </c>
      <c r="K111" s="73" t="e">
        <f t="shared" si="8"/>
        <v>#N/A</v>
      </c>
      <c r="L111" s="73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1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3" t="e">
        <f t="shared" si="5"/>
        <v>#N/A</v>
      </c>
      <c r="K112" s="73" t="e">
        <f t="shared" si="8"/>
        <v>#N/A</v>
      </c>
      <c r="L112" s="73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1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3" t="e">
        <f t="shared" si="5"/>
        <v>#N/A</v>
      </c>
      <c r="K113" s="73" t="e">
        <f t="shared" si="8"/>
        <v>#N/A</v>
      </c>
      <c r="L113" s="73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1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3" t="e">
        <f t="shared" si="5"/>
        <v>#N/A</v>
      </c>
      <c r="K114" s="73" t="e">
        <f t="shared" si="8"/>
        <v>#N/A</v>
      </c>
      <c r="L114" s="73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1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3" t="e">
        <f t="shared" si="5"/>
        <v>#N/A</v>
      </c>
      <c r="K115" s="73" t="e">
        <f t="shared" si="8"/>
        <v>#N/A</v>
      </c>
      <c r="L115" s="73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1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3" t="e">
        <f t="shared" si="5"/>
        <v>#N/A</v>
      </c>
      <c r="K116" s="73" t="e">
        <f t="shared" si="8"/>
        <v>#N/A</v>
      </c>
      <c r="L116" s="73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1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3" t="e">
        <f t="shared" si="5"/>
        <v>#N/A</v>
      </c>
      <c r="K117" s="73" t="e">
        <f t="shared" si="8"/>
        <v>#N/A</v>
      </c>
      <c r="L117" s="73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1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3" t="e">
        <f t="shared" si="5"/>
        <v>#N/A</v>
      </c>
      <c r="K118" s="73" t="e">
        <f t="shared" si="8"/>
        <v>#N/A</v>
      </c>
      <c r="L118" s="73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1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3" t="e">
        <f t="shared" si="5"/>
        <v>#N/A</v>
      </c>
      <c r="K119" s="73" t="e">
        <f t="shared" si="8"/>
        <v>#N/A</v>
      </c>
      <c r="L119" s="73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1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3" t="e">
        <f t="shared" si="5"/>
        <v>#N/A</v>
      </c>
      <c r="K120" s="73" t="e">
        <f t="shared" si="8"/>
        <v>#N/A</v>
      </c>
      <c r="L120" s="73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1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3" t="e">
        <f t="shared" si="5"/>
        <v>#N/A</v>
      </c>
      <c r="K121" s="73" t="e">
        <f t="shared" si="8"/>
        <v>#N/A</v>
      </c>
      <c r="L121" s="73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1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3" t="e">
        <f t="shared" si="5"/>
        <v>#N/A</v>
      </c>
      <c r="K122" s="73" t="e">
        <f t="shared" si="8"/>
        <v>#N/A</v>
      </c>
      <c r="L122" s="73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1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3" t="e">
        <f t="shared" si="5"/>
        <v>#N/A</v>
      </c>
      <c r="K123" s="73" t="e">
        <f t="shared" si="8"/>
        <v>#N/A</v>
      </c>
      <c r="L123" s="73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1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3" t="e">
        <f t="shared" si="5"/>
        <v>#N/A</v>
      </c>
      <c r="K124" s="73" t="e">
        <f t="shared" si="8"/>
        <v>#N/A</v>
      </c>
      <c r="L124" s="73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1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zoomScale="70" zoomScaleNormal="70" workbookViewId="0">
      <selection activeCell="B25" sqref="B25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2" t="s">
        <v>75</v>
      </c>
      <c r="K3" s="63" t="s">
        <v>74</v>
      </c>
      <c r="L3" s="63" t="s">
        <v>76</v>
      </c>
      <c r="M3" s="63" t="s">
        <v>77</v>
      </c>
      <c r="N3" s="63" t="s">
        <v>78</v>
      </c>
      <c r="O3" s="63" t="s">
        <v>79</v>
      </c>
      <c r="P3" s="63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2</v>
      </c>
      <c r="F4" s="56">
        <f>Input!F4</f>
        <v>5</v>
      </c>
      <c r="G4" s="56">
        <f>Input!G4</f>
        <v>0</v>
      </c>
      <c r="H4" s="14" t="str">
        <f>D4&amp;E4</f>
        <v>22</v>
      </c>
      <c r="I4" s="16">
        <f>F4*365*0.8</f>
        <v>1460</v>
      </c>
      <c r="J4" s="61">
        <f t="shared" ref="J4:P6" si="0">$I4*R4</f>
        <v>0.70016154677623477</v>
      </c>
      <c r="K4" s="34">
        <f t="shared" si="0"/>
        <v>0</v>
      </c>
      <c r="L4" s="34">
        <f t="shared" si="0"/>
        <v>0</v>
      </c>
      <c r="M4" s="34">
        <f t="shared" si="0"/>
        <v>0.11949605766075826</v>
      </c>
      <c r="N4" s="34">
        <f t="shared" si="0"/>
        <v>1.4484370625546458E-2</v>
      </c>
      <c r="O4" s="34">
        <f t="shared" si="0"/>
        <v>0</v>
      </c>
      <c r="P4" s="34">
        <f t="shared" si="0"/>
        <v>0</v>
      </c>
      <c r="R4" s="33">
        <f>VLOOKUP(H4,'Emssions Factors'!$F$6:$M$18,2,TRUE)</f>
        <v>4.795627032713937E-4</v>
      </c>
      <c r="S4" s="33">
        <f>VLOOKUP(H4,'Emssions Factors'!$F$6:$M$18,3,TRUE)</f>
        <v>0</v>
      </c>
      <c r="T4" s="33">
        <f>VLOOKUP(H4,'Emssions Factors'!$F$6:$M$18,4,TRUE)</f>
        <v>0</v>
      </c>
      <c r="U4" s="33">
        <f>VLOOKUP(H4,'Emssions Factors'!$F$6:$M$18,5,TRUE)</f>
        <v>8.1846614836135796E-5</v>
      </c>
      <c r="V4" s="33">
        <f>VLOOKUP(H4,'Emssions Factors'!$F$6:$M$18,6,TRUE)</f>
        <v>9.9208017983194923E-6</v>
      </c>
      <c r="W4" s="33">
        <f>VLOOKUP(H4,'Emssions Factors'!$F$6:$M$18,7,TRUE)</f>
        <v>0</v>
      </c>
      <c r="X4" s="33">
        <f>VLOOKUP(H4,'Emssions Factors'!$F$6:$M$18,8,TRUE)</f>
        <v>0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2</v>
      </c>
      <c r="F5" s="56">
        <f>Input!F5</f>
        <v>10</v>
      </c>
      <c r="G5" s="56">
        <f>Input!G5</f>
        <v>0</v>
      </c>
      <c r="H5" s="14" t="str">
        <f>D5&amp;E5</f>
        <v>22</v>
      </c>
      <c r="I5" s="16">
        <f>F5*365*0.8</f>
        <v>2920</v>
      </c>
      <c r="J5" s="61">
        <f t="shared" si="0"/>
        <v>1.4003230935524695</v>
      </c>
      <c r="K5" s="34">
        <f t="shared" si="0"/>
        <v>0</v>
      </c>
      <c r="L5" s="34">
        <f t="shared" si="0"/>
        <v>0</v>
      </c>
      <c r="M5" s="34">
        <f t="shared" si="0"/>
        <v>0.23899211532151651</v>
      </c>
      <c r="N5" s="34">
        <f t="shared" si="0"/>
        <v>2.8968741251092917E-2</v>
      </c>
      <c r="O5" s="34">
        <f t="shared" si="0"/>
        <v>0</v>
      </c>
      <c r="P5" s="34">
        <f t="shared" si="0"/>
        <v>0</v>
      </c>
      <c r="R5" s="33">
        <f>VLOOKUP(H5,'Emssions Factors'!$F$6:$M$18,2,TRUE)</f>
        <v>4.795627032713937E-4</v>
      </c>
      <c r="S5" s="33">
        <f>VLOOKUP(H5,'Emssions Factors'!$F$6:$M$18,3,TRUE)</f>
        <v>0</v>
      </c>
      <c r="T5" s="33">
        <f>VLOOKUP(H5,'Emssions Factors'!$F$6:$M$18,4,TRUE)</f>
        <v>0</v>
      </c>
      <c r="U5" s="33">
        <f>VLOOKUP(H5,'Emssions Factors'!$F$6:$M$18,5,TRUE)</f>
        <v>8.1846614836135796E-5</v>
      </c>
      <c r="V5" s="33">
        <f>VLOOKUP(H5,'Emssions Factors'!$F$6:$M$18,6,TRUE)</f>
        <v>9.9208017983194923E-6</v>
      </c>
      <c r="W5" s="33">
        <f>VLOOKUP(H5,'Emssions Factors'!$F$6:$M$18,7,TRUE)</f>
        <v>0</v>
      </c>
      <c r="X5" s="33">
        <f>VLOOKUP(H5,'Emssions Factors'!$F$6:$M$18,8,TRUE)</f>
        <v>0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2</v>
      </c>
      <c r="F6" s="56">
        <f>Input!F6</f>
        <v>15</v>
      </c>
      <c r="G6" s="56">
        <f>Input!G6</f>
        <v>0</v>
      </c>
      <c r="H6" s="14" t="str">
        <f>D6&amp;E6</f>
        <v>22</v>
      </c>
      <c r="I6" s="16">
        <f>F6*365*0.8</f>
        <v>4380</v>
      </c>
      <c r="J6" s="61">
        <f t="shared" si="0"/>
        <v>2.1004846403287045</v>
      </c>
      <c r="K6" s="34">
        <f t="shared" si="0"/>
        <v>0</v>
      </c>
      <c r="L6" s="34">
        <f t="shared" si="0"/>
        <v>0</v>
      </c>
      <c r="M6" s="34">
        <f t="shared" si="0"/>
        <v>0.35848817298227481</v>
      </c>
      <c r="N6" s="34">
        <f t="shared" si="0"/>
        <v>4.3453111876639375E-2</v>
      </c>
      <c r="O6" s="34">
        <f t="shared" si="0"/>
        <v>0</v>
      </c>
      <c r="P6" s="34">
        <f t="shared" si="0"/>
        <v>0</v>
      </c>
      <c r="R6" s="33">
        <f>VLOOKUP(H6,'Emssions Factors'!$F$6:$M$18,2,TRUE)</f>
        <v>4.795627032713937E-4</v>
      </c>
      <c r="S6" s="33">
        <f>VLOOKUP(H6,'Emssions Factors'!$F$6:$M$18,3,TRUE)</f>
        <v>0</v>
      </c>
      <c r="T6" s="33">
        <f>VLOOKUP(H6,'Emssions Factors'!$F$6:$M$18,4,TRUE)</f>
        <v>0</v>
      </c>
      <c r="U6" s="33">
        <f>VLOOKUP(H6,'Emssions Factors'!$F$6:$M$18,5,TRUE)</f>
        <v>8.1846614836135796E-5</v>
      </c>
      <c r="V6" s="33">
        <f>VLOOKUP(H6,'Emssions Factors'!$F$6:$M$18,6,TRUE)</f>
        <v>9.9208017983194923E-6</v>
      </c>
      <c r="W6" s="33">
        <f>VLOOKUP(H6,'Emssions Factors'!$F$6:$M$18,7,TRUE)</f>
        <v>0</v>
      </c>
      <c r="X6" s="33">
        <f>VLOOKUP(H6,'Emssions Factors'!$F$6:$M$18,8,TRUE)</f>
        <v>0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2</v>
      </c>
      <c r="F7" s="56">
        <f>Input!F7</f>
        <v>20</v>
      </c>
      <c r="G7" s="56">
        <f>Input!G7</f>
        <v>0</v>
      </c>
      <c r="H7" s="14" t="str">
        <f>D7&amp;E7</f>
        <v>22</v>
      </c>
      <c r="I7" s="16">
        <f>F7*365*0.8</f>
        <v>5840</v>
      </c>
      <c r="J7" s="61">
        <f t="shared" ref="J7:P7" si="1">$I7*R7</f>
        <v>2.8006461871049391</v>
      </c>
      <c r="K7" s="34">
        <f t="shared" si="1"/>
        <v>0</v>
      </c>
      <c r="L7" s="34">
        <f t="shared" si="1"/>
        <v>0</v>
      </c>
      <c r="M7" s="34">
        <f t="shared" si="1"/>
        <v>0.47798423064303303</v>
      </c>
      <c r="N7" s="34">
        <f t="shared" si="1"/>
        <v>5.7937482502185833E-2</v>
      </c>
      <c r="O7" s="34">
        <f t="shared" si="1"/>
        <v>0</v>
      </c>
      <c r="P7" s="34">
        <f t="shared" si="1"/>
        <v>0</v>
      </c>
      <c r="R7" s="33">
        <f>VLOOKUP(H7,'Emssions Factors'!$F$6:$M$18,2,TRUE)</f>
        <v>4.795627032713937E-4</v>
      </c>
      <c r="S7" s="33">
        <f>VLOOKUP(H7,'Emssions Factors'!$F$6:$M$18,3,TRUE)</f>
        <v>0</v>
      </c>
      <c r="T7" s="33">
        <f>VLOOKUP(H7,'Emssions Factors'!$F$6:$M$18,4,TRUE)</f>
        <v>0</v>
      </c>
      <c r="U7" s="33">
        <f>VLOOKUP(H7,'Emssions Factors'!$F$6:$M$18,5,TRUE)</f>
        <v>8.1846614836135796E-5</v>
      </c>
      <c r="V7" s="33">
        <f>VLOOKUP(H7,'Emssions Factors'!$F$6:$M$18,6,TRUE)</f>
        <v>9.9208017983194923E-6</v>
      </c>
      <c r="W7" s="33">
        <f>VLOOKUP(H7,'Emssions Factors'!$F$6:$M$18,7,TRUE)</f>
        <v>0</v>
      </c>
      <c r="X7" s="33">
        <f>VLOOKUP(H7,'Emssions Factors'!$F$6:$M$18,8,TRUE)</f>
        <v>0</v>
      </c>
    </row>
    <row r="8" spans="2:24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2</v>
      </c>
      <c r="F8" s="56">
        <f>Input!F8</f>
        <v>25</v>
      </c>
      <c r="G8" s="56">
        <f>Input!G8</f>
        <v>0</v>
      </c>
      <c r="H8" s="14" t="str">
        <f t="shared" ref="H8:H71" si="2">D8&amp;E8</f>
        <v>22</v>
      </c>
      <c r="I8" s="16">
        <f t="shared" ref="I8:I71" si="3">F8*365*0.8</f>
        <v>7300</v>
      </c>
      <c r="J8" s="61">
        <f t="shared" ref="J8:J71" si="4">$I8*R8</f>
        <v>3.5008077338811741</v>
      </c>
      <c r="K8" s="34">
        <f t="shared" ref="K8:K71" si="5">$I8*S8</f>
        <v>0</v>
      </c>
      <c r="L8" s="34">
        <f t="shared" ref="L8:L71" si="6">$I8*T8</f>
        <v>0</v>
      </c>
      <c r="M8" s="34">
        <f t="shared" ref="M8:M71" si="7">$I8*U8</f>
        <v>0.5974802883037913</v>
      </c>
      <c r="N8" s="34">
        <f t="shared" ref="N8:N71" si="8">$I8*V8</f>
        <v>7.2421853127732291E-2</v>
      </c>
      <c r="O8" s="34">
        <f t="shared" ref="O8:O71" si="9">$I8*W8</f>
        <v>0</v>
      </c>
      <c r="P8" s="34">
        <f t="shared" ref="P8:P71" si="10">$I8*X8</f>
        <v>0</v>
      </c>
      <c r="R8" s="33">
        <f>VLOOKUP(H8,'Emssions Factors'!$F$6:$M$18,2,TRUE)</f>
        <v>4.795627032713937E-4</v>
      </c>
      <c r="S8" s="33">
        <f>VLOOKUP(H8,'Emssions Factors'!$F$6:$M$18,3,TRUE)</f>
        <v>0</v>
      </c>
      <c r="T8" s="33">
        <f>VLOOKUP(H8,'Emssions Factors'!$F$6:$M$18,4,TRUE)</f>
        <v>0</v>
      </c>
      <c r="U8" s="33">
        <f>VLOOKUP(H8,'Emssions Factors'!$F$6:$M$18,5,TRUE)</f>
        <v>8.1846614836135796E-5</v>
      </c>
      <c r="V8" s="33">
        <f>VLOOKUP(H8,'Emssions Factors'!$F$6:$M$18,6,TRUE)</f>
        <v>9.9208017983194923E-6</v>
      </c>
      <c r="W8" s="33">
        <f>VLOOKUP(H8,'Emssions Factors'!$F$6:$M$18,7,TRUE)</f>
        <v>0</v>
      </c>
      <c r="X8" s="33">
        <f>VLOOKUP(H8,'Emssions Factors'!$F$6:$M$18,8,TRUE)</f>
        <v>0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2</v>
      </c>
      <c r="F9" s="56">
        <f>Input!F9</f>
        <v>30</v>
      </c>
      <c r="G9" s="56">
        <f>Input!G9</f>
        <v>0</v>
      </c>
      <c r="H9" s="14" t="str">
        <f t="shared" si="2"/>
        <v>22</v>
      </c>
      <c r="I9" s="16">
        <f t="shared" si="3"/>
        <v>8760</v>
      </c>
      <c r="J9" s="61">
        <f t="shared" si="4"/>
        <v>4.200969280657409</v>
      </c>
      <c r="K9" s="34">
        <f t="shared" si="5"/>
        <v>0</v>
      </c>
      <c r="L9" s="34">
        <f t="shared" si="6"/>
        <v>0</v>
      </c>
      <c r="M9" s="34">
        <f t="shared" si="7"/>
        <v>0.71697634596454962</v>
      </c>
      <c r="N9" s="34">
        <f t="shared" si="8"/>
        <v>8.690622375327875E-2</v>
      </c>
      <c r="O9" s="34">
        <f t="shared" si="9"/>
        <v>0</v>
      </c>
      <c r="P9" s="34">
        <f t="shared" si="10"/>
        <v>0</v>
      </c>
      <c r="R9" s="33">
        <f>VLOOKUP(H9,'Emssions Factors'!$F$6:$M$18,2,TRUE)</f>
        <v>4.795627032713937E-4</v>
      </c>
      <c r="S9" s="33">
        <f>VLOOKUP(H9,'Emssions Factors'!$F$6:$M$18,3,TRUE)</f>
        <v>0</v>
      </c>
      <c r="T9" s="33">
        <f>VLOOKUP(H9,'Emssions Factors'!$F$6:$M$18,4,TRUE)</f>
        <v>0</v>
      </c>
      <c r="U9" s="33">
        <f>VLOOKUP(H9,'Emssions Factors'!$F$6:$M$18,5,TRUE)</f>
        <v>8.1846614836135796E-5</v>
      </c>
      <c r="V9" s="33">
        <f>VLOOKUP(H9,'Emssions Factors'!$F$6:$M$18,6,TRUE)</f>
        <v>9.9208017983194923E-6</v>
      </c>
      <c r="W9" s="33">
        <f>VLOOKUP(H9,'Emssions Factors'!$F$6:$M$18,7,TRUE)</f>
        <v>0</v>
      </c>
      <c r="X9" s="33">
        <f>VLOOKUP(H9,'Emssions Factors'!$F$6:$M$18,8,TRUE)</f>
        <v>0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2</v>
      </c>
      <c r="F10" s="56">
        <f>Input!F10</f>
        <v>35</v>
      </c>
      <c r="G10" s="56">
        <f>Input!G10</f>
        <v>0</v>
      </c>
      <c r="H10" s="14" t="str">
        <f t="shared" si="2"/>
        <v>22</v>
      </c>
      <c r="I10" s="16">
        <f t="shared" si="3"/>
        <v>10220</v>
      </c>
      <c r="J10" s="61">
        <f t="shared" si="4"/>
        <v>4.9011308274336436</v>
      </c>
      <c r="K10" s="34">
        <f t="shared" si="5"/>
        <v>0</v>
      </c>
      <c r="L10" s="34">
        <f t="shared" si="6"/>
        <v>0</v>
      </c>
      <c r="M10" s="34">
        <f t="shared" si="7"/>
        <v>0.83647240362530784</v>
      </c>
      <c r="N10" s="34">
        <f t="shared" si="8"/>
        <v>0.10139059437882521</v>
      </c>
      <c r="O10" s="34">
        <f t="shared" si="9"/>
        <v>0</v>
      </c>
      <c r="P10" s="34">
        <f t="shared" si="10"/>
        <v>0</v>
      </c>
      <c r="R10" s="33">
        <f>VLOOKUP(H10,'Emssions Factors'!$F$6:$M$18,2,TRUE)</f>
        <v>4.795627032713937E-4</v>
      </c>
      <c r="S10" s="33">
        <f>VLOOKUP(H10,'Emssions Factors'!$F$6:$M$18,3,TRUE)</f>
        <v>0</v>
      </c>
      <c r="T10" s="33">
        <f>VLOOKUP(H10,'Emssions Factors'!$F$6:$M$18,4,TRUE)</f>
        <v>0</v>
      </c>
      <c r="U10" s="33">
        <f>VLOOKUP(H10,'Emssions Factors'!$F$6:$M$18,5,TRUE)</f>
        <v>8.1846614836135796E-5</v>
      </c>
      <c r="V10" s="33">
        <f>VLOOKUP(H10,'Emssions Factors'!$F$6:$M$18,6,TRUE)</f>
        <v>9.9208017983194923E-6</v>
      </c>
      <c r="W10" s="33">
        <f>VLOOKUP(H10,'Emssions Factors'!$F$6:$M$18,7,TRUE)</f>
        <v>0</v>
      </c>
      <c r="X10" s="33">
        <f>VLOOKUP(H10,'Emssions Factors'!$F$6:$M$18,8,TRUE)</f>
        <v>0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2</v>
      </c>
      <c r="F11" s="56">
        <f>Input!F11</f>
        <v>40</v>
      </c>
      <c r="G11" s="56">
        <f>Input!G11</f>
        <v>0</v>
      </c>
      <c r="H11" s="14" t="str">
        <f t="shared" si="2"/>
        <v>22</v>
      </c>
      <c r="I11" s="16">
        <f t="shared" si="3"/>
        <v>11680</v>
      </c>
      <c r="J11" s="61">
        <f t="shared" si="4"/>
        <v>5.6012923742098781</v>
      </c>
      <c r="K11" s="34">
        <f t="shared" si="5"/>
        <v>0</v>
      </c>
      <c r="L11" s="34">
        <f t="shared" si="6"/>
        <v>0</v>
      </c>
      <c r="M11" s="34">
        <f t="shared" si="7"/>
        <v>0.95596846128606605</v>
      </c>
      <c r="N11" s="34">
        <f t="shared" si="8"/>
        <v>0.11587496500437167</v>
      </c>
      <c r="O11" s="34">
        <f t="shared" si="9"/>
        <v>0</v>
      </c>
      <c r="P11" s="34">
        <f t="shared" si="10"/>
        <v>0</v>
      </c>
      <c r="R11" s="33">
        <f>VLOOKUP(H11,'Emssions Factors'!$F$6:$M$18,2,TRUE)</f>
        <v>4.795627032713937E-4</v>
      </c>
      <c r="S11" s="33">
        <f>VLOOKUP(H11,'Emssions Factors'!$F$6:$M$18,3,TRUE)</f>
        <v>0</v>
      </c>
      <c r="T11" s="33">
        <f>VLOOKUP(H11,'Emssions Factors'!$F$6:$M$18,4,TRUE)</f>
        <v>0</v>
      </c>
      <c r="U11" s="33">
        <f>VLOOKUP(H11,'Emssions Factors'!$F$6:$M$18,5,TRUE)</f>
        <v>8.1846614836135796E-5</v>
      </c>
      <c r="V11" s="33">
        <f>VLOOKUP(H11,'Emssions Factors'!$F$6:$M$18,6,TRUE)</f>
        <v>9.9208017983194923E-6</v>
      </c>
      <c r="W11" s="33">
        <f>VLOOKUP(H11,'Emssions Factors'!$F$6:$M$18,7,TRUE)</f>
        <v>0</v>
      </c>
      <c r="X11" s="33">
        <f>VLOOKUP(H11,'Emssions Factors'!$F$6:$M$18,8,TRUE)</f>
        <v>0</v>
      </c>
    </row>
    <row r="12" spans="2:24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2</v>
      </c>
      <c r="F12" s="56">
        <f>Input!F12</f>
        <v>45</v>
      </c>
      <c r="G12" s="56">
        <f>Input!G12</f>
        <v>0</v>
      </c>
      <c r="H12" s="14" t="str">
        <f t="shared" si="2"/>
        <v>22</v>
      </c>
      <c r="I12" s="16">
        <f t="shared" si="3"/>
        <v>13140</v>
      </c>
      <c r="J12" s="61">
        <f t="shared" si="4"/>
        <v>6.3014539209861136</v>
      </c>
      <c r="K12" s="34">
        <f t="shared" si="5"/>
        <v>0</v>
      </c>
      <c r="L12" s="34">
        <f t="shared" si="6"/>
        <v>0</v>
      </c>
      <c r="M12" s="34">
        <f t="shared" si="7"/>
        <v>1.0754645189468244</v>
      </c>
      <c r="N12" s="34">
        <f t="shared" si="8"/>
        <v>0.13035933562991814</v>
      </c>
      <c r="O12" s="34">
        <f t="shared" si="9"/>
        <v>0</v>
      </c>
      <c r="P12" s="34">
        <f t="shared" si="10"/>
        <v>0</v>
      </c>
      <c r="R12" s="33">
        <f>VLOOKUP(H12,'Emssions Factors'!$F$6:$M$18,2,TRUE)</f>
        <v>4.795627032713937E-4</v>
      </c>
      <c r="S12" s="33">
        <f>VLOOKUP(H12,'Emssions Factors'!$F$6:$M$18,3,TRUE)</f>
        <v>0</v>
      </c>
      <c r="T12" s="33">
        <f>VLOOKUP(H12,'Emssions Factors'!$F$6:$M$18,4,TRUE)</f>
        <v>0</v>
      </c>
      <c r="U12" s="33">
        <f>VLOOKUP(H12,'Emssions Factors'!$F$6:$M$18,5,TRUE)</f>
        <v>8.1846614836135796E-5</v>
      </c>
      <c r="V12" s="33">
        <f>VLOOKUP(H12,'Emssions Factors'!$F$6:$M$18,6,TRUE)</f>
        <v>9.9208017983194923E-6</v>
      </c>
      <c r="W12" s="33">
        <f>VLOOKUP(H12,'Emssions Factors'!$F$6:$M$18,7,TRUE)</f>
        <v>0</v>
      </c>
      <c r="X12" s="33">
        <f>VLOOKUP(H12,'Emssions Factors'!$F$6:$M$18,8,TRUE)</f>
        <v>0</v>
      </c>
    </row>
    <row r="13" spans="2:24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2</v>
      </c>
      <c r="F13" s="56">
        <f>Input!F13</f>
        <v>50</v>
      </c>
      <c r="G13" s="56">
        <f>Input!G13</f>
        <v>0</v>
      </c>
      <c r="H13" s="14" t="str">
        <f t="shared" si="2"/>
        <v>22</v>
      </c>
      <c r="I13" s="16">
        <f t="shared" si="3"/>
        <v>14600</v>
      </c>
      <c r="J13" s="61">
        <f t="shared" si="4"/>
        <v>7.0016154677623481</v>
      </c>
      <c r="K13" s="34">
        <f t="shared" si="5"/>
        <v>0</v>
      </c>
      <c r="L13" s="34">
        <f t="shared" si="6"/>
        <v>0</v>
      </c>
      <c r="M13" s="34">
        <f t="shared" si="7"/>
        <v>1.1949605766075826</v>
      </c>
      <c r="N13" s="34">
        <f t="shared" si="8"/>
        <v>0.14484370625546458</v>
      </c>
      <c r="O13" s="34">
        <f t="shared" si="9"/>
        <v>0</v>
      </c>
      <c r="P13" s="34">
        <f t="shared" si="10"/>
        <v>0</v>
      </c>
      <c r="R13" s="33">
        <f>VLOOKUP(H13,'Emssions Factors'!$F$6:$M$18,2,TRUE)</f>
        <v>4.795627032713937E-4</v>
      </c>
      <c r="S13" s="33">
        <f>VLOOKUP(H13,'Emssions Factors'!$F$6:$M$18,3,TRUE)</f>
        <v>0</v>
      </c>
      <c r="T13" s="33">
        <f>VLOOKUP(H13,'Emssions Factors'!$F$6:$M$18,4,TRUE)</f>
        <v>0</v>
      </c>
      <c r="U13" s="33">
        <f>VLOOKUP(H13,'Emssions Factors'!$F$6:$M$18,5,TRUE)</f>
        <v>8.1846614836135796E-5</v>
      </c>
      <c r="V13" s="33">
        <f>VLOOKUP(H13,'Emssions Factors'!$F$6:$M$18,6,TRUE)</f>
        <v>9.9208017983194923E-6</v>
      </c>
      <c r="W13" s="33">
        <f>VLOOKUP(H13,'Emssions Factors'!$F$6:$M$18,7,TRUE)</f>
        <v>0</v>
      </c>
      <c r="X13" s="33">
        <f>VLOOKUP(H13,'Emssions Factors'!$F$6:$M$18,8,TRUE)</f>
        <v>0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2</v>
      </c>
      <c r="F14" s="56">
        <f>Input!F14</f>
        <v>55</v>
      </c>
      <c r="G14" s="56">
        <f>Input!G14</f>
        <v>0</v>
      </c>
      <c r="H14" s="14" t="str">
        <f t="shared" si="2"/>
        <v>22</v>
      </c>
      <c r="I14" s="16">
        <f t="shared" si="3"/>
        <v>16060</v>
      </c>
      <c r="J14" s="61">
        <f t="shared" si="4"/>
        <v>7.7017770145385827</v>
      </c>
      <c r="K14" s="34">
        <f t="shared" si="5"/>
        <v>0</v>
      </c>
      <c r="L14" s="34">
        <f t="shared" si="6"/>
        <v>0</v>
      </c>
      <c r="M14" s="34">
        <f t="shared" si="7"/>
        <v>1.3144566342683408</v>
      </c>
      <c r="N14" s="34">
        <f t="shared" si="8"/>
        <v>0.15932807688101105</v>
      </c>
      <c r="O14" s="34">
        <f t="shared" si="9"/>
        <v>0</v>
      </c>
      <c r="P14" s="34">
        <f t="shared" si="10"/>
        <v>0</v>
      </c>
      <c r="R14" s="33">
        <f>VLOOKUP(H14,'Emssions Factors'!$F$6:$M$18,2,TRUE)</f>
        <v>4.795627032713937E-4</v>
      </c>
      <c r="S14" s="33">
        <f>VLOOKUP(H14,'Emssions Factors'!$F$6:$M$18,3,TRUE)</f>
        <v>0</v>
      </c>
      <c r="T14" s="33">
        <f>VLOOKUP(H14,'Emssions Factors'!$F$6:$M$18,4,TRUE)</f>
        <v>0</v>
      </c>
      <c r="U14" s="33">
        <f>VLOOKUP(H14,'Emssions Factors'!$F$6:$M$18,5,TRUE)</f>
        <v>8.1846614836135796E-5</v>
      </c>
      <c r="V14" s="33">
        <f>VLOOKUP(H14,'Emssions Factors'!$F$6:$M$18,6,TRUE)</f>
        <v>9.9208017983194923E-6</v>
      </c>
      <c r="W14" s="33">
        <f>VLOOKUP(H14,'Emssions Factors'!$F$6:$M$18,7,TRUE)</f>
        <v>0</v>
      </c>
      <c r="X14" s="33">
        <f>VLOOKUP(H14,'Emssions Factors'!$F$6:$M$18,8,TRUE)</f>
        <v>0</v>
      </c>
    </row>
    <row r="15" spans="2:24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2</v>
      </c>
      <c r="F15" s="56">
        <f>Input!F15</f>
        <v>60</v>
      </c>
      <c r="G15" s="56">
        <f>Input!G15</f>
        <v>0</v>
      </c>
      <c r="H15" s="14" t="str">
        <f t="shared" si="2"/>
        <v>22</v>
      </c>
      <c r="I15" s="16">
        <f t="shared" si="3"/>
        <v>17520</v>
      </c>
      <c r="J15" s="61">
        <f t="shared" si="4"/>
        <v>8.4019385613148181</v>
      </c>
      <c r="K15" s="34">
        <f t="shared" si="5"/>
        <v>0</v>
      </c>
      <c r="L15" s="34">
        <f t="shared" si="6"/>
        <v>0</v>
      </c>
      <c r="M15" s="34">
        <f t="shared" si="7"/>
        <v>1.4339526919290992</v>
      </c>
      <c r="N15" s="34">
        <f t="shared" si="8"/>
        <v>0.1738124475065575</v>
      </c>
      <c r="O15" s="34">
        <f t="shared" si="9"/>
        <v>0</v>
      </c>
      <c r="P15" s="34">
        <f t="shared" si="10"/>
        <v>0</v>
      </c>
      <c r="R15" s="33">
        <f>VLOOKUP(H15,'Emssions Factors'!$F$6:$M$18,2,TRUE)</f>
        <v>4.795627032713937E-4</v>
      </c>
      <c r="S15" s="33">
        <f>VLOOKUP(H15,'Emssions Factors'!$F$6:$M$18,3,TRUE)</f>
        <v>0</v>
      </c>
      <c r="T15" s="33">
        <f>VLOOKUP(H15,'Emssions Factors'!$F$6:$M$18,4,TRUE)</f>
        <v>0</v>
      </c>
      <c r="U15" s="33">
        <f>VLOOKUP(H15,'Emssions Factors'!$F$6:$M$18,5,TRUE)</f>
        <v>8.1846614836135796E-5</v>
      </c>
      <c r="V15" s="33">
        <f>VLOOKUP(H15,'Emssions Factors'!$F$6:$M$18,6,TRUE)</f>
        <v>9.9208017983194923E-6</v>
      </c>
      <c r="W15" s="33">
        <f>VLOOKUP(H15,'Emssions Factors'!$F$6:$M$18,7,TRUE)</f>
        <v>0</v>
      </c>
      <c r="X15" s="33">
        <f>VLOOKUP(H15,'Emssions Factors'!$F$6:$M$18,8,TRUE)</f>
        <v>0</v>
      </c>
    </row>
    <row r="16" spans="2:24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2</v>
      </c>
      <c r="F16" s="56">
        <f>Input!F16</f>
        <v>65</v>
      </c>
      <c r="G16" s="56">
        <f>Input!G16</f>
        <v>0</v>
      </c>
      <c r="H16" s="14" t="str">
        <f t="shared" si="2"/>
        <v>22</v>
      </c>
      <c r="I16" s="16">
        <f t="shared" si="3"/>
        <v>18980</v>
      </c>
      <c r="J16" s="61">
        <f t="shared" si="4"/>
        <v>9.1021001080910526</v>
      </c>
      <c r="K16" s="34">
        <f t="shared" si="5"/>
        <v>0</v>
      </c>
      <c r="L16" s="34">
        <f t="shared" si="6"/>
        <v>0</v>
      </c>
      <c r="M16" s="34">
        <f t="shared" si="7"/>
        <v>1.5534487495898575</v>
      </c>
      <c r="N16" s="34">
        <f t="shared" si="8"/>
        <v>0.18829681813210397</v>
      </c>
      <c r="O16" s="34">
        <f t="shared" si="9"/>
        <v>0</v>
      </c>
      <c r="P16" s="34">
        <f t="shared" si="10"/>
        <v>0</v>
      </c>
      <c r="R16" s="33">
        <f>VLOOKUP(H16,'Emssions Factors'!$F$6:$M$18,2,TRUE)</f>
        <v>4.795627032713937E-4</v>
      </c>
      <c r="S16" s="33">
        <f>VLOOKUP(H16,'Emssions Factors'!$F$6:$M$18,3,TRUE)</f>
        <v>0</v>
      </c>
      <c r="T16" s="33">
        <f>VLOOKUP(H16,'Emssions Factors'!$F$6:$M$18,4,TRUE)</f>
        <v>0</v>
      </c>
      <c r="U16" s="33">
        <f>VLOOKUP(H16,'Emssions Factors'!$F$6:$M$18,5,TRUE)</f>
        <v>8.1846614836135796E-5</v>
      </c>
      <c r="V16" s="33">
        <f>VLOOKUP(H16,'Emssions Factors'!$F$6:$M$18,6,TRUE)</f>
        <v>9.9208017983194923E-6</v>
      </c>
      <c r="W16" s="33">
        <f>VLOOKUP(H16,'Emssions Factors'!$F$6:$M$18,7,TRUE)</f>
        <v>0</v>
      </c>
      <c r="X16" s="33">
        <f>VLOOKUP(H16,'Emssions Factors'!$F$6:$M$18,8,TRUE)</f>
        <v>0</v>
      </c>
    </row>
    <row r="17" spans="2:24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2</v>
      </c>
      <c r="F17" s="56">
        <f>Input!F17</f>
        <v>70</v>
      </c>
      <c r="G17" s="56">
        <f>Input!G17</f>
        <v>0</v>
      </c>
      <c r="H17" s="14" t="str">
        <f t="shared" si="2"/>
        <v>22</v>
      </c>
      <c r="I17" s="16">
        <f t="shared" si="3"/>
        <v>20440</v>
      </c>
      <c r="J17" s="61">
        <f t="shared" si="4"/>
        <v>9.8022616548672872</v>
      </c>
      <c r="K17" s="34">
        <f t="shared" si="5"/>
        <v>0</v>
      </c>
      <c r="L17" s="34">
        <f t="shared" si="6"/>
        <v>0</v>
      </c>
      <c r="M17" s="34">
        <f t="shared" si="7"/>
        <v>1.6729448072506157</v>
      </c>
      <c r="N17" s="34">
        <f t="shared" si="8"/>
        <v>0.20278118875765042</v>
      </c>
      <c r="O17" s="34">
        <f t="shared" si="9"/>
        <v>0</v>
      </c>
      <c r="P17" s="34">
        <f t="shared" si="10"/>
        <v>0</v>
      </c>
      <c r="R17" s="33">
        <f>VLOOKUP(H17,'Emssions Factors'!$F$6:$M$18,2,TRUE)</f>
        <v>4.795627032713937E-4</v>
      </c>
      <c r="S17" s="33">
        <f>VLOOKUP(H17,'Emssions Factors'!$F$6:$M$18,3,TRUE)</f>
        <v>0</v>
      </c>
      <c r="T17" s="33">
        <f>VLOOKUP(H17,'Emssions Factors'!$F$6:$M$18,4,TRUE)</f>
        <v>0</v>
      </c>
      <c r="U17" s="33">
        <f>VLOOKUP(H17,'Emssions Factors'!$F$6:$M$18,5,TRUE)</f>
        <v>8.1846614836135796E-5</v>
      </c>
      <c r="V17" s="33">
        <f>VLOOKUP(H17,'Emssions Factors'!$F$6:$M$18,6,TRUE)</f>
        <v>9.9208017983194923E-6</v>
      </c>
      <c r="W17" s="33">
        <f>VLOOKUP(H17,'Emssions Factors'!$F$6:$M$18,7,TRUE)</f>
        <v>0</v>
      </c>
      <c r="X17" s="33">
        <f>VLOOKUP(H17,'Emssions Factors'!$F$6:$M$18,8,TRUE)</f>
        <v>0</v>
      </c>
    </row>
    <row r="18" spans="2:24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2</v>
      </c>
      <c r="F18" s="56">
        <f>Input!F18</f>
        <v>75</v>
      </c>
      <c r="G18" s="56">
        <f>Input!G18</f>
        <v>0</v>
      </c>
      <c r="H18" s="14" t="str">
        <f t="shared" si="2"/>
        <v>22</v>
      </c>
      <c r="I18" s="16">
        <f t="shared" si="3"/>
        <v>21900</v>
      </c>
      <c r="J18" s="61">
        <f t="shared" si="4"/>
        <v>10.502423201643522</v>
      </c>
      <c r="K18" s="34">
        <f t="shared" si="5"/>
        <v>0</v>
      </c>
      <c r="L18" s="34">
        <f t="shared" si="6"/>
        <v>0</v>
      </c>
      <c r="M18" s="34">
        <f t="shared" si="7"/>
        <v>1.7924408649113739</v>
      </c>
      <c r="N18" s="34">
        <f t="shared" si="8"/>
        <v>0.21726555938319689</v>
      </c>
      <c r="O18" s="34">
        <f t="shared" si="9"/>
        <v>0</v>
      </c>
      <c r="P18" s="34">
        <f t="shared" si="10"/>
        <v>0</v>
      </c>
      <c r="R18" s="33">
        <f>VLOOKUP(H18,'Emssions Factors'!$F$6:$M$18,2,TRUE)</f>
        <v>4.795627032713937E-4</v>
      </c>
      <c r="S18" s="33">
        <f>VLOOKUP(H18,'Emssions Factors'!$F$6:$M$18,3,TRUE)</f>
        <v>0</v>
      </c>
      <c r="T18" s="33">
        <f>VLOOKUP(H18,'Emssions Factors'!$F$6:$M$18,4,TRUE)</f>
        <v>0</v>
      </c>
      <c r="U18" s="33">
        <f>VLOOKUP(H18,'Emssions Factors'!$F$6:$M$18,5,TRUE)</f>
        <v>8.1846614836135796E-5</v>
      </c>
      <c r="V18" s="33">
        <f>VLOOKUP(H18,'Emssions Factors'!$F$6:$M$18,6,TRUE)</f>
        <v>9.9208017983194923E-6</v>
      </c>
      <c r="W18" s="33">
        <f>VLOOKUP(H18,'Emssions Factors'!$F$6:$M$18,7,TRUE)</f>
        <v>0</v>
      </c>
      <c r="X18" s="33">
        <f>VLOOKUP(H18,'Emssions Factors'!$F$6:$M$18,8,TRUE)</f>
        <v>0</v>
      </c>
    </row>
    <row r="19" spans="2:24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80</v>
      </c>
      <c r="G19" s="56">
        <f>Input!G19</f>
        <v>0</v>
      </c>
      <c r="H19" s="14" t="str">
        <f t="shared" si="2"/>
        <v>22</v>
      </c>
      <c r="I19" s="16">
        <f t="shared" si="3"/>
        <v>23360</v>
      </c>
      <c r="J19" s="61">
        <f t="shared" si="4"/>
        <v>11.202584748419756</v>
      </c>
      <c r="K19" s="34">
        <f t="shared" si="5"/>
        <v>0</v>
      </c>
      <c r="L19" s="34">
        <f t="shared" si="6"/>
        <v>0</v>
      </c>
      <c r="M19" s="34">
        <f t="shared" si="7"/>
        <v>1.9119369225721321</v>
      </c>
      <c r="N19" s="34">
        <f t="shared" si="8"/>
        <v>0.23174993000874333</v>
      </c>
      <c r="O19" s="34">
        <f t="shared" si="9"/>
        <v>0</v>
      </c>
      <c r="P19" s="34">
        <f t="shared" si="10"/>
        <v>0</v>
      </c>
      <c r="R19" s="33">
        <f>VLOOKUP(H19,'Emssions Factors'!$F$6:$M$18,2,TRUE)</f>
        <v>4.795627032713937E-4</v>
      </c>
      <c r="S19" s="33">
        <f>VLOOKUP(H19,'Emssions Factors'!$F$6:$M$18,3,TRUE)</f>
        <v>0</v>
      </c>
      <c r="T19" s="33">
        <f>VLOOKUP(H19,'Emssions Factors'!$F$6:$M$18,4,TRUE)</f>
        <v>0</v>
      </c>
      <c r="U19" s="33">
        <f>VLOOKUP(H19,'Emssions Factors'!$F$6:$M$18,5,TRUE)</f>
        <v>8.1846614836135796E-5</v>
      </c>
      <c r="V19" s="33">
        <f>VLOOKUP(H19,'Emssions Factors'!$F$6:$M$18,6,TRUE)</f>
        <v>9.9208017983194923E-6</v>
      </c>
      <c r="W19" s="33">
        <f>VLOOKUP(H19,'Emssions Factors'!$F$6:$M$18,7,TRUE)</f>
        <v>0</v>
      </c>
      <c r="X19" s="33">
        <f>VLOOKUP(H19,'Emssions Factors'!$F$6:$M$18,8,TRUE)</f>
        <v>0</v>
      </c>
    </row>
    <row r="20" spans="2:24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85</v>
      </c>
      <c r="G20" s="56">
        <f>Input!G20</f>
        <v>0</v>
      </c>
      <c r="H20" s="14" t="str">
        <f t="shared" si="2"/>
        <v>22</v>
      </c>
      <c r="I20" s="16">
        <f t="shared" si="3"/>
        <v>24820</v>
      </c>
      <c r="J20" s="61">
        <f t="shared" si="4"/>
        <v>11.902746295195993</v>
      </c>
      <c r="K20" s="34">
        <f t="shared" si="5"/>
        <v>0</v>
      </c>
      <c r="L20" s="34">
        <f t="shared" si="6"/>
        <v>0</v>
      </c>
      <c r="M20" s="34">
        <f t="shared" si="7"/>
        <v>2.0314329802328905</v>
      </c>
      <c r="N20" s="34">
        <f t="shared" si="8"/>
        <v>0.2462343006342898</v>
      </c>
      <c r="O20" s="34">
        <f t="shared" si="9"/>
        <v>0</v>
      </c>
      <c r="P20" s="34">
        <f t="shared" si="10"/>
        <v>0</v>
      </c>
      <c r="R20" s="33">
        <f>VLOOKUP(H20,'Emssions Factors'!$F$6:$M$18,2,TRUE)</f>
        <v>4.795627032713937E-4</v>
      </c>
      <c r="S20" s="33">
        <f>VLOOKUP(H20,'Emssions Factors'!$F$6:$M$18,3,TRUE)</f>
        <v>0</v>
      </c>
      <c r="T20" s="33">
        <f>VLOOKUP(H20,'Emssions Factors'!$F$6:$M$18,4,TRUE)</f>
        <v>0</v>
      </c>
      <c r="U20" s="33">
        <f>VLOOKUP(H20,'Emssions Factors'!$F$6:$M$18,5,TRUE)</f>
        <v>8.1846614836135796E-5</v>
      </c>
      <c r="V20" s="33">
        <f>VLOOKUP(H20,'Emssions Factors'!$F$6:$M$18,6,TRUE)</f>
        <v>9.9208017983194923E-6</v>
      </c>
      <c r="W20" s="33">
        <f>VLOOKUP(H20,'Emssions Factors'!$F$6:$M$18,7,TRUE)</f>
        <v>0</v>
      </c>
      <c r="X20" s="33">
        <f>VLOOKUP(H20,'Emssions Factors'!$F$6:$M$18,8,TRUE)</f>
        <v>0</v>
      </c>
    </row>
    <row r="21" spans="2:24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90</v>
      </c>
      <c r="G21" s="56">
        <f>Input!G21</f>
        <v>0</v>
      </c>
      <c r="H21" s="14" t="str">
        <f t="shared" si="2"/>
        <v>22</v>
      </c>
      <c r="I21" s="16">
        <f t="shared" si="3"/>
        <v>26280</v>
      </c>
      <c r="J21" s="61">
        <f t="shared" si="4"/>
        <v>12.602907841972227</v>
      </c>
      <c r="K21" s="34">
        <f t="shared" si="5"/>
        <v>0</v>
      </c>
      <c r="L21" s="34">
        <f t="shared" si="6"/>
        <v>0</v>
      </c>
      <c r="M21" s="34">
        <f t="shared" si="7"/>
        <v>2.1509290378936488</v>
      </c>
      <c r="N21" s="34">
        <f t="shared" si="8"/>
        <v>0.26071867125983628</v>
      </c>
      <c r="O21" s="34">
        <f t="shared" si="9"/>
        <v>0</v>
      </c>
      <c r="P21" s="34">
        <f t="shared" si="10"/>
        <v>0</v>
      </c>
      <c r="R21" s="33">
        <f>VLOOKUP(H21,'Emssions Factors'!$F$6:$M$18,2,TRUE)</f>
        <v>4.795627032713937E-4</v>
      </c>
      <c r="S21" s="33">
        <f>VLOOKUP(H21,'Emssions Factors'!$F$6:$M$18,3,TRUE)</f>
        <v>0</v>
      </c>
      <c r="T21" s="33">
        <f>VLOOKUP(H21,'Emssions Factors'!$F$6:$M$18,4,TRUE)</f>
        <v>0</v>
      </c>
      <c r="U21" s="33">
        <f>VLOOKUP(H21,'Emssions Factors'!$F$6:$M$18,5,TRUE)</f>
        <v>8.1846614836135796E-5</v>
      </c>
      <c r="V21" s="33">
        <f>VLOOKUP(H21,'Emssions Factors'!$F$6:$M$18,6,TRUE)</f>
        <v>9.9208017983194923E-6</v>
      </c>
      <c r="W21" s="33">
        <f>VLOOKUP(H21,'Emssions Factors'!$F$6:$M$18,7,TRUE)</f>
        <v>0</v>
      </c>
      <c r="X21" s="33">
        <f>VLOOKUP(H21,'Emssions Factors'!$F$6:$M$18,8,TRUE)</f>
        <v>0</v>
      </c>
    </row>
    <row r="22" spans="2:24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95</v>
      </c>
      <c r="G22" s="56">
        <f>Input!G22</f>
        <v>0</v>
      </c>
      <c r="H22" s="14" t="str">
        <f t="shared" si="2"/>
        <v>22</v>
      </c>
      <c r="I22" s="16">
        <f t="shared" si="3"/>
        <v>27740</v>
      </c>
      <c r="J22" s="61">
        <f t="shared" si="4"/>
        <v>13.303069388748462</v>
      </c>
      <c r="K22" s="34">
        <f t="shared" si="5"/>
        <v>0</v>
      </c>
      <c r="L22" s="34">
        <f t="shared" si="6"/>
        <v>0</v>
      </c>
      <c r="M22" s="34">
        <f t="shared" si="7"/>
        <v>2.270425095554407</v>
      </c>
      <c r="N22" s="34">
        <f t="shared" si="8"/>
        <v>0.27520304188538269</v>
      </c>
      <c r="O22" s="34">
        <f t="shared" si="9"/>
        <v>0</v>
      </c>
      <c r="P22" s="34">
        <f t="shared" si="10"/>
        <v>0</v>
      </c>
      <c r="R22" s="33">
        <f>VLOOKUP(H22,'Emssions Factors'!$F$6:$M$18,2,TRUE)</f>
        <v>4.795627032713937E-4</v>
      </c>
      <c r="S22" s="33">
        <f>VLOOKUP(H22,'Emssions Factors'!$F$6:$M$18,3,TRUE)</f>
        <v>0</v>
      </c>
      <c r="T22" s="33">
        <f>VLOOKUP(H22,'Emssions Factors'!$F$6:$M$18,4,TRUE)</f>
        <v>0</v>
      </c>
      <c r="U22" s="33">
        <f>VLOOKUP(H22,'Emssions Factors'!$F$6:$M$18,5,TRUE)</f>
        <v>8.1846614836135796E-5</v>
      </c>
      <c r="V22" s="33">
        <f>VLOOKUP(H22,'Emssions Factors'!$F$6:$M$18,6,TRUE)</f>
        <v>9.9208017983194923E-6</v>
      </c>
      <c r="W22" s="33">
        <f>VLOOKUP(H22,'Emssions Factors'!$F$6:$M$18,7,TRUE)</f>
        <v>0</v>
      </c>
      <c r="X22" s="33">
        <f>VLOOKUP(H22,'Emssions Factors'!$F$6:$M$18,8,TRUE)</f>
        <v>0</v>
      </c>
    </row>
    <row r="23" spans="2:24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100</v>
      </c>
      <c r="G23" s="56">
        <f>Input!G23</f>
        <v>0</v>
      </c>
      <c r="H23" s="14" t="str">
        <f t="shared" si="2"/>
        <v>22</v>
      </c>
      <c r="I23" s="16">
        <f t="shared" si="3"/>
        <v>29200</v>
      </c>
      <c r="J23" s="61">
        <f t="shared" si="4"/>
        <v>14.003230935524696</v>
      </c>
      <c r="K23" s="34">
        <f t="shared" si="5"/>
        <v>0</v>
      </c>
      <c r="L23" s="34">
        <f t="shared" si="6"/>
        <v>0</v>
      </c>
      <c r="M23" s="34">
        <f t="shared" si="7"/>
        <v>2.3899211532151652</v>
      </c>
      <c r="N23" s="34">
        <f t="shared" si="8"/>
        <v>0.28968741251092917</v>
      </c>
      <c r="O23" s="34">
        <f t="shared" si="9"/>
        <v>0</v>
      </c>
      <c r="P23" s="34">
        <f t="shared" si="10"/>
        <v>0</v>
      </c>
      <c r="R23" s="33">
        <f>VLOOKUP(H23,'Emssions Factors'!$F$6:$M$18,2,TRUE)</f>
        <v>4.795627032713937E-4</v>
      </c>
      <c r="S23" s="33">
        <f>VLOOKUP(H23,'Emssions Factors'!$F$6:$M$18,3,TRUE)</f>
        <v>0</v>
      </c>
      <c r="T23" s="33">
        <f>VLOOKUP(H23,'Emssions Factors'!$F$6:$M$18,4,TRUE)</f>
        <v>0</v>
      </c>
      <c r="U23" s="33">
        <f>VLOOKUP(H23,'Emssions Factors'!$F$6:$M$18,5,TRUE)</f>
        <v>8.1846614836135796E-5</v>
      </c>
      <c r="V23" s="33">
        <f>VLOOKUP(H23,'Emssions Factors'!$F$6:$M$18,6,TRUE)</f>
        <v>9.9208017983194923E-6</v>
      </c>
      <c r="W23" s="33">
        <f>VLOOKUP(H23,'Emssions Factors'!$F$6:$M$18,7,TRUE)</f>
        <v>0</v>
      </c>
      <c r="X23" s="33">
        <f>VLOOKUP(H23,'Emssions Factors'!$F$6:$M$18,8,TRUE)</f>
        <v>0</v>
      </c>
    </row>
    <row r="24" spans="2:24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2"/>
        <v>00</v>
      </c>
      <c r="I24" s="16">
        <f t="shared" si="3"/>
        <v>0</v>
      </c>
      <c r="J24" s="61" t="e">
        <f t="shared" si="4"/>
        <v>#N/A</v>
      </c>
      <c r="K24" s="34" t="e">
        <f t="shared" si="5"/>
        <v>#N/A</v>
      </c>
      <c r="L24" s="34" t="e">
        <f t="shared" si="6"/>
        <v>#N/A</v>
      </c>
      <c r="M24" s="34" t="e">
        <f t="shared" si="7"/>
        <v>#N/A</v>
      </c>
      <c r="N24" s="34" t="e">
        <f t="shared" si="8"/>
        <v>#N/A</v>
      </c>
      <c r="O24" s="34" t="e">
        <f t="shared" si="9"/>
        <v>#N/A</v>
      </c>
      <c r="P24" s="34" t="e">
        <f t="shared" si="10"/>
        <v>#N/A</v>
      </c>
      <c r="R24" s="33" t="e">
        <f>VLOOKUP(H24,'Emssions Factors'!$F$6:$M$18,2,TRUE)</f>
        <v>#N/A</v>
      </c>
      <c r="S24" s="33" t="e">
        <f>VLOOKUP(H24,'Emssions Factors'!$F$6:$M$18,3,TRUE)</f>
        <v>#N/A</v>
      </c>
      <c r="T24" s="33" t="e">
        <f>VLOOKUP(H24,'Emssions Factors'!$F$6:$M$18,4,TRUE)</f>
        <v>#N/A</v>
      </c>
      <c r="U24" s="33" t="e">
        <f>VLOOKUP(H24,'Emssions Factors'!$F$6:$M$18,5,TRUE)</f>
        <v>#N/A</v>
      </c>
      <c r="V24" s="33" t="e">
        <f>VLOOKUP(H24,'Emssions Factors'!$F$6:$M$18,6,TRUE)</f>
        <v>#N/A</v>
      </c>
      <c r="W24" s="33" t="e">
        <f>VLOOKUP(H24,'Emssions Factors'!$F$6:$M$18,7,TRUE)</f>
        <v>#N/A</v>
      </c>
      <c r="X24" s="33" t="e">
        <f>VLOOKUP(H24,'Emssions Factors'!$F$6:$M$18,8,TRUE)</f>
        <v>#N/A</v>
      </c>
    </row>
    <row r="25" spans="2:24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2"/>
        <v>00</v>
      </c>
      <c r="I25" s="16">
        <f t="shared" si="3"/>
        <v>0</v>
      </c>
      <c r="J25" s="61" t="e">
        <f t="shared" si="4"/>
        <v>#N/A</v>
      </c>
      <c r="K25" s="34" t="e">
        <f t="shared" si="5"/>
        <v>#N/A</v>
      </c>
      <c r="L25" s="34" t="e">
        <f t="shared" si="6"/>
        <v>#N/A</v>
      </c>
      <c r="M25" s="34" t="e">
        <f t="shared" si="7"/>
        <v>#N/A</v>
      </c>
      <c r="N25" s="34" t="e">
        <f t="shared" si="8"/>
        <v>#N/A</v>
      </c>
      <c r="O25" s="34" t="e">
        <f t="shared" si="9"/>
        <v>#N/A</v>
      </c>
      <c r="P25" s="34" t="e">
        <f t="shared" si="10"/>
        <v>#N/A</v>
      </c>
      <c r="R25" s="33" t="e">
        <f>VLOOKUP(H25,'Emssions Factors'!$F$6:$M$18,2,TRUE)</f>
        <v>#N/A</v>
      </c>
      <c r="S25" s="33" t="e">
        <f>VLOOKUP(H25,'Emssions Factors'!$F$6:$M$18,3,TRUE)</f>
        <v>#N/A</v>
      </c>
      <c r="T25" s="33" t="e">
        <f>VLOOKUP(H25,'Emssions Factors'!$F$6:$M$18,4,TRUE)</f>
        <v>#N/A</v>
      </c>
      <c r="U25" s="33" t="e">
        <f>VLOOKUP(H25,'Emssions Factors'!$F$6:$M$18,5,TRUE)</f>
        <v>#N/A</v>
      </c>
      <c r="V25" s="33" t="e">
        <f>VLOOKUP(H25,'Emssions Factors'!$F$6:$M$18,6,TRUE)</f>
        <v>#N/A</v>
      </c>
      <c r="W25" s="33" t="e">
        <f>VLOOKUP(H25,'Emssions Factors'!$F$6:$M$18,7,TRUE)</f>
        <v>#N/A</v>
      </c>
      <c r="X25" s="33" t="e">
        <f>VLOOKUP(H25,'Emssions Factors'!$F$6:$M$18,8,TRUE)</f>
        <v>#N/A</v>
      </c>
    </row>
    <row r="26" spans="2:24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2"/>
        <v>00</v>
      </c>
      <c r="I26" s="16">
        <f t="shared" si="3"/>
        <v>0</v>
      </c>
      <c r="J26" s="61" t="e">
        <f t="shared" si="4"/>
        <v>#N/A</v>
      </c>
      <c r="K26" s="34" t="e">
        <f t="shared" si="5"/>
        <v>#N/A</v>
      </c>
      <c r="L26" s="34" t="e">
        <f t="shared" si="6"/>
        <v>#N/A</v>
      </c>
      <c r="M26" s="34" t="e">
        <f t="shared" si="7"/>
        <v>#N/A</v>
      </c>
      <c r="N26" s="34" t="e">
        <f t="shared" si="8"/>
        <v>#N/A</v>
      </c>
      <c r="O26" s="34" t="e">
        <f t="shared" si="9"/>
        <v>#N/A</v>
      </c>
      <c r="P26" s="34" t="e">
        <f t="shared" si="10"/>
        <v>#N/A</v>
      </c>
      <c r="R26" s="33" t="e">
        <f>VLOOKUP(H26,'Emssions Factors'!$F$6:$M$18,2,TRUE)</f>
        <v>#N/A</v>
      </c>
      <c r="S26" s="33" t="e">
        <f>VLOOKUP(H26,'Emssions Factors'!$F$6:$M$18,3,TRUE)</f>
        <v>#N/A</v>
      </c>
      <c r="T26" s="33" t="e">
        <f>VLOOKUP(H26,'Emssions Factors'!$F$6:$M$18,4,TRUE)</f>
        <v>#N/A</v>
      </c>
      <c r="U26" s="33" t="e">
        <f>VLOOKUP(H26,'Emssions Factors'!$F$6:$M$18,5,TRUE)</f>
        <v>#N/A</v>
      </c>
      <c r="V26" s="33" t="e">
        <f>VLOOKUP(H26,'Emssions Factors'!$F$6:$M$18,6,TRUE)</f>
        <v>#N/A</v>
      </c>
      <c r="W26" s="33" t="e">
        <f>VLOOKUP(H26,'Emssions Factors'!$F$6:$M$18,7,TRUE)</f>
        <v>#N/A</v>
      </c>
      <c r="X26" s="33" t="e">
        <f>VLOOKUP(H26,'Emssions Factors'!$F$6:$M$18,8,TRUE)</f>
        <v>#N/A</v>
      </c>
    </row>
    <row r="27" spans="2:24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2"/>
        <v>00</v>
      </c>
      <c r="I27" s="16">
        <f t="shared" si="3"/>
        <v>0</v>
      </c>
      <c r="J27" s="61" t="e">
        <f t="shared" si="4"/>
        <v>#N/A</v>
      </c>
      <c r="K27" s="34" t="e">
        <f t="shared" si="5"/>
        <v>#N/A</v>
      </c>
      <c r="L27" s="34" t="e">
        <f t="shared" si="6"/>
        <v>#N/A</v>
      </c>
      <c r="M27" s="34" t="e">
        <f t="shared" si="7"/>
        <v>#N/A</v>
      </c>
      <c r="N27" s="34" t="e">
        <f t="shared" si="8"/>
        <v>#N/A</v>
      </c>
      <c r="O27" s="34" t="e">
        <f t="shared" si="9"/>
        <v>#N/A</v>
      </c>
      <c r="P27" s="34" t="e">
        <f t="shared" si="10"/>
        <v>#N/A</v>
      </c>
      <c r="R27" s="33" t="e">
        <f>VLOOKUP(H27,'Emssions Factors'!$F$6:$M$18,2,TRUE)</f>
        <v>#N/A</v>
      </c>
      <c r="S27" s="33" t="e">
        <f>VLOOKUP(H27,'Emssions Factors'!$F$6:$M$18,3,TRUE)</f>
        <v>#N/A</v>
      </c>
      <c r="T27" s="33" t="e">
        <f>VLOOKUP(H27,'Emssions Factors'!$F$6:$M$18,4,TRUE)</f>
        <v>#N/A</v>
      </c>
      <c r="U27" s="33" t="e">
        <f>VLOOKUP(H27,'Emssions Factors'!$F$6:$M$18,5,TRUE)</f>
        <v>#N/A</v>
      </c>
      <c r="V27" s="33" t="e">
        <f>VLOOKUP(H27,'Emssions Factors'!$F$6:$M$18,6,TRUE)</f>
        <v>#N/A</v>
      </c>
      <c r="W27" s="33" t="e">
        <f>VLOOKUP(H27,'Emssions Factors'!$F$6:$M$18,7,TRUE)</f>
        <v>#N/A</v>
      </c>
      <c r="X27" s="33" t="e">
        <f>VLOOKUP(H27,'Emssions Factors'!$F$6:$M$18,8,TRUE)</f>
        <v>#N/A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1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1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1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1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1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1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1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1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1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1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1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1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1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1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1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1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1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1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1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1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1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1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1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1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1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1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1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1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1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1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1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1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1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1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1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1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1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1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1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1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1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1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1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1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1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1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1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1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1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1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1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1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1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1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1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1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1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1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1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1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1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1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1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1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1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1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1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1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1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1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1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1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1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1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1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1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1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1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1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1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1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1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1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1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1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1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1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1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1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1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1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1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1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1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1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1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1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8" sqref="Q8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4" t="s">
        <v>81</v>
      </c>
      <c r="R3" s="65" t="s">
        <v>82</v>
      </c>
      <c r="S3" s="65" t="s">
        <v>83</v>
      </c>
      <c r="T3" s="65" t="s">
        <v>84</v>
      </c>
      <c r="U3" s="65" t="s">
        <v>85</v>
      </c>
      <c r="V3" s="65" t="s">
        <v>86</v>
      </c>
      <c r="W3" s="65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2</v>
      </c>
      <c r="F4" s="56">
        <f>Input!F4</f>
        <v>5</v>
      </c>
      <c r="G4" s="56">
        <f>Input!G4</f>
        <v>0</v>
      </c>
      <c r="H4" s="14" t="str">
        <f>D4&amp;E4</f>
        <v>22</v>
      </c>
      <c r="I4" s="16">
        <f>F4*365*0.8</f>
        <v>1460</v>
      </c>
      <c r="J4" s="36">
        <f t="shared" ref="J4:P6" si="0">$I4*Y4</f>
        <v>0.70016154677623477</v>
      </c>
      <c r="K4" s="34">
        <f t="shared" si="0"/>
        <v>0</v>
      </c>
      <c r="L4" s="34">
        <f t="shared" si="0"/>
        <v>0</v>
      </c>
      <c r="M4" s="34">
        <f t="shared" si="0"/>
        <v>0.11949605766075826</v>
      </c>
      <c r="N4" s="34">
        <f t="shared" si="0"/>
        <v>1.4484370625546458E-2</v>
      </c>
      <c r="O4" s="34">
        <f t="shared" si="0"/>
        <v>0</v>
      </c>
      <c r="P4" s="34">
        <f t="shared" si="0"/>
        <v>0</v>
      </c>
      <c r="Q4" s="37">
        <f>J4*'Externality Factors'!B$17</f>
        <v>28.537181521963387</v>
      </c>
      <c r="R4" s="37">
        <f>K4*'Externality Factors'!C$17</f>
        <v>0</v>
      </c>
      <c r="S4" s="37">
        <f>L4*'Externality Factors'!D$17</f>
        <v>0</v>
      </c>
      <c r="T4" s="37">
        <f>M4*'Externality Factors'!E$17</f>
        <v>4.044858320422585</v>
      </c>
      <c r="U4" s="37">
        <f>N4*'Externality Factors'!F$17</f>
        <v>4.421577115481572</v>
      </c>
      <c r="V4" s="37">
        <f>O4*'Externality Factors'!G$17</f>
        <v>0</v>
      </c>
      <c r="W4" s="37">
        <f>P4*'Externality Factors'!H$17</f>
        <v>0</v>
      </c>
      <c r="Y4" s="33">
        <f>VLOOKUP(H4,'Emssions Factors'!$F$6:$M$18,2,TRUE)</f>
        <v>4.795627032713937E-4</v>
      </c>
      <c r="Z4" s="33">
        <f>VLOOKUP(H4,'Emssions Factors'!$F$6:$M$18,3,TRUE)</f>
        <v>0</v>
      </c>
      <c r="AA4" s="33">
        <f>VLOOKUP(H4,'Emssions Factors'!$F$6:$M$18,4,TRUE)</f>
        <v>0</v>
      </c>
      <c r="AB4" s="33">
        <f>VLOOKUP(H4,'Emssions Factors'!$F$6:$M$18,5,TRUE)</f>
        <v>8.1846614836135796E-5</v>
      </c>
      <c r="AC4" s="33">
        <f>VLOOKUP(H4,'Emssions Factors'!$F$6:$M$18,6,TRUE)</f>
        <v>9.9208017983194923E-6</v>
      </c>
      <c r="AD4" s="33">
        <f>VLOOKUP(H4,'Emssions Factors'!$F$6:$M$18,7,TRUE)</f>
        <v>0</v>
      </c>
      <c r="AE4" s="33">
        <f>VLOOKUP(H4,'Emssions Factors'!$F$6:$M$18,8,TRUE)</f>
        <v>0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2</v>
      </c>
      <c r="F5" s="56">
        <f>Input!F5</f>
        <v>10</v>
      </c>
      <c r="G5" s="56">
        <f>Input!G5</f>
        <v>0</v>
      </c>
      <c r="H5" s="14" t="str">
        <f>D5&amp;E5</f>
        <v>22</v>
      </c>
      <c r="I5" s="16">
        <f>F5*365*0.8</f>
        <v>2920</v>
      </c>
      <c r="J5" s="36">
        <f t="shared" si="0"/>
        <v>1.4003230935524695</v>
      </c>
      <c r="K5" s="34">
        <f t="shared" si="0"/>
        <v>0</v>
      </c>
      <c r="L5" s="34">
        <f t="shared" si="0"/>
        <v>0</v>
      </c>
      <c r="M5" s="34">
        <f t="shared" si="0"/>
        <v>0.23899211532151651</v>
      </c>
      <c r="N5" s="34">
        <f t="shared" si="0"/>
        <v>2.8968741251092917E-2</v>
      </c>
      <c r="O5" s="34">
        <f t="shared" si="0"/>
        <v>0</v>
      </c>
      <c r="P5" s="34">
        <f t="shared" si="0"/>
        <v>0</v>
      </c>
      <c r="Q5" s="37">
        <f>J5*'Externality Factors'!B$17</f>
        <v>57.074363043926773</v>
      </c>
      <c r="R5" s="37">
        <f>K5*'Externality Factors'!C$17</f>
        <v>0</v>
      </c>
      <c r="S5" s="37">
        <f>L5*'Externality Factors'!D$17</f>
        <v>0</v>
      </c>
      <c r="T5" s="37">
        <f>M5*'Externality Factors'!E$17</f>
        <v>8.0897166408451699</v>
      </c>
      <c r="U5" s="37">
        <f>N5*'Externality Factors'!F$17</f>
        <v>8.8431542309631439</v>
      </c>
      <c r="V5" s="37">
        <f>O5*'Externality Factors'!G$17</f>
        <v>0</v>
      </c>
      <c r="W5" s="37">
        <f>P5*'Externality Factors'!H$17</f>
        <v>0</v>
      </c>
      <c r="Y5" s="33">
        <f>VLOOKUP(H5,'Emssions Factors'!$F$6:$M$18,2,TRUE)</f>
        <v>4.795627032713937E-4</v>
      </c>
      <c r="Z5" s="33">
        <f>VLOOKUP(H5,'Emssions Factors'!$F$6:$M$18,3,TRUE)</f>
        <v>0</v>
      </c>
      <c r="AA5" s="33">
        <f>VLOOKUP(H5,'Emssions Factors'!$F$6:$M$18,4,TRUE)</f>
        <v>0</v>
      </c>
      <c r="AB5" s="33">
        <f>VLOOKUP(H5,'Emssions Factors'!$F$6:$M$18,5,TRUE)</f>
        <v>8.1846614836135796E-5</v>
      </c>
      <c r="AC5" s="33">
        <f>VLOOKUP(H5,'Emssions Factors'!$F$6:$M$18,6,TRUE)</f>
        <v>9.9208017983194923E-6</v>
      </c>
      <c r="AD5" s="33">
        <f>VLOOKUP(H5,'Emssions Factors'!$F$6:$M$18,7,TRUE)</f>
        <v>0</v>
      </c>
      <c r="AE5" s="33">
        <f>VLOOKUP(H5,'Emssions Factors'!$F$6:$M$18,8,TRUE)</f>
        <v>0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2</v>
      </c>
      <c r="F6" s="56">
        <f>Input!F6</f>
        <v>15</v>
      </c>
      <c r="G6" s="56">
        <f>Input!G6</f>
        <v>0</v>
      </c>
      <c r="H6" s="14" t="str">
        <f>D6&amp;E6</f>
        <v>22</v>
      </c>
      <c r="I6" s="16">
        <f>F6*365*0.8</f>
        <v>4380</v>
      </c>
      <c r="J6" s="36">
        <f t="shared" si="0"/>
        <v>2.1004846403287045</v>
      </c>
      <c r="K6" s="34">
        <f t="shared" si="0"/>
        <v>0</v>
      </c>
      <c r="L6" s="34">
        <f t="shared" si="0"/>
        <v>0</v>
      </c>
      <c r="M6" s="34">
        <f t="shared" si="0"/>
        <v>0.35848817298227481</v>
      </c>
      <c r="N6" s="34">
        <f t="shared" si="0"/>
        <v>4.3453111876639375E-2</v>
      </c>
      <c r="O6" s="34">
        <f t="shared" si="0"/>
        <v>0</v>
      </c>
      <c r="P6" s="34">
        <f t="shared" si="0"/>
        <v>0</v>
      </c>
      <c r="Q6" s="37">
        <f>J6*'Externality Factors'!B$17</f>
        <v>85.611544565890171</v>
      </c>
      <c r="R6" s="37">
        <f>K6*'Externality Factors'!C$17</f>
        <v>0</v>
      </c>
      <c r="S6" s="37">
        <f>L6*'Externality Factors'!D$17</f>
        <v>0</v>
      </c>
      <c r="T6" s="37">
        <f>M6*'Externality Factors'!E$17</f>
        <v>12.134574961267756</v>
      </c>
      <c r="U6" s="37">
        <f>N6*'Externality Factors'!F$17</f>
        <v>13.264731346444716</v>
      </c>
      <c r="V6" s="37">
        <f>O6*'Externality Factors'!G$17</f>
        <v>0</v>
      </c>
      <c r="W6" s="37">
        <f>P6*'Externality Factors'!H$17</f>
        <v>0</v>
      </c>
      <c r="Y6" s="33">
        <f>VLOOKUP(H6,'Emssions Factors'!$F$6:$M$18,2,TRUE)</f>
        <v>4.795627032713937E-4</v>
      </c>
      <c r="Z6" s="33">
        <f>VLOOKUP(H6,'Emssions Factors'!$F$6:$M$18,3,TRUE)</f>
        <v>0</v>
      </c>
      <c r="AA6" s="33">
        <f>VLOOKUP(H6,'Emssions Factors'!$F$6:$M$18,4,TRUE)</f>
        <v>0</v>
      </c>
      <c r="AB6" s="33">
        <f>VLOOKUP(H6,'Emssions Factors'!$F$6:$M$18,5,TRUE)</f>
        <v>8.1846614836135796E-5</v>
      </c>
      <c r="AC6" s="33">
        <f>VLOOKUP(H6,'Emssions Factors'!$F$6:$M$18,6,TRUE)</f>
        <v>9.9208017983194923E-6</v>
      </c>
      <c r="AD6" s="33">
        <f>VLOOKUP(H6,'Emssions Factors'!$F$6:$M$18,7,TRUE)</f>
        <v>0</v>
      </c>
      <c r="AE6" s="33">
        <f>VLOOKUP(H6,'Emssions Factors'!$F$6:$M$18,8,TRUE)</f>
        <v>0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2</v>
      </c>
      <c r="F7" s="56">
        <f>Input!F7</f>
        <v>20</v>
      </c>
      <c r="G7" s="56">
        <f>Input!G7</f>
        <v>0</v>
      </c>
      <c r="H7" s="14" t="str">
        <f t="shared" ref="H7:H70" si="1">D7&amp;E7</f>
        <v>22</v>
      </c>
      <c r="I7" s="16">
        <f t="shared" ref="I7:I70" si="2">F7*365*0.8</f>
        <v>5840</v>
      </c>
      <c r="J7" s="36">
        <f t="shared" ref="J7:J70" si="3">$I7*Y7</f>
        <v>2.8006461871049391</v>
      </c>
      <c r="K7" s="34">
        <f t="shared" ref="K7:K70" si="4">$I7*Z7</f>
        <v>0</v>
      </c>
      <c r="L7" s="34">
        <f t="shared" ref="L7:L70" si="5">$I7*AA7</f>
        <v>0</v>
      </c>
      <c r="M7" s="34">
        <f t="shared" ref="M7:M70" si="6">$I7*AB7</f>
        <v>0.47798423064303303</v>
      </c>
      <c r="N7" s="34">
        <f t="shared" ref="N7:N70" si="7">$I7*AC7</f>
        <v>5.7937482502185833E-2</v>
      </c>
      <c r="O7" s="34">
        <f t="shared" ref="O7:O70" si="8">$I7*AD7</f>
        <v>0</v>
      </c>
      <c r="P7" s="34">
        <f t="shared" ref="P7:P70" si="9">$I7*AE7</f>
        <v>0</v>
      </c>
      <c r="Q7" s="37">
        <f>J7*'Externality Factors'!B$17</f>
        <v>114.14872608785355</v>
      </c>
      <c r="R7" s="37">
        <f>K7*'Externality Factors'!C$17</f>
        <v>0</v>
      </c>
      <c r="S7" s="37">
        <f>L7*'Externality Factors'!D$17</f>
        <v>0</v>
      </c>
      <c r="T7" s="37">
        <f>M7*'Externality Factors'!E$17</f>
        <v>16.17943328169034</v>
      </c>
      <c r="U7" s="37">
        <f>N7*'Externality Factors'!F$17</f>
        <v>17.686308461926288</v>
      </c>
      <c r="V7" s="37">
        <f>O7*'Externality Factors'!G$17</f>
        <v>0</v>
      </c>
      <c r="W7" s="37">
        <f>P7*'Externality Factors'!H$17</f>
        <v>0</v>
      </c>
      <c r="Y7" s="33">
        <f>VLOOKUP(H7,'Emssions Factors'!$F$6:$M$18,2,TRUE)</f>
        <v>4.795627032713937E-4</v>
      </c>
      <c r="Z7" s="33">
        <f>VLOOKUP(H7,'Emssions Factors'!$F$6:$M$18,3,TRUE)</f>
        <v>0</v>
      </c>
      <c r="AA7" s="33">
        <f>VLOOKUP(H7,'Emssions Factors'!$F$6:$M$18,4,TRUE)</f>
        <v>0</v>
      </c>
      <c r="AB7" s="33">
        <f>VLOOKUP(H7,'Emssions Factors'!$F$6:$M$18,5,TRUE)</f>
        <v>8.1846614836135796E-5</v>
      </c>
      <c r="AC7" s="33">
        <f>VLOOKUP(H7,'Emssions Factors'!$F$6:$M$18,6,TRUE)</f>
        <v>9.9208017983194923E-6</v>
      </c>
      <c r="AD7" s="33">
        <f>VLOOKUP(H7,'Emssions Factors'!$F$6:$M$18,7,TRUE)</f>
        <v>0</v>
      </c>
      <c r="AE7" s="33">
        <f>VLOOKUP(H7,'Emssions Factors'!$F$6:$M$18,8,TRUE)</f>
        <v>0</v>
      </c>
    </row>
    <row r="8" spans="2:31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2</v>
      </c>
      <c r="F8" s="56">
        <f>Input!F8</f>
        <v>25</v>
      </c>
      <c r="G8" s="56">
        <f>Input!G8</f>
        <v>0</v>
      </c>
      <c r="H8" s="14" t="str">
        <f t="shared" si="1"/>
        <v>22</v>
      </c>
      <c r="I8" s="16">
        <f t="shared" si="2"/>
        <v>7300</v>
      </c>
      <c r="J8" s="36">
        <f t="shared" si="3"/>
        <v>3.5008077338811741</v>
      </c>
      <c r="K8" s="34">
        <f t="shared" si="4"/>
        <v>0</v>
      </c>
      <c r="L8" s="34">
        <f t="shared" si="5"/>
        <v>0</v>
      </c>
      <c r="M8" s="34">
        <f t="shared" si="6"/>
        <v>0.5974802883037913</v>
      </c>
      <c r="N8" s="34">
        <f t="shared" si="7"/>
        <v>7.2421853127732291E-2</v>
      </c>
      <c r="O8" s="34">
        <f t="shared" si="8"/>
        <v>0</v>
      </c>
      <c r="P8" s="34">
        <f t="shared" si="9"/>
        <v>0</v>
      </c>
      <c r="Q8" s="37">
        <f>J8*'Externality Factors'!B$17</f>
        <v>142.68590760981695</v>
      </c>
      <c r="R8" s="37">
        <f>K8*'Externality Factors'!C$17</f>
        <v>0</v>
      </c>
      <c r="S8" s="37">
        <f>L8*'Externality Factors'!D$17</f>
        <v>0</v>
      </c>
      <c r="T8" s="37">
        <f>M8*'Externality Factors'!E$17</f>
        <v>20.224291602112924</v>
      </c>
      <c r="U8" s="37">
        <f>N8*'Externality Factors'!F$17</f>
        <v>22.10788557740786</v>
      </c>
      <c r="V8" s="37">
        <f>O8*'Externality Factors'!G$17</f>
        <v>0</v>
      </c>
      <c r="W8" s="37">
        <f>P8*'Externality Factors'!H$17</f>
        <v>0</v>
      </c>
      <c r="Y8" s="33">
        <f>VLOOKUP(H8,'Emssions Factors'!$F$6:$M$18,2,TRUE)</f>
        <v>4.795627032713937E-4</v>
      </c>
      <c r="Z8" s="33">
        <f>VLOOKUP(H8,'Emssions Factors'!$F$6:$M$18,3,TRUE)</f>
        <v>0</v>
      </c>
      <c r="AA8" s="33">
        <f>VLOOKUP(H8,'Emssions Factors'!$F$6:$M$18,4,TRUE)</f>
        <v>0</v>
      </c>
      <c r="AB8" s="33">
        <f>VLOOKUP(H8,'Emssions Factors'!$F$6:$M$18,5,TRUE)</f>
        <v>8.1846614836135796E-5</v>
      </c>
      <c r="AC8" s="33">
        <f>VLOOKUP(H8,'Emssions Factors'!$F$6:$M$18,6,TRUE)</f>
        <v>9.9208017983194923E-6</v>
      </c>
      <c r="AD8" s="33">
        <f>VLOOKUP(H8,'Emssions Factors'!$F$6:$M$18,7,TRUE)</f>
        <v>0</v>
      </c>
      <c r="AE8" s="33">
        <f>VLOOKUP(H8,'Emssions Factors'!$F$6:$M$18,8,TRUE)</f>
        <v>0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2</v>
      </c>
      <c r="F9" s="56">
        <f>Input!F9</f>
        <v>30</v>
      </c>
      <c r="G9" s="56">
        <f>Input!G9</f>
        <v>0</v>
      </c>
      <c r="H9" s="14" t="str">
        <f t="shared" si="1"/>
        <v>22</v>
      </c>
      <c r="I9" s="16">
        <f t="shared" si="2"/>
        <v>8760</v>
      </c>
      <c r="J9" s="36">
        <f t="shared" si="3"/>
        <v>4.200969280657409</v>
      </c>
      <c r="K9" s="34">
        <f t="shared" si="4"/>
        <v>0</v>
      </c>
      <c r="L9" s="34">
        <f t="shared" si="5"/>
        <v>0</v>
      </c>
      <c r="M9" s="34">
        <f t="shared" si="6"/>
        <v>0.71697634596454962</v>
      </c>
      <c r="N9" s="34">
        <f t="shared" si="7"/>
        <v>8.690622375327875E-2</v>
      </c>
      <c r="O9" s="34">
        <f t="shared" si="8"/>
        <v>0</v>
      </c>
      <c r="P9" s="34">
        <f t="shared" si="9"/>
        <v>0</v>
      </c>
      <c r="Q9" s="37">
        <f>J9*'Externality Factors'!B$17</f>
        <v>171.22308913178034</v>
      </c>
      <c r="R9" s="37">
        <f>K9*'Externality Factors'!C$17</f>
        <v>0</v>
      </c>
      <c r="S9" s="37">
        <f>L9*'Externality Factors'!D$17</f>
        <v>0</v>
      </c>
      <c r="T9" s="37">
        <f>M9*'Externality Factors'!E$17</f>
        <v>24.269149922535512</v>
      </c>
      <c r="U9" s="37">
        <f>N9*'Externality Factors'!F$17</f>
        <v>26.529462692889432</v>
      </c>
      <c r="V9" s="37">
        <f>O9*'Externality Factors'!G$17</f>
        <v>0</v>
      </c>
      <c r="W9" s="37">
        <f>P9*'Externality Factors'!H$17</f>
        <v>0</v>
      </c>
      <c r="Y9" s="33">
        <f>VLOOKUP(H9,'Emssions Factors'!$F$6:$M$18,2,TRUE)</f>
        <v>4.795627032713937E-4</v>
      </c>
      <c r="Z9" s="33">
        <f>VLOOKUP(H9,'Emssions Factors'!$F$6:$M$18,3,TRUE)</f>
        <v>0</v>
      </c>
      <c r="AA9" s="33">
        <f>VLOOKUP(H9,'Emssions Factors'!$F$6:$M$18,4,TRUE)</f>
        <v>0</v>
      </c>
      <c r="AB9" s="33">
        <f>VLOOKUP(H9,'Emssions Factors'!$F$6:$M$18,5,TRUE)</f>
        <v>8.1846614836135796E-5</v>
      </c>
      <c r="AC9" s="33">
        <f>VLOOKUP(H9,'Emssions Factors'!$F$6:$M$18,6,TRUE)</f>
        <v>9.9208017983194923E-6</v>
      </c>
      <c r="AD9" s="33">
        <f>VLOOKUP(H9,'Emssions Factors'!$F$6:$M$18,7,TRUE)</f>
        <v>0</v>
      </c>
      <c r="AE9" s="33">
        <f>VLOOKUP(H9,'Emssions Factors'!$F$6:$M$18,8,TRUE)</f>
        <v>0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2</v>
      </c>
      <c r="F10" s="56">
        <f>Input!F10</f>
        <v>35</v>
      </c>
      <c r="G10" s="56">
        <f>Input!G10</f>
        <v>0</v>
      </c>
      <c r="H10" s="14" t="str">
        <f t="shared" si="1"/>
        <v>22</v>
      </c>
      <c r="I10" s="16">
        <f t="shared" si="2"/>
        <v>10220</v>
      </c>
      <c r="J10" s="36">
        <f t="shared" si="3"/>
        <v>4.9011308274336436</v>
      </c>
      <c r="K10" s="34">
        <f t="shared" si="4"/>
        <v>0</v>
      </c>
      <c r="L10" s="34">
        <f t="shared" si="5"/>
        <v>0</v>
      </c>
      <c r="M10" s="34">
        <f t="shared" si="6"/>
        <v>0.83647240362530784</v>
      </c>
      <c r="N10" s="34">
        <f t="shared" si="7"/>
        <v>0.10139059437882521</v>
      </c>
      <c r="O10" s="34">
        <f t="shared" si="8"/>
        <v>0</v>
      </c>
      <c r="P10" s="34">
        <f t="shared" si="9"/>
        <v>0</v>
      </c>
      <c r="Q10" s="37">
        <f>J10*'Externality Factors'!B$17</f>
        <v>199.7602706537437</v>
      </c>
      <c r="R10" s="37">
        <f>K10*'Externality Factors'!C$17</f>
        <v>0</v>
      </c>
      <c r="S10" s="37">
        <f>L10*'Externality Factors'!D$17</f>
        <v>0</v>
      </c>
      <c r="T10" s="37">
        <f>M10*'Externality Factors'!E$17</f>
        <v>28.314008242958092</v>
      </c>
      <c r="U10" s="37">
        <f>N10*'Externality Factors'!F$17</f>
        <v>30.951039808371004</v>
      </c>
      <c r="V10" s="37">
        <f>O10*'Externality Factors'!G$17</f>
        <v>0</v>
      </c>
      <c r="W10" s="37">
        <f>P10*'Externality Factors'!H$17</f>
        <v>0</v>
      </c>
      <c r="Y10" s="33">
        <f>VLOOKUP(H10,'Emssions Factors'!$F$6:$M$18,2,TRUE)</f>
        <v>4.795627032713937E-4</v>
      </c>
      <c r="Z10" s="33">
        <f>VLOOKUP(H10,'Emssions Factors'!$F$6:$M$18,3,TRUE)</f>
        <v>0</v>
      </c>
      <c r="AA10" s="33">
        <f>VLOOKUP(H10,'Emssions Factors'!$F$6:$M$18,4,TRUE)</f>
        <v>0</v>
      </c>
      <c r="AB10" s="33">
        <f>VLOOKUP(H10,'Emssions Factors'!$F$6:$M$18,5,TRUE)</f>
        <v>8.1846614836135796E-5</v>
      </c>
      <c r="AC10" s="33">
        <f>VLOOKUP(H10,'Emssions Factors'!$F$6:$M$18,6,TRUE)</f>
        <v>9.9208017983194923E-6</v>
      </c>
      <c r="AD10" s="33">
        <f>VLOOKUP(H10,'Emssions Factors'!$F$6:$M$18,7,TRUE)</f>
        <v>0</v>
      </c>
      <c r="AE10" s="33">
        <f>VLOOKUP(H10,'Emssions Factors'!$F$6:$M$18,8,TRUE)</f>
        <v>0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2</v>
      </c>
      <c r="F11" s="56">
        <f>Input!F11</f>
        <v>40</v>
      </c>
      <c r="G11" s="56">
        <f>Input!G11</f>
        <v>0</v>
      </c>
      <c r="H11" s="14" t="str">
        <f t="shared" si="1"/>
        <v>22</v>
      </c>
      <c r="I11" s="16">
        <f t="shared" si="2"/>
        <v>11680</v>
      </c>
      <c r="J11" s="36">
        <f t="shared" si="3"/>
        <v>5.6012923742098781</v>
      </c>
      <c r="K11" s="34">
        <f t="shared" si="4"/>
        <v>0</v>
      </c>
      <c r="L11" s="34">
        <f t="shared" si="5"/>
        <v>0</v>
      </c>
      <c r="M11" s="34">
        <f t="shared" si="6"/>
        <v>0.95596846128606605</v>
      </c>
      <c r="N11" s="34">
        <f t="shared" si="7"/>
        <v>0.11587496500437167</v>
      </c>
      <c r="O11" s="34">
        <f t="shared" si="8"/>
        <v>0</v>
      </c>
      <c r="P11" s="34">
        <f t="shared" si="9"/>
        <v>0</v>
      </c>
      <c r="Q11" s="37">
        <f>J11*'Externality Factors'!B$17</f>
        <v>228.29745217570709</v>
      </c>
      <c r="R11" s="37">
        <f>K11*'Externality Factors'!C$17</f>
        <v>0</v>
      </c>
      <c r="S11" s="37">
        <f>L11*'Externality Factors'!D$17</f>
        <v>0</v>
      </c>
      <c r="T11" s="37">
        <f>M11*'Externality Factors'!E$17</f>
        <v>32.35886656338068</v>
      </c>
      <c r="U11" s="37">
        <f>N11*'Externality Factors'!F$17</f>
        <v>35.372616923852576</v>
      </c>
      <c r="V11" s="37">
        <f>O11*'Externality Factors'!G$17</f>
        <v>0</v>
      </c>
      <c r="W11" s="37">
        <f>P11*'Externality Factors'!H$17</f>
        <v>0</v>
      </c>
      <c r="Y11" s="33">
        <f>VLOOKUP(H11,'Emssions Factors'!$F$6:$M$18,2,TRUE)</f>
        <v>4.795627032713937E-4</v>
      </c>
      <c r="Z11" s="33">
        <f>VLOOKUP(H11,'Emssions Factors'!$F$6:$M$18,3,TRUE)</f>
        <v>0</v>
      </c>
      <c r="AA11" s="33">
        <f>VLOOKUP(H11,'Emssions Factors'!$F$6:$M$18,4,TRUE)</f>
        <v>0</v>
      </c>
      <c r="AB11" s="33">
        <f>VLOOKUP(H11,'Emssions Factors'!$F$6:$M$18,5,TRUE)</f>
        <v>8.1846614836135796E-5</v>
      </c>
      <c r="AC11" s="33">
        <f>VLOOKUP(H11,'Emssions Factors'!$F$6:$M$18,6,TRUE)</f>
        <v>9.9208017983194923E-6</v>
      </c>
      <c r="AD11" s="33">
        <f>VLOOKUP(H11,'Emssions Factors'!$F$6:$M$18,7,TRUE)</f>
        <v>0</v>
      </c>
      <c r="AE11" s="33">
        <f>VLOOKUP(H11,'Emssions Factors'!$F$6:$M$18,8,TRUE)</f>
        <v>0</v>
      </c>
    </row>
    <row r="12" spans="2:31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2</v>
      </c>
      <c r="F12" s="56">
        <f>Input!F12</f>
        <v>45</v>
      </c>
      <c r="G12" s="56">
        <f>Input!G12</f>
        <v>0</v>
      </c>
      <c r="H12" s="14" t="str">
        <f t="shared" si="1"/>
        <v>22</v>
      </c>
      <c r="I12" s="16">
        <f t="shared" si="2"/>
        <v>13140</v>
      </c>
      <c r="J12" s="36">
        <f t="shared" si="3"/>
        <v>6.3014539209861136</v>
      </c>
      <c r="K12" s="34">
        <f t="shared" si="4"/>
        <v>0</v>
      </c>
      <c r="L12" s="34">
        <f t="shared" si="5"/>
        <v>0</v>
      </c>
      <c r="M12" s="34">
        <f t="shared" si="6"/>
        <v>1.0754645189468244</v>
      </c>
      <c r="N12" s="34">
        <f t="shared" si="7"/>
        <v>0.13035933562991814</v>
      </c>
      <c r="O12" s="34">
        <f t="shared" si="8"/>
        <v>0</v>
      </c>
      <c r="P12" s="34">
        <f t="shared" si="9"/>
        <v>0</v>
      </c>
      <c r="Q12" s="37">
        <f>J12*'Externality Factors'!B$17</f>
        <v>256.83463369767048</v>
      </c>
      <c r="R12" s="37">
        <f>K12*'Externality Factors'!C$17</f>
        <v>0</v>
      </c>
      <c r="S12" s="37">
        <f>L12*'Externality Factors'!D$17</f>
        <v>0</v>
      </c>
      <c r="T12" s="37">
        <f>M12*'Externality Factors'!E$17</f>
        <v>36.403724883803264</v>
      </c>
      <c r="U12" s="37">
        <f>N12*'Externality Factors'!F$17</f>
        <v>39.794194039334151</v>
      </c>
      <c r="V12" s="37">
        <f>O12*'Externality Factors'!G$17</f>
        <v>0</v>
      </c>
      <c r="W12" s="37">
        <f>P12*'Externality Factors'!H$17</f>
        <v>0</v>
      </c>
      <c r="Y12" s="33">
        <f>VLOOKUP(H12,'Emssions Factors'!$F$6:$M$18,2,TRUE)</f>
        <v>4.795627032713937E-4</v>
      </c>
      <c r="Z12" s="33">
        <f>VLOOKUP(H12,'Emssions Factors'!$F$6:$M$18,3,TRUE)</f>
        <v>0</v>
      </c>
      <c r="AA12" s="33">
        <f>VLOOKUP(H12,'Emssions Factors'!$F$6:$M$18,4,TRUE)</f>
        <v>0</v>
      </c>
      <c r="AB12" s="33">
        <f>VLOOKUP(H12,'Emssions Factors'!$F$6:$M$18,5,TRUE)</f>
        <v>8.1846614836135796E-5</v>
      </c>
      <c r="AC12" s="33">
        <f>VLOOKUP(H12,'Emssions Factors'!$F$6:$M$18,6,TRUE)</f>
        <v>9.9208017983194923E-6</v>
      </c>
      <c r="AD12" s="33">
        <f>VLOOKUP(H12,'Emssions Factors'!$F$6:$M$18,7,TRUE)</f>
        <v>0</v>
      </c>
      <c r="AE12" s="33">
        <f>VLOOKUP(H12,'Emssions Factors'!$F$6:$M$18,8,TRUE)</f>
        <v>0</v>
      </c>
    </row>
    <row r="13" spans="2:31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2</v>
      </c>
      <c r="F13" s="56">
        <f>Input!F13</f>
        <v>50</v>
      </c>
      <c r="G13" s="56">
        <f>Input!G13</f>
        <v>0</v>
      </c>
      <c r="H13" s="14" t="str">
        <f t="shared" si="1"/>
        <v>22</v>
      </c>
      <c r="I13" s="16">
        <f t="shared" si="2"/>
        <v>14600</v>
      </c>
      <c r="J13" s="36">
        <f t="shared" si="3"/>
        <v>7.0016154677623481</v>
      </c>
      <c r="K13" s="34">
        <f t="shared" si="4"/>
        <v>0</v>
      </c>
      <c r="L13" s="34">
        <f t="shared" si="5"/>
        <v>0</v>
      </c>
      <c r="M13" s="34">
        <f t="shared" si="6"/>
        <v>1.1949605766075826</v>
      </c>
      <c r="N13" s="34">
        <f t="shared" si="7"/>
        <v>0.14484370625546458</v>
      </c>
      <c r="O13" s="34">
        <f t="shared" si="8"/>
        <v>0</v>
      </c>
      <c r="P13" s="34">
        <f t="shared" si="9"/>
        <v>0</v>
      </c>
      <c r="Q13" s="37">
        <f>J13*'Externality Factors'!B$17</f>
        <v>285.3718152196339</v>
      </c>
      <c r="R13" s="37">
        <f>K13*'Externality Factors'!C$17</f>
        <v>0</v>
      </c>
      <c r="S13" s="37">
        <f>L13*'Externality Factors'!D$17</f>
        <v>0</v>
      </c>
      <c r="T13" s="37">
        <f>M13*'Externality Factors'!E$17</f>
        <v>40.448583204225848</v>
      </c>
      <c r="U13" s="37">
        <f>N13*'Externality Factors'!F$17</f>
        <v>44.21577115481572</v>
      </c>
      <c r="V13" s="37">
        <f>O13*'Externality Factors'!G$17</f>
        <v>0</v>
      </c>
      <c r="W13" s="37">
        <f>P13*'Externality Factors'!H$17</f>
        <v>0</v>
      </c>
      <c r="Y13" s="33">
        <f>VLOOKUP(H13,'Emssions Factors'!$F$6:$M$18,2,TRUE)</f>
        <v>4.795627032713937E-4</v>
      </c>
      <c r="Z13" s="33">
        <f>VLOOKUP(H13,'Emssions Factors'!$F$6:$M$18,3,TRUE)</f>
        <v>0</v>
      </c>
      <c r="AA13" s="33">
        <f>VLOOKUP(H13,'Emssions Factors'!$F$6:$M$18,4,TRUE)</f>
        <v>0</v>
      </c>
      <c r="AB13" s="33">
        <f>VLOOKUP(H13,'Emssions Factors'!$F$6:$M$18,5,TRUE)</f>
        <v>8.1846614836135796E-5</v>
      </c>
      <c r="AC13" s="33">
        <f>VLOOKUP(H13,'Emssions Factors'!$F$6:$M$18,6,TRUE)</f>
        <v>9.9208017983194923E-6</v>
      </c>
      <c r="AD13" s="33">
        <f>VLOOKUP(H13,'Emssions Factors'!$F$6:$M$18,7,TRUE)</f>
        <v>0</v>
      </c>
      <c r="AE13" s="33">
        <f>VLOOKUP(H13,'Emssions Factors'!$F$6:$M$18,8,TRUE)</f>
        <v>0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2</v>
      </c>
      <c r="F14" s="56">
        <f>Input!F14</f>
        <v>55</v>
      </c>
      <c r="G14" s="56">
        <f>Input!G14</f>
        <v>0</v>
      </c>
      <c r="H14" s="14" t="str">
        <f t="shared" si="1"/>
        <v>22</v>
      </c>
      <c r="I14" s="16">
        <f t="shared" si="2"/>
        <v>16060</v>
      </c>
      <c r="J14" s="36">
        <f t="shared" si="3"/>
        <v>7.7017770145385827</v>
      </c>
      <c r="K14" s="34">
        <f t="shared" si="4"/>
        <v>0</v>
      </c>
      <c r="L14" s="34">
        <f t="shared" si="5"/>
        <v>0</v>
      </c>
      <c r="M14" s="34">
        <f t="shared" si="6"/>
        <v>1.3144566342683408</v>
      </c>
      <c r="N14" s="34">
        <f t="shared" si="7"/>
        <v>0.15932807688101105</v>
      </c>
      <c r="O14" s="34">
        <f t="shared" si="8"/>
        <v>0</v>
      </c>
      <c r="P14" s="34">
        <f t="shared" si="9"/>
        <v>0</v>
      </c>
      <c r="Q14" s="37">
        <f>J14*'Externality Factors'!B$17</f>
        <v>313.90899674159726</v>
      </c>
      <c r="R14" s="37">
        <f>K14*'Externality Factors'!C$17</f>
        <v>0</v>
      </c>
      <c r="S14" s="37">
        <f>L14*'Externality Factors'!D$17</f>
        <v>0</v>
      </c>
      <c r="T14" s="37">
        <f>M14*'Externality Factors'!E$17</f>
        <v>44.493441524648432</v>
      </c>
      <c r="U14" s="37">
        <f>N14*'Externality Factors'!F$17</f>
        <v>48.637348270297295</v>
      </c>
      <c r="V14" s="37">
        <f>O14*'Externality Factors'!G$17</f>
        <v>0</v>
      </c>
      <c r="W14" s="37">
        <f>P14*'Externality Factors'!H$17</f>
        <v>0</v>
      </c>
      <c r="Y14" s="33">
        <f>VLOOKUP(H14,'Emssions Factors'!$F$6:$M$18,2,TRUE)</f>
        <v>4.795627032713937E-4</v>
      </c>
      <c r="Z14" s="33">
        <f>VLOOKUP(H14,'Emssions Factors'!$F$6:$M$18,3,TRUE)</f>
        <v>0</v>
      </c>
      <c r="AA14" s="33">
        <f>VLOOKUP(H14,'Emssions Factors'!$F$6:$M$18,4,TRUE)</f>
        <v>0</v>
      </c>
      <c r="AB14" s="33">
        <f>VLOOKUP(H14,'Emssions Factors'!$F$6:$M$18,5,TRUE)</f>
        <v>8.1846614836135796E-5</v>
      </c>
      <c r="AC14" s="33">
        <f>VLOOKUP(H14,'Emssions Factors'!$F$6:$M$18,6,TRUE)</f>
        <v>9.9208017983194923E-6</v>
      </c>
      <c r="AD14" s="33">
        <f>VLOOKUP(H14,'Emssions Factors'!$F$6:$M$18,7,TRUE)</f>
        <v>0</v>
      </c>
      <c r="AE14" s="33">
        <f>VLOOKUP(H14,'Emssions Factors'!$F$6:$M$18,8,TRUE)</f>
        <v>0</v>
      </c>
    </row>
    <row r="15" spans="2:31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2</v>
      </c>
      <c r="F15" s="56">
        <f>Input!F15</f>
        <v>60</v>
      </c>
      <c r="G15" s="56">
        <f>Input!G15</f>
        <v>0</v>
      </c>
      <c r="H15" s="14" t="str">
        <f t="shared" si="1"/>
        <v>22</v>
      </c>
      <c r="I15" s="16">
        <f t="shared" si="2"/>
        <v>17520</v>
      </c>
      <c r="J15" s="36">
        <f t="shared" si="3"/>
        <v>8.4019385613148181</v>
      </c>
      <c r="K15" s="34">
        <f t="shared" si="4"/>
        <v>0</v>
      </c>
      <c r="L15" s="34">
        <f t="shared" si="5"/>
        <v>0</v>
      </c>
      <c r="M15" s="34">
        <f t="shared" si="6"/>
        <v>1.4339526919290992</v>
      </c>
      <c r="N15" s="34">
        <f t="shared" si="7"/>
        <v>0.1738124475065575</v>
      </c>
      <c r="O15" s="34">
        <f t="shared" si="8"/>
        <v>0</v>
      </c>
      <c r="P15" s="34">
        <f t="shared" si="9"/>
        <v>0</v>
      </c>
      <c r="Q15" s="37">
        <f>J15*'Externality Factors'!B$17</f>
        <v>342.44617826356068</v>
      </c>
      <c r="R15" s="37">
        <f>K15*'Externality Factors'!C$17</f>
        <v>0</v>
      </c>
      <c r="S15" s="37">
        <f>L15*'Externality Factors'!D$17</f>
        <v>0</v>
      </c>
      <c r="T15" s="37">
        <f>M15*'Externality Factors'!E$17</f>
        <v>48.538299845071023</v>
      </c>
      <c r="U15" s="37">
        <f>N15*'Externality Factors'!F$17</f>
        <v>53.058925385778863</v>
      </c>
      <c r="V15" s="37">
        <f>O15*'Externality Factors'!G$17</f>
        <v>0</v>
      </c>
      <c r="W15" s="37">
        <f>P15*'Externality Factors'!H$17</f>
        <v>0</v>
      </c>
      <c r="Y15" s="33">
        <f>VLOOKUP(H15,'Emssions Factors'!$F$6:$M$18,2,TRUE)</f>
        <v>4.795627032713937E-4</v>
      </c>
      <c r="Z15" s="33">
        <f>VLOOKUP(H15,'Emssions Factors'!$F$6:$M$18,3,TRUE)</f>
        <v>0</v>
      </c>
      <c r="AA15" s="33">
        <f>VLOOKUP(H15,'Emssions Factors'!$F$6:$M$18,4,TRUE)</f>
        <v>0</v>
      </c>
      <c r="AB15" s="33">
        <f>VLOOKUP(H15,'Emssions Factors'!$F$6:$M$18,5,TRUE)</f>
        <v>8.1846614836135796E-5</v>
      </c>
      <c r="AC15" s="33">
        <f>VLOOKUP(H15,'Emssions Factors'!$F$6:$M$18,6,TRUE)</f>
        <v>9.9208017983194923E-6</v>
      </c>
      <c r="AD15" s="33">
        <f>VLOOKUP(H15,'Emssions Factors'!$F$6:$M$18,7,TRUE)</f>
        <v>0</v>
      </c>
      <c r="AE15" s="33">
        <f>VLOOKUP(H15,'Emssions Factors'!$F$6:$M$18,8,TRUE)</f>
        <v>0</v>
      </c>
    </row>
    <row r="16" spans="2:31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2</v>
      </c>
      <c r="F16" s="56">
        <f>Input!F16</f>
        <v>65</v>
      </c>
      <c r="G16" s="56">
        <f>Input!G16</f>
        <v>0</v>
      </c>
      <c r="H16" s="14" t="str">
        <f t="shared" si="1"/>
        <v>22</v>
      </c>
      <c r="I16" s="16">
        <f t="shared" si="2"/>
        <v>18980</v>
      </c>
      <c r="J16" s="36">
        <f t="shared" si="3"/>
        <v>9.1021001080910526</v>
      </c>
      <c r="K16" s="34">
        <f t="shared" si="4"/>
        <v>0</v>
      </c>
      <c r="L16" s="34">
        <f t="shared" si="5"/>
        <v>0</v>
      </c>
      <c r="M16" s="34">
        <f t="shared" si="6"/>
        <v>1.5534487495898575</v>
      </c>
      <c r="N16" s="34">
        <f t="shared" si="7"/>
        <v>0.18829681813210397</v>
      </c>
      <c r="O16" s="34">
        <f t="shared" si="8"/>
        <v>0</v>
      </c>
      <c r="P16" s="34">
        <f t="shared" si="9"/>
        <v>0</v>
      </c>
      <c r="Q16" s="37">
        <f>J16*'Externality Factors'!B$17</f>
        <v>370.98335978552404</v>
      </c>
      <c r="R16" s="37">
        <f>K16*'Externality Factors'!C$17</f>
        <v>0</v>
      </c>
      <c r="S16" s="37">
        <f>L16*'Externality Factors'!D$17</f>
        <v>0</v>
      </c>
      <c r="T16" s="37">
        <f>M16*'Externality Factors'!E$17</f>
        <v>52.583158165493607</v>
      </c>
      <c r="U16" s="37">
        <f>N16*'Externality Factors'!F$17</f>
        <v>57.480502501260439</v>
      </c>
      <c r="V16" s="37">
        <f>O16*'Externality Factors'!G$17</f>
        <v>0</v>
      </c>
      <c r="W16" s="37">
        <f>P16*'Externality Factors'!H$17</f>
        <v>0</v>
      </c>
      <c r="Y16" s="33">
        <f>VLOOKUP(H16,'Emssions Factors'!$F$6:$M$18,2,TRUE)</f>
        <v>4.795627032713937E-4</v>
      </c>
      <c r="Z16" s="33">
        <f>VLOOKUP(H16,'Emssions Factors'!$F$6:$M$18,3,TRUE)</f>
        <v>0</v>
      </c>
      <c r="AA16" s="33">
        <f>VLOOKUP(H16,'Emssions Factors'!$F$6:$M$18,4,TRUE)</f>
        <v>0</v>
      </c>
      <c r="AB16" s="33">
        <f>VLOOKUP(H16,'Emssions Factors'!$F$6:$M$18,5,TRUE)</f>
        <v>8.1846614836135796E-5</v>
      </c>
      <c r="AC16" s="33">
        <f>VLOOKUP(H16,'Emssions Factors'!$F$6:$M$18,6,TRUE)</f>
        <v>9.9208017983194923E-6</v>
      </c>
      <c r="AD16" s="33">
        <f>VLOOKUP(H16,'Emssions Factors'!$F$6:$M$18,7,TRUE)</f>
        <v>0</v>
      </c>
      <c r="AE16" s="33">
        <f>VLOOKUP(H16,'Emssions Factors'!$F$6:$M$18,8,TRUE)</f>
        <v>0</v>
      </c>
    </row>
    <row r="17" spans="2:3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2</v>
      </c>
      <c r="F17" s="56">
        <f>Input!F17</f>
        <v>70</v>
      </c>
      <c r="G17" s="56">
        <f>Input!G17</f>
        <v>0</v>
      </c>
      <c r="H17" s="14" t="str">
        <f t="shared" si="1"/>
        <v>22</v>
      </c>
      <c r="I17" s="16">
        <f t="shared" si="2"/>
        <v>20440</v>
      </c>
      <c r="J17" s="36">
        <f t="shared" si="3"/>
        <v>9.8022616548672872</v>
      </c>
      <c r="K17" s="34">
        <f t="shared" si="4"/>
        <v>0</v>
      </c>
      <c r="L17" s="34">
        <f t="shared" si="5"/>
        <v>0</v>
      </c>
      <c r="M17" s="34">
        <f t="shared" si="6"/>
        <v>1.6729448072506157</v>
      </c>
      <c r="N17" s="34">
        <f t="shared" si="7"/>
        <v>0.20278118875765042</v>
      </c>
      <c r="O17" s="34">
        <f t="shared" si="8"/>
        <v>0</v>
      </c>
      <c r="P17" s="34">
        <f t="shared" si="9"/>
        <v>0</v>
      </c>
      <c r="Q17" s="37">
        <f>J17*'Externality Factors'!B$17</f>
        <v>399.52054130748741</v>
      </c>
      <c r="R17" s="37">
        <f>K17*'Externality Factors'!C$17</f>
        <v>0</v>
      </c>
      <c r="S17" s="37">
        <f>L17*'Externality Factors'!D$17</f>
        <v>0</v>
      </c>
      <c r="T17" s="37">
        <f>M17*'Externality Factors'!E$17</f>
        <v>56.628016485916184</v>
      </c>
      <c r="U17" s="37">
        <f>N17*'Externality Factors'!F$17</f>
        <v>61.902079616742007</v>
      </c>
      <c r="V17" s="37">
        <f>O17*'Externality Factors'!G$17</f>
        <v>0</v>
      </c>
      <c r="W17" s="37">
        <f>P17*'Externality Factors'!H$17</f>
        <v>0</v>
      </c>
      <c r="Y17" s="33">
        <f>VLOOKUP(H17,'Emssions Factors'!$F$6:$M$18,2,TRUE)</f>
        <v>4.795627032713937E-4</v>
      </c>
      <c r="Z17" s="33">
        <f>VLOOKUP(H17,'Emssions Factors'!$F$6:$M$18,3,TRUE)</f>
        <v>0</v>
      </c>
      <c r="AA17" s="33">
        <f>VLOOKUP(H17,'Emssions Factors'!$F$6:$M$18,4,TRUE)</f>
        <v>0</v>
      </c>
      <c r="AB17" s="33">
        <f>VLOOKUP(H17,'Emssions Factors'!$F$6:$M$18,5,TRUE)</f>
        <v>8.1846614836135796E-5</v>
      </c>
      <c r="AC17" s="33">
        <f>VLOOKUP(H17,'Emssions Factors'!$F$6:$M$18,6,TRUE)</f>
        <v>9.9208017983194923E-6</v>
      </c>
      <c r="AD17" s="33">
        <f>VLOOKUP(H17,'Emssions Factors'!$F$6:$M$18,7,TRUE)</f>
        <v>0</v>
      </c>
      <c r="AE17" s="33">
        <f>VLOOKUP(H17,'Emssions Factors'!$F$6:$M$18,8,TRUE)</f>
        <v>0</v>
      </c>
    </row>
    <row r="18" spans="2:3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2</v>
      </c>
      <c r="F18" s="56">
        <f>Input!F18</f>
        <v>75</v>
      </c>
      <c r="G18" s="56">
        <f>Input!G18</f>
        <v>0</v>
      </c>
      <c r="H18" s="14" t="str">
        <f t="shared" si="1"/>
        <v>22</v>
      </c>
      <c r="I18" s="16">
        <f t="shared" si="2"/>
        <v>21900</v>
      </c>
      <c r="J18" s="36">
        <f t="shared" si="3"/>
        <v>10.502423201643522</v>
      </c>
      <c r="K18" s="34">
        <f t="shared" si="4"/>
        <v>0</v>
      </c>
      <c r="L18" s="34">
        <f t="shared" si="5"/>
        <v>0</v>
      </c>
      <c r="M18" s="34">
        <f t="shared" si="6"/>
        <v>1.7924408649113739</v>
      </c>
      <c r="N18" s="34">
        <f t="shared" si="7"/>
        <v>0.21726555938319689</v>
      </c>
      <c r="O18" s="34">
        <f t="shared" si="8"/>
        <v>0</v>
      </c>
      <c r="P18" s="34">
        <f t="shared" si="9"/>
        <v>0</v>
      </c>
      <c r="Q18" s="37">
        <f>J18*'Externality Factors'!B$17</f>
        <v>428.05772282945082</v>
      </c>
      <c r="R18" s="37">
        <f>K18*'Externality Factors'!C$17</f>
        <v>0</v>
      </c>
      <c r="S18" s="37">
        <f>L18*'Externality Factors'!D$17</f>
        <v>0</v>
      </c>
      <c r="T18" s="37">
        <f>M18*'Externality Factors'!E$17</f>
        <v>60.672874806338768</v>
      </c>
      <c r="U18" s="37">
        <f>N18*'Externality Factors'!F$17</f>
        <v>66.323656732223583</v>
      </c>
      <c r="V18" s="37">
        <f>O18*'Externality Factors'!G$17</f>
        <v>0</v>
      </c>
      <c r="W18" s="37">
        <f>P18*'Externality Factors'!H$17</f>
        <v>0</v>
      </c>
      <c r="Y18" s="33">
        <f>VLOOKUP(H18,'Emssions Factors'!$F$6:$M$18,2,TRUE)</f>
        <v>4.795627032713937E-4</v>
      </c>
      <c r="Z18" s="33">
        <f>VLOOKUP(H18,'Emssions Factors'!$F$6:$M$18,3,TRUE)</f>
        <v>0</v>
      </c>
      <c r="AA18" s="33">
        <f>VLOOKUP(H18,'Emssions Factors'!$F$6:$M$18,4,TRUE)</f>
        <v>0</v>
      </c>
      <c r="AB18" s="33">
        <f>VLOOKUP(H18,'Emssions Factors'!$F$6:$M$18,5,TRUE)</f>
        <v>8.1846614836135796E-5</v>
      </c>
      <c r="AC18" s="33">
        <f>VLOOKUP(H18,'Emssions Factors'!$F$6:$M$18,6,TRUE)</f>
        <v>9.9208017983194923E-6</v>
      </c>
      <c r="AD18" s="33">
        <f>VLOOKUP(H18,'Emssions Factors'!$F$6:$M$18,7,TRUE)</f>
        <v>0</v>
      </c>
      <c r="AE18" s="33">
        <f>VLOOKUP(H18,'Emssions Factors'!$F$6:$M$18,8,TRUE)</f>
        <v>0</v>
      </c>
    </row>
    <row r="19" spans="2:3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80</v>
      </c>
      <c r="G19" s="56">
        <f>Input!G19</f>
        <v>0</v>
      </c>
      <c r="H19" s="14" t="str">
        <f t="shared" si="1"/>
        <v>22</v>
      </c>
      <c r="I19" s="16">
        <f t="shared" si="2"/>
        <v>23360</v>
      </c>
      <c r="J19" s="36">
        <f t="shared" si="3"/>
        <v>11.202584748419756</v>
      </c>
      <c r="K19" s="34">
        <f t="shared" si="4"/>
        <v>0</v>
      </c>
      <c r="L19" s="34">
        <f t="shared" si="5"/>
        <v>0</v>
      </c>
      <c r="M19" s="34">
        <f t="shared" si="6"/>
        <v>1.9119369225721321</v>
      </c>
      <c r="N19" s="34">
        <f t="shared" si="7"/>
        <v>0.23174993000874333</v>
      </c>
      <c r="O19" s="34">
        <f t="shared" si="8"/>
        <v>0</v>
      </c>
      <c r="P19" s="34">
        <f t="shared" si="9"/>
        <v>0</v>
      </c>
      <c r="Q19" s="37">
        <f>J19*'Externality Factors'!B$17</f>
        <v>456.59490435141419</v>
      </c>
      <c r="R19" s="37">
        <f>K19*'Externality Factors'!C$17</f>
        <v>0</v>
      </c>
      <c r="S19" s="37">
        <f>L19*'Externality Factors'!D$17</f>
        <v>0</v>
      </c>
      <c r="T19" s="37">
        <f>M19*'Externality Factors'!E$17</f>
        <v>64.71773312676136</v>
      </c>
      <c r="U19" s="37">
        <f>N19*'Externality Factors'!F$17</f>
        <v>70.745233847705151</v>
      </c>
      <c r="V19" s="37">
        <f>O19*'Externality Factors'!G$17</f>
        <v>0</v>
      </c>
      <c r="W19" s="37">
        <f>P19*'Externality Factors'!H$17</f>
        <v>0</v>
      </c>
      <c r="Y19" s="33">
        <f>VLOOKUP(H19,'Emssions Factors'!$F$6:$M$18,2,TRUE)</f>
        <v>4.795627032713937E-4</v>
      </c>
      <c r="Z19" s="33">
        <f>VLOOKUP(H19,'Emssions Factors'!$F$6:$M$18,3,TRUE)</f>
        <v>0</v>
      </c>
      <c r="AA19" s="33">
        <f>VLOOKUP(H19,'Emssions Factors'!$F$6:$M$18,4,TRUE)</f>
        <v>0</v>
      </c>
      <c r="AB19" s="33">
        <f>VLOOKUP(H19,'Emssions Factors'!$F$6:$M$18,5,TRUE)</f>
        <v>8.1846614836135796E-5</v>
      </c>
      <c r="AC19" s="33">
        <f>VLOOKUP(H19,'Emssions Factors'!$F$6:$M$18,6,TRUE)</f>
        <v>9.9208017983194923E-6</v>
      </c>
      <c r="AD19" s="33">
        <f>VLOOKUP(H19,'Emssions Factors'!$F$6:$M$18,7,TRUE)</f>
        <v>0</v>
      </c>
      <c r="AE19" s="33">
        <f>VLOOKUP(H19,'Emssions Factors'!$F$6:$M$18,8,TRUE)</f>
        <v>0</v>
      </c>
    </row>
    <row r="20" spans="2:31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85</v>
      </c>
      <c r="G20" s="56">
        <f>Input!G20</f>
        <v>0</v>
      </c>
      <c r="H20" s="14" t="str">
        <f t="shared" si="1"/>
        <v>22</v>
      </c>
      <c r="I20" s="16">
        <f t="shared" si="2"/>
        <v>24820</v>
      </c>
      <c r="J20" s="36">
        <f t="shared" si="3"/>
        <v>11.902746295195993</v>
      </c>
      <c r="K20" s="34">
        <f t="shared" si="4"/>
        <v>0</v>
      </c>
      <c r="L20" s="34">
        <f t="shared" si="5"/>
        <v>0</v>
      </c>
      <c r="M20" s="34">
        <f t="shared" si="6"/>
        <v>2.0314329802328905</v>
      </c>
      <c r="N20" s="34">
        <f t="shared" si="7"/>
        <v>0.2462343006342898</v>
      </c>
      <c r="O20" s="34">
        <f t="shared" si="8"/>
        <v>0</v>
      </c>
      <c r="P20" s="34">
        <f t="shared" si="9"/>
        <v>0</v>
      </c>
      <c r="Q20" s="37">
        <f>J20*'Externality Factors'!B$17</f>
        <v>485.13208587337766</v>
      </c>
      <c r="R20" s="37">
        <f>K20*'Externality Factors'!C$17</f>
        <v>0</v>
      </c>
      <c r="S20" s="37">
        <f>L20*'Externality Factors'!D$17</f>
        <v>0</v>
      </c>
      <c r="T20" s="37">
        <f>M20*'Externality Factors'!E$17</f>
        <v>68.762591447183951</v>
      </c>
      <c r="U20" s="37">
        <f>N20*'Externality Factors'!F$17</f>
        <v>75.166810963186734</v>
      </c>
      <c r="V20" s="37">
        <f>O20*'Externality Factors'!G$17</f>
        <v>0</v>
      </c>
      <c r="W20" s="37">
        <f>P20*'Externality Factors'!H$17</f>
        <v>0</v>
      </c>
      <c r="Y20" s="33">
        <f>VLOOKUP(H20,'Emssions Factors'!$F$6:$M$18,2,TRUE)</f>
        <v>4.795627032713937E-4</v>
      </c>
      <c r="Z20" s="33">
        <f>VLOOKUP(H20,'Emssions Factors'!$F$6:$M$18,3,TRUE)</f>
        <v>0</v>
      </c>
      <c r="AA20" s="33">
        <f>VLOOKUP(H20,'Emssions Factors'!$F$6:$M$18,4,TRUE)</f>
        <v>0</v>
      </c>
      <c r="AB20" s="33">
        <f>VLOOKUP(H20,'Emssions Factors'!$F$6:$M$18,5,TRUE)</f>
        <v>8.1846614836135796E-5</v>
      </c>
      <c r="AC20" s="33">
        <f>VLOOKUP(H20,'Emssions Factors'!$F$6:$M$18,6,TRUE)</f>
        <v>9.9208017983194923E-6</v>
      </c>
      <c r="AD20" s="33">
        <f>VLOOKUP(H20,'Emssions Factors'!$F$6:$M$18,7,TRUE)</f>
        <v>0</v>
      </c>
      <c r="AE20" s="33">
        <f>VLOOKUP(H20,'Emssions Factors'!$F$6:$M$18,8,TRUE)</f>
        <v>0</v>
      </c>
    </row>
    <row r="21" spans="2:31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90</v>
      </c>
      <c r="G21" s="56">
        <f>Input!G21</f>
        <v>0</v>
      </c>
      <c r="H21" s="14" t="str">
        <f t="shared" si="1"/>
        <v>22</v>
      </c>
      <c r="I21" s="16">
        <f t="shared" si="2"/>
        <v>26280</v>
      </c>
      <c r="J21" s="36">
        <f t="shared" si="3"/>
        <v>12.602907841972227</v>
      </c>
      <c r="K21" s="34">
        <f t="shared" si="4"/>
        <v>0</v>
      </c>
      <c r="L21" s="34">
        <f t="shared" si="5"/>
        <v>0</v>
      </c>
      <c r="M21" s="34">
        <f t="shared" si="6"/>
        <v>2.1509290378936488</v>
      </c>
      <c r="N21" s="34">
        <f t="shared" si="7"/>
        <v>0.26071867125983628</v>
      </c>
      <c r="O21" s="34">
        <f t="shared" si="8"/>
        <v>0</v>
      </c>
      <c r="P21" s="34">
        <f t="shared" si="9"/>
        <v>0</v>
      </c>
      <c r="Q21" s="37">
        <f>J21*'Externality Factors'!B$17</f>
        <v>513.66926739534097</v>
      </c>
      <c r="R21" s="37">
        <f>K21*'Externality Factors'!C$17</f>
        <v>0</v>
      </c>
      <c r="S21" s="37">
        <f>L21*'Externality Factors'!D$17</f>
        <v>0</v>
      </c>
      <c r="T21" s="37">
        <f>M21*'Externality Factors'!E$17</f>
        <v>72.807449767606528</v>
      </c>
      <c r="U21" s="37">
        <f>N21*'Externality Factors'!F$17</f>
        <v>79.588388078668302</v>
      </c>
      <c r="V21" s="37">
        <f>O21*'Externality Factors'!G$17</f>
        <v>0</v>
      </c>
      <c r="W21" s="37">
        <f>P21*'Externality Factors'!H$17</f>
        <v>0</v>
      </c>
      <c r="Y21" s="33">
        <f>VLOOKUP(H21,'Emssions Factors'!$F$6:$M$18,2,TRUE)</f>
        <v>4.795627032713937E-4</v>
      </c>
      <c r="Z21" s="33">
        <f>VLOOKUP(H21,'Emssions Factors'!$F$6:$M$18,3,TRUE)</f>
        <v>0</v>
      </c>
      <c r="AA21" s="33">
        <f>VLOOKUP(H21,'Emssions Factors'!$F$6:$M$18,4,TRUE)</f>
        <v>0</v>
      </c>
      <c r="AB21" s="33">
        <f>VLOOKUP(H21,'Emssions Factors'!$F$6:$M$18,5,TRUE)</f>
        <v>8.1846614836135796E-5</v>
      </c>
      <c r="AC21" s="33">
        <f>VLOOKUP(H21,'Emssions Factors'!$F$6:$M$18,6,TRUE)</f>
        <v>9.9208017983194923E-6</v>
      </c>
      <c r="AD21" s="33">
        <f>VLOOKUP(H21,'Emssions Factors'!$F$6:$M$18,7,TRUE)</f>
        <v>0</v>
      </c>
      <c r="AE21" s="33">
        <f>VLOOKUP(H21,'Emssions Factors'!$F$6:$M$18,8,TRUE)</f>
        <v>0</v>
      </c>
    </row>
    <row r="22" spans="2:3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95</v>
      </c>
      <c r="G22" s="56">
        <f>Input!G22</f>
        <v>0</v>
      </c>
      <c r="H22" s="14" t="str">
        <f t="shared" si="1"/>
        <v>22</v>
      </c>
      <c r="I22" s="16">
        <f t="shared" si="2"/>
        <v>27740</v>
      </c>
      <c r="J22" s="36">
        <f t="shared" si="3"/>
        <v>13.303069388748462</v>
      </c>
      <c r="K22" s="34">
        <f t="shared" si="4"/>
        <v>0</v>
      </c>
      <c r="L22" s="34">
        <f t="shared" si="5"/>
        <v>0</v>
      </c>
      <c r="M22" s="34">
        <f t="shared" si="6"/>
        <v>2.270425095554407</v>
      </c>
      <c r="N22" s="34">
        <f t="shared" si="7"/>
        <v>0.27520304188538269</v>
      </c>
      <c r="O22" s="34">
        <f t="shared" si="8"/>
        <v>0</v>
      </c>
      <c r="P22" s="34">
        <f t="shared" si="9"/>
        <v>0</v>
      </c>
      <c r="Q22" s="37">
        <f>J22*'Externality Factors'!B$17</f>
        <v>542.20644891730444</v>
      </c>
      <c r="R22" s="37">
        <f>K22*'Externality Factors'!C$17</f>
        <v>0</v>
      </c>
      <c r="S22" s="37">
        <f>L22*'Externality Factors'!D$17</f>
        <v>0</v>
      </c>
      <c r="T22" s="37">
        <f>M22*'Externality Factors'!E$17</f>
        <v>76.852308088029105</v>
      </c>
      <c r="U22" s="37">
        <f>N22*'Externality Factors'!F$17</f>
        <v>84.009965194149871</v>
      </c>
      <c r="V22" s="37">
        <f>O22*'Externality Factors'!G$17</f>
        <v>0</v>
      </c>
      <c r="W22" s="37">
        <f>P22*'Externality Factors'!H$17</f>
        <v>0</v>
      </c>
      <c r="Y22" s="33">
        <f>VLOOKUP(H22,'Emssions Factors'!$F$6:$M$18,2,TRUE)</f>
        <v>4.795627032713937E-4</v>
      </c>
      <c r="Z22" s="33">
        <f>VLOOKUP(H22,'Emssions Factors'!$F$6:$M$18,3,TRUE)</f>
        <v>0</v>
      </c>
      <c r="AA22" s="33">
        <f>VLOOKUP(H22,'Emssions Factors'!$F$6:$M$18,4,TRUE)</f>
        <v>0</v>
      </c>
      <c r="AB22" s="33">
        <f>VLOOKUP(H22,'Emssions Factors'!$F$6:$M$18,5,TRUE)</f>
        <v>8.1846614836135796E-5</v>
      </c>
      <c r="AC22" s="33">
        <f>VLOOKUP(H22,'Emssions Factors'!$F$6:$M$18,6,TRUE)</f>
        <v>9.9208017983194923E-6</v>
      </c>
      <c r="AD22" s="33">
        <f>VLOOKUP(H22,'Emssions Factors'!$F$6:$M$18,7,TRUE)</f>
        <v>0</v>
      </c>
      <c r="AE22" s="33">
        <f>VLOOKUP(H22,'Emssions Factors'!$F$6:$M$18,8,TRUE)</f>
        <v>0</v>
      </c>
    </row>
    <row r="23" spans="2:3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100</v>
      </c>
      <c r="G23" s="56">
        <f>Input!G23</f>
        <v>0</v>
      </c>
      <c r="H23" s="14" t="str">
        <f t="shared" si="1"/>
        <v>22</v>
      </c>
      <c r="I23" s="16">
        <f t="shared" si="2"/>
        <v>29200</v>
      </c>
      <c r="J23" s="36">
        <f t="shared" si="3"/>
        <v>14.003230935524696</v>
      </c>
      <c r="K23" s="34">
        <f t="shared" si="4"/>
        <v>0</v>
      </c>
      <c r="L23" s="34">
        <f t="shared" si="5"/>
        <v>0</v>
      </c>
      <c r="M23" s="34">
        <f t="shared" si="6"/>
        <v>2.3899211532151652</v>
      </c>
      <c r="N23" s="34">
        <f t="shared" si="7"/>
        <v>0.28968741251092917</v>
      </c>
      <c r="O23" s="34">
        <f t="shared" si="8"/>
        <v>0</v>
      </c>
      <c r="P23" s="34">
        <f t="shared" si="9"/>
        <v>0</v>
      </c>
      <c r="Q23" s="37">
        <f>J23*'Externality Factors'!B$17</f>
        <v>570.7436304392678</v>
      </c>
      <c r="R23" s="37">
        <f>K23*'Externality Factors'!C$17</f>
        <v>0</v>
      </c>
      <c r="S23" s="37">
        <f>L23*'Externality Factors'!D$17</f>
        <v>0</v>
      </c>
      <c r="T23" s="37">
        <f>M23*'Externality Factors'!E$17</f>
        <v>80.897166408451696</v>
      </c>
      <c r="U23" s="37">
        <f>N23*'Externality Factors'!F$17</f>
        <v>88.431542309631439</v>
      </c>
      <c r="V23" s="37">
        <f>O23*'Externality Factors'!G$17</f>
        <v>0</v>
      </c>
      <c r="W23" s="37">
        <f>P23*'Externality Factors'!H$17</f>
        <v>0</v>
      </c>
      <c r="Y23" s="33">
        <f>VLOOKUP(H23,'Emssions Factors'!$F$6:$M$18,2,TRUE)</f>
        <v>4.795627032713937E-4</v>
      </c>
      <c r="Z23" s="33">
        <f>VLOOKUP(H23,'Emssions Factors'!$F$6:$M$18,3,TRUE)</f>
        <v>0</v>
      </c>
      <c r="AA23" s="33">
        <f>VLOOKUP(H23,'Emssions Factors'!$F$6:$M$18,4,TRUE)</f>
        <v>0</v>
      </c>
      <c r="AB23" s="33">
        <f>VLOOKUP(H23,'Emssions Factors'!$F$6:$M$18,5,TRUE)</f>
        <v>8.1846614836135796E-5</v>
      </c>
      <c r="AC23" s="33">
        <f>VLOOKUP(H23,'Emssions Factors'!$F$6:$M$18,6,TRUE)</f>
        <v>9.9208017983194923E-6</v>
      </c>
      <c r="AD23" s="33">
        <f>VLOOKUP(H23,'Emssions Factors'!$F$6:$M$18,7,TRUE)</f>
        <v>0</v>
      </c>
      <c r="AE23" s="33">
        <f>VLOOKUP(H23,'Emssions Factors'!$F$6:$M$18,8,TRUE)</f>
        <v>0</v>
      </c>
    </row>
    <row r="24" spans="2:31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1"/>
        <v>00</v>
      </c>
      <c r="I24" s="16">
        <f t="shared" si="2"/>
        <v>0</v>
      </c>
      <c r="J24" s="36" t="e">
        <f t="shared" si="3"/>
        <v>#N/A</v>
      </c>
      <c r="K24" s="34" t="e">
        <f t="shared" si="4"/>
        <v>#N/A</v>
      </c>
      <c r="L24" s="34" t="e">
        <f t="shared" si="5"/>
        <v>#N/A</v>
      </c>
      <c r="M24" s="34" t="e">
        <f t="shared" si="6"/>
        <v>#N/A</v>
      </c>
      <c r="N24" s="34" t="e">
        <f t="shared" si="7"/>
        <v>#N/A</v>
      </c>
      <c r="O24" s="34" t="e">
        <f t="shared" si="8"/>
        <v>#N/A</v>
      </c>
      <c r="P24" s="34" t="e">
        <f t="shared" si="9"/>
        <v>#N/A</v>
      </c>
      <c r="Q24" s="37" t="e">
        <f>J24*'Externality Factors'!B$17</f>
        <v>#N/A</v>
      </c>
      <c r="R24" s="37" t="e">
        <f>K24*'Externality Factors'!C$17</f>
        <v>#N/A</v>
      </c>
      <c r="S24" s="37" t="e">
        <f>L24*'Externality Factors'!D$17</f>
        <v>#N/A</v>
      </c>
      <c r="T24" s="37" t="e">
        <f>M24*'Externality Factors'!E$17</f>
        <v>#N/A</v>
      </c>
      <c r="U24" s="37" t="e">
        <f>N24*'Externality Factors'!F$17</f>
        <v>#N/A</v>
      </c>
      <c r="V24" s="37" t="e">
        <f>O24*'Externality Factors'!G$17</f>
        <v>#N/A</v>
      </c>
      <c r="W24" s="37" t="e">
        <f>P24*'Externality Factors'!H$17</f>
        <v>#N/A</v>
      </c>
      <c r="Y24" s="33" t="e">
        <f>VLOOKUP(H24,'Emssions Factors'!$F$6:$M$18,2,TRUE)</f>
        <v>#N/A</v>
      </c>
      <c r="Z24" s="33" t="e">
        <f>VLOOKUP(H24,'Emssions Factors'!$F$6:$M$18,3,TRUE)</f>
        <v>#N/A</v>
      </c>
      <c r="AA24" s="33" t="e">
        <f>VLOOKUP(H24,'Emssions Factors'!$F$6:$M$18,4,TRUE)</f>
        <v>#N/A</v>
      </c>
      <c r="AB24" s="33" t="e">
        <f>VLOOKUP(H24,'Emssions Factors'!$F$6:$M$18,5,TRUE)</f>
        <v>#N/A</v>
      </c>
      <c r="AC24" s="33" t="e">
        <f>VLOOKUP(H24,'Emssions Factors'!$F$6:$M$18,6,TRUE)</f>
        <v>#N/A</v>
      </c>
      <c r="AD24" s="33" t="e">
        <f>VLOOKUP(H24,'Emssions Factors'!$F$6:$M$18,7,TRUE)</f>
        <v>#N/A</v>
      </c>
      <c r="AE24" s="33" t="e">
        <f>VLOOKUP(H24,'Emssions Factors'!$F$6:$M$18,8,TRUE)</f>
        <v>#N/A</v>
      </c>
    </row>
    <row r="25" spans="2:31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1"/>
        <v>00</v>
      </c>
      <c r="I25" s="16">
        <f t="shared" si="2"/>
        <v>0</v>
      </c>
      <c r="J25" s="36" t="e">
        <f t="shared" si="3"/>
        <v>#N/A</v>
      </c>
      <c r="K25" s="34" t="e">
        <f t="shared" si="4"/>
        <v>#N/A</v>
      </c>
      <c r="L25" s="34" t="e">
        <f t="shared" si="5"/>
        <v>#N/A</v>
      </c>
      <c r="M25" s="34" t="e">
        <f t="shared" si="6"/>
        <v>#N/A</v>
      </c>
      <c r="N25" s="34" t="e">
        <f t="shared" si="7"/>
        <v>#N/A</v>
      </c>
      <c r="O25" s="34" t="e">
        <f t="shared" si="8"/>
        <v>#N/A</v>
      </c>
      <c r="P25" s="34" t="e">
        <f t="shared" si="9"/>
        <v>#N/A</v>
      </c>
      <c r="Q25" s="37" t="e">
        <f>J25*'Externality Factors'!B$17</f>
        <v>#N/A</v>
      </c>
      <c r="R25" s="37" t="e">
        <f>K25*'Externality Factors'!C$17</f>
        <v>#N/A</v>
      </c>
      <c r="S25" s="37" t="e">
        <f>L25*'Externality Factors'!D$17</f>
        <v>#N/A</v>
      </c>
      <c r="T25" s="37" t="e">
        <f>M25*'Externality Factors'!E$17</f>
        <v>#N/A</v>
      </c>
      <c r="U25" s="37" t="e">
        <f>N25*'Externality Factors'!F$17</f>
        <v>#N/A</v>
      </c>
      <c r="V25" s="37" t="e">
        <f>O25*'Externality Factors'!G$17</f>
        <v>#N/A</v>
      </c>
      <c r="W25" s="37" t="e">
        <f>P25*'Externality Factors'!H$17</f>
        <v>#N/A</v>
      </c>
      <c r="Y25" s="33" t="e">
        <f>VLOOKUP(H25,'Emssions Factors'!$F$6:$M$18,2,TRUE)</f>
        <v>#N/A</v>
      </c>
      <c r="Z25" s="33" t="e">
        <f>VLOOKUP(H25,'Emssions Factors'!$F$6:$M$18,3,TRUE)</f>
        <v>#N/A</v>
      </c>
      <c r="AA25" s="33" t="e">
        <f>VLOOKUP(H25,'Emssions Factors'!$F$6:$M$18,4,TRUE)</f>
        <v>#N/A</v>
      </c>
      <c r="AB25" s="33" t="e">
        <f>VLOOKUP(H25,'Emssions Factors'!$F$6:$M$18,5,TRUE)</f>
        <v>#N/A</v>
      </c>
      <c r="AC25" s="33" t="e">
        <f>VLOOKUP(H25,'Emssions Factors'!$F$6:$M$18,6,TRUE)</f>
        <v>#N/A</v>
      </c>
      <c r="AD25" s="33" t="e">
        <f>VLOOKUP(H25,'Emssions Factors'!$F$6:$M$18,7,TRUE)</f>
        <v>#N/A</v>
      </c>
      <c r="AE25" s="33" t="e">
        <f>VLOOKUP(H25,'Emssions Factors'!$F$6:$M$18,8,TRUE)</f>
        <v>#N/A</v>
      </c>
    </row>
    <row r="26" spans="2:31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1"/>
        <v>00</v>
      </c>
      <c r="I26" s="16">
        <f t="shared" si="2"/>
        <v>0</v>
      </c>
      <c r="J26" s="36" t="e">
        <f t="shared" si="3"/>
        <v>#N/A</v>
      </c>
      <c r="K26" s="34" t="e">
        <f t="shared" si="4"/>
        <v>#N/A</v>
      </c>
      <c r="L26" s="34" t="e">
        <f t="shared" si="5"/>
        <v>#N/A</v>
      </c>
      <c r="M26" s="34" t="e">
        <f t="shared" si="6"/>
        <v>#N/A</v>
      </c>
      <c r="N26" s="34" t="e">
        <f t="shared" si="7"/>
        <v>#N/A</v>
      </c>
      <c r="O26" s="34" t="e">
        <f t="shared" si="8"/>
        <v>#N/A</v>
      </c>
      <c r="P26" s="34" t="e">
        <f t="shared" si="9"/>
        <v>#N/A</v>
      </c>
      <c r="Q26" s="37" t="e">
        <f>J26*'Externality Factors'!B$17</f>
        <v>#N/A</v>
      </c>
      <c r="R26" s="37" t="e">
        <f>K26*'Externality Factors'!C$17</f>
        <v>#N/A</v>
      </c>
      <c r="S26" s="37" t="e">
        <f>L26*'Externality Factors'!D$17</f>
        <v>#N/A</v>
      </c>
      <c r="T26" s="37" t="e">
        <f>M26*'Externality Factors'!E$17</f>
        <v>#N/A</v>
      </c>
      <c r="U26" s="37" t="e">
        <f>N26*'Externality Factors'!F$17</f>
        <v>#N/A</v>
      </c>
      <c r="V26" s="37" t="e">
        <f>O26*'Externality Factors'!G$17</f>
        <v>#N/A</v>
      </c>
      <c r="W26" s="37" t="e">
        <f>P26*'Externality Factors'!H$17</f>
        <v>#N/A</v>
      </c>
      <c r="Y26" s="33" t="e">
        <f>VLOOKUP(H26,'Emssions Factors'!$F$6:$M$18,2,TRUE)</f>
        <v>#N/A</v>
      </c>
      <c r="Z26" s="33" t="e">
        <f>VLOOKUP(H26,'Emssions Factors'!$F$6:$M$18,3,TRUE)</f>
        <v>#N/A</v>
      </c>
      <c r="AA26" s="33" t="e">
        <f>VLOOKUP(H26,'Emssions Factors'!$F$6:$M$18,4,TRUE)</f>
        <v>#N/A</v>
      </c>
      <c r="AB26" s="33" t="e">
        <f>VLOOKUP(H26,'Emssions Factors'!$F$6:$M$18,5,TRUE)</f>
        <v>#N/A</v>
      </c>
      <c r="AC26" s="33" t="e">
        <f>VLOOKUP(H26,'Emssions Factors'!$F$6:$M$18,6,TRUE)</f>
        <v>#N/A</v>
      </c>
      <c r="AD26" s="33" t="e">
        <f>VLOOKUP(H26,'Emssions Factors'!$F$6:$M$18,7,TRUE)</f>
        <v>#N/A</v>
      </c>
      <c r="AE26" s="33" t="e">
        <f>VLOOKUP(H26,'Emssions Factors'!$F$6:$M$18,8,TRUE)</f>
        <v>#N/A</v>
      </c>
    </row>
    <row r="27" spans="2:31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1"/>
        <v>00</v>
      </c>
      <c r="I27" s="16">
        <f t="shared" si="2"/>
        <v>0</v>
      </c>
      <c r="J27" s="36" t="e">
        <f t="shared" si="3"/>
        <v>#N/A</v>
      </c>
      <c r="K27" s="34" t="e">
        <f t="shared" si="4"/>
        <v>#N/A</v>
      </c>
      <c r="L27" s="34" t="e">
        <f t="shared" si="5"/>
        <v>#N/A</v>
      </c>
      <c r="M27" s="34" t="e">
        <f t="shared" si="6"/>
        <v>#N/A</v>
      </c>
      <c r="N27" s="34" t="e">
        <f t="shared" si="7"/>
        <v>#N/A</v>
      </c>
      <c r="O27" s="34" t="e">
        <f t="shared" si="8"/>
        <v>#N/A</v>
      </c>
      <c r="P27" s="34" t="e">
        <f t="shared" si="9"/>
        <v>#N/A</v>
      </c>
      <c r="Q27" s="37" t="e">
        <f>J27*'Externality Factors'!B$17</f>
        <v>#N/A</v>
      </c>
      <c r="R27" s="37" t="e">
        <f>K27*'Externality Factors'!C$17</f>
        <v>#N/A</v>
      </c>
      <c r="S27" s="37" t="e">
        <f>L27*'Externality Factors'!D$17</f>
        <v>#N/A</v>
      </c>
      <c r="T27" s="37" t="e">
        <f>M27*'Externality Factors'!E$17</f>
        <v>#N/A</v>
      </c>
      <c r="U27" s="37" t="e">
        <f>N27*'Externality Factors'!F$17</f>
        <v>#N/A</v>
      </c>
      <c r="V27" s="37" t="e">
        <f>O27*'Externality Factors'!G$17</f>
        <v>#N/A</v>
      </c>
      <c r="W27" s="37" t="e">
        <f>P27*'Externality Factors'!H$17</f>
        <v>#N/A</v>
      </c>
      <c r="Y27" s="33" t="e">
        <f>VLOOKUP(H27,'Emssions Factors'!$F$6:$M$18,2,TRUE)</f>
        <v>#N/A</v>
      </c>
      <c r="Z27" s="33" t="e">
        <f>VLOOKUP(H27,'Emssions Factors'!$F$6:$M$18,3,TRUE)</f>
        <v>#N/A</v>
      </c>
      <c r="AA27" s="33" t="e">
        <f>VLOOKUP(H27,'Emssions Factors'!$F$6:$M$18,4,TRUE)</f>
        <v>#N/A</v>
      </c>
      <c r="AB27" s="33" t="e">
        <f>VLOOKUP(H27,'Emssions Factors'!$F$6:$M$18,5,TRUE)</f>
        <v>#N/A</v>
      </c>
      <c r="AC27" s="33" t="e">
        <f>VLOOKUP(H27,'Emssions Factors'!$F$6:$M$18,6,TRUE)</f>
        <v>#N/A</v>
      </c>
      <c r="AD27" s="33" t="e">
        <f>VLOOKUP(H27,'Emssions Factors'!$F$6:$M$18,7,TRUE)</f>
        <v>#N/A</v>
      </c>
      <c r="AE27" s="33" t="e">
        <f>VLOOKUP(H27,'Emssions Factors'!$F$6:$M$18,8,TRUE)</f>
        <v>#N/A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zoomScale="70" zoomScaleNormal="70" workbookViewId="0">
      <selection activeCell="M8" sqref="M8:M9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D26" sqref="D26:E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7" t="s">
        <v>21</v>
      </c>
      <c r="C5" s="97" t="s">
        <v>15</v>
      </c>
      <c r="D5" s="97" t="s">
        <v>22</v>
      </c>
      <c r="E5" s="97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7"/>
      <c r="C6" s="97"/>
      <c r="D6" s="97"/>
      <c r="E6" s="97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2022-04-02T04:54:24Z</dcterms:modified>
</cp:coreProperties>
</file>