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07D10093-D012-47FB-A067-05F4E0454033}" xr6:coauthVersionLast="47" xr6:coauthVersionMax="47" xr10:uidLastSave="{00000000-0000-0000-0000-000000000000}"/>
  <bookViews>
    <workbookView xWindow="1360" yWindow="750" windowWidth="18940" windowHeight="11900" firstSheet="1" activeTab="7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6" l="1"/>
  <c r="K4" i="6" s="1"/>
  <c r="L4" i="6"/>
  <c r="W4" i="6"/>
  <c r="T4" i="6"/>
  <c r="S4" i="6"/>
  <c r="R4" i="6"/>
  <c r="I28" i="8" l="1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Q28" i="8" l="1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R22" i="8"/>
  <c r="Q22" i="8"/>
  <c r="P22" i="8"/>
  <c r="R21" i="8"/>
  <c r="Q21" i="8"/>
  <c r="P21" i="8"/>
  <c r="O21" i="8"/>
  <c r="R20" i="8"/>
  <c r="Q20" i="8"/>
  <c r="P20" i="8"/>
  <c r="R19" i="8"/>
  <c r="Q19" i="8"/>
  <c r="P19" i="8"/>
  <c r="O19" i="8"/>
  <c r="R18" i="8"/>
  <c r="Q18" i="8"/>
  <c r="P18" i="8"/>
  <c r="R17" i="8"/>
  <c r="Q17" i="8"/>
  <c r="P17" i="8"/>
  <c r="O17" i="8"/>
  <c r="R16" i="8"/>
  <c r="P16" i="8"/>
  <c r="O16" i="8"/>
  <c r="R15" i="8"/>
  <c r="Q15" i="8"/>
  <c r="P15" i="8"/>
  <c r="O15" i="8"/>
  <c r="R14" i="8"/>
  <c r="P14" i="8"/>
  <c r="O14" i="8"/>
  <c r="R13" i="8"/>
  <c r="Q13" i="8"/>
  <c r="P13" i="8"/>
  <c r="O13" i="8"/>
  <c r="R12" i="8"/>
  <c r="P12" i="8"/>
  <c r="O12" i="8"/>
  <c r="R11" i="8"/>
  <c r="Q11" i="8"/>
  <c r="P11" i="8"/>
  <c r="O11" i="8"/>
  <c r="R10" i="8"/>
  <c r="Q10" i="8"/>
  <c r="O10" i="8"/>
  <c r="R9" i="8"/>
  <c r="Q9" i="8"/>
  <c r="O9" i="8"/>
  <c r="R8" i="8"/>
  <c r="Q8" i="8"/>
  <c r="O8" i="8"/>
  <c r="R7" i="8"/>
  <c r="Q7" i="8"/>
  <c r="O7" i="8"/>
  <c r="R6" i="8"/>
  <c r="Q6" i="8"/>
  <c r="O6" i="8"/>
  <c r="R5" i="8"/>
  <c r="Q5" i="8"/>
  <c r="Q4" i="8" s="1"/>
  <c r="O5" i="8"/>
  <c r="H28" i="8"/>
  <c r="G28" i="8"/>
  <c r="F28" i="8"/>
  <c r="R28" i="8" s="1"/>
  <c r="E28" i="8"/>
  <c r="D28" i="8"/>
  <c r="C28" i="8"/>
  <c r="B28" i="8"/>
  <c r="H27" i="8"/>
  <c r="G27" i="8"/>
  <c r="F27" i="8"/>
  <c r="R27" i="8" s="1"/>
  <c r="E27" i="8"/>
  <c r="D27" i="8"/>
  <c r="C27" i="8"/>
  <c r="B27" i="8"/>
  <c r="H26" i="8"/>
  <c r="G26" i="8"/>
  <c r="F26" i="8"/>
  <c r="R26" i="8" s="1"/>
  <c r="E26" i="8"/>
  <c r="D26" i="8"/>
  <c r="C26" i="8"/>
  <c r="B26" i="8"/>
  <c r="H25" i="8"/>
  <c r="G25" i="8"/>
  <c r="F25" i="8"/>
  <c r="R25" i="8" s="1"/>
  <c r="E25" i="8"/>
  <c r="D25" i="8"/>
  <c r="C25" i="8"/>
  <c r="B25" i="8"/>
  <c r="Q13" i="13"/>
  <c r="Q5" i="13"/>
  <c r="G20" i="13"/>
  <c r="G12" i="13"/>
  <c r="G4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H18" i="13" s="1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H14" i="13"/>
  <c r="H6" i="13"/>
  <c r="H22" i="8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G21" i="13" s="1"/>
  <c r="I22" i="1"/>
  <c r="H22" i="1"/>
  <c r="H23" i="8" s="1"/>
  <c r="I21" i="1"/>
  <c r="H21" i="1"/>
  <c r="G19" i="13" s="1"/>
  <c r="I20" i="1"/>
  <c r="H20" i="1"/>
  <c r="H21" i="8" s="1"/>
  <c r="I19" i="1"/>
  <c r="H19" i="1"/>
  <c r="H20" i="8" s="1"/>
  <c r="I18" i="1"/>
  <c r="H18" i="1"/>
  <c r="H19" i="8" s="1"/>
  <c r="I17" i="1"/>
  <c r="H17" i="1"/>
  <c r="H18" i="8" s="1"/>
  <c r="I16" i="1"/>
  <c r="H16" i="1"/>
  <c r="H17" i="8" s="1"/>
  <c r="I15" i="1"/>
  <c r="H15" i="1"/>
  <c r="H16" i="8" s="1"/>
  <c r="I14" i="1"/>
  <c r="H14" i="1"/>
  <c r="H15" i="8" s="1"/>
  <c r="I13" i="1"/>
  <c r="H13" i="1"/>
  <c r="G11" i="13" s="1"/>
  <c r="I12" i="1"/>
  <c r="H12" i="1"/>
  <c r="H13" i="8" s="1"/>
  <c r="I11" i="1"/>
  <c r="H11" i="1"/>
  <c r="H12" i="8" s="1"/>
  <c r="I10" i="1"/>
  <c r="H10" i="1"/>
  <c r="H11" i="8" s="1"/>
  <c r="I9" i="1"/>
  <c r="H9" i="1"/>
  <c r="H10" i="8" s="1"/>
  <c r="I8" i="1"/>
  <c r="H8" i="1"/>
  <c r="H9" i="8" s="1"/>
  <c r="F24" i="8"/>
  <c r="R24" i="8" s="1"/>
  <c r="D24" i="8"/>
  <c r="C24" i="8"/>
  <c r="B24" i="8"/>
  <c r="F23" i="8"/>
  <c r="R23" i="8" s="1"/>
  <c r="R4" i="8" s="1"/>
  <c r="D23" i="8"/>
  <c r="C23" i="8"/>
  <c r="B23" i="8"/>
  <c r="F22" i="8"/>
  <c r="O22" i="8" s="1"/>
  <c r="D22" i="8"/>
  <c r="C22" i="8"/>
  <c r="B22" i="8"/>
  <c r="F21" i="8"/>
  <c r="D21" i="8"/>
  <c r="C21" i="8"/>
  <c r="B21" i="8"/>
  <c r="F20" i="8"/>
  <c r="O20" i="8" s="1"/>
  <c r="D20" i="8"/>
  <c r="C20" i="8"/>
  <c r="B20" i="8"/>
  <c r="F19" i="8"/>
  <c r="D19" i="8"/>
  <c r="C19" i="8"/>
  <c r="B19" i="8"/>
  <c r="F18" i="8"/>
  <c r="O18" i="8" s="1"/>
  <c r="D18" i="8"/>
  <c r="C18" i="8"/>
  <c r="B18" i="8"/>
  <c r="F17" i="8"/>
  <c r="D17" i="8"/>
  <c r="C17" i="8"/>
  <c r="B17" i="8"/>
  <c r="F16" i="8"/>
  <c r="Q16" i="8" s="1"/>
  <c r="D16" i="8"/>
  <c r="C16" i="8"/>
  <c r="B16" i="8"/>
  <c r="F15" i="8"/>
  <c r="D15" i="8"/>
  <c r="C15" i="8"/>
  <c r="B15" i="8"/>
  <c r="F14" i="8"/>
  <c r="Q14" i="8" s="1"/>
  <c r="D14" i="8"/>
  <c r="C14" i="8"/>
  <c r="B14" i="8"/>
  <c r="F13" i="8"/>
  <c r="D13" i="8"/>
  <c r="C13" i="8"/>
  <c r="B13" i="8"/>
  <c r="F12" i="8"/>
  <c r="Q12" i="8" s="1"/>
  <c r="D12" i="8"/>
  <c r="C12" i="8"/>
  <c r="B12" i="8"/>
  <c r="F11" i="8"/>
  <c r="D11" i="8"/>
  <c r="C11" i="8"/>
  <c r="B11" i="8"/>
  <c r="F10" i="8"/>
  <c r="P10" i="8" s="1"/>
  <c r="C10" i="8"/>
  <c r="B10" i="8"/>
  <c r="F8" i="8"/>
  <c r="P8" i="8" s="1"/>
  <c r="E8" i="8"/>
  <c r="C8" i="8"/>
  <c r="B8" i="8"/>
  <c r="F9" i="8"/>
  <c r="P9" i="8" s="1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H22" i="7" s="1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H18" i="7" s="1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H7" i="7" s="1"/>
  <c r="V7" i="7" s="1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H22" i="12" s="1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G11" i="12"/>
  <c r="O11" i="12" s="1"/>
  <c r="F11" i="12"/>
  <c r="I11" i="12" s="1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P7" i="8" s="1"/>
  <c r="E7" i="8"/>
  <c r="D7" i="8"/>
  <c r="C7" i="8"/>
  <c r="B7" i="8"/>
  <c r="F6" i="8"/>
  <c r="P6" i="8" s="1"/>
  <c r="E6" i="8"/>
  <c r="D6" i="8"/>
  <c r="C6" i="8"/>
  <c r="B6" i="8"/>
  <c r="F5" i="8"/>
  <c r="P5" i="8" s="1"/>
  <c r="P4" i="8" s="1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1"/>
  <c r="I6" i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K2" i="13" l="1"/>
  <c r="F4" i="8"/>
  <c r="O4" i="8"/>
  <c r="H40" i="6"/>
  <c r="H35" i="6"/>
  <c r="H56" i="9"/>
  <c r="H84" i="6"/>
  <c r="W84" i="6" s="1"/>
  <c r="H115" i="6"/>
  <c r="AB7" i="9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U22" i="12"/>
  <c r="T22" i="12"/>
  <c r="S22" i="12"/>
  <c r="R22" i="12"/>
  <c r="Q22" i="12"/>
  <c r="K22" i="12" s="1"/>
  <c r="N22" i="12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V16" i="6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U15" i="12"/>
  <c r="T15" i="12"/>
  <c r="S15" i="12"/>
  <c r="R15" i="12"/>
  <c r="Q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X18" i="7"/>
  <c r="U18" i="7"/>
  <c r="M18" i="7" s="1"/>
  <c r="S18" i="7"/>
  <c r="K18" i="7" s="1"/>
  <c r="W18" i="7"/>
  <c r="O18" i="7" s="1"/>
  <c r="V18" i="7"/>
  <c r="X22" i="7"/>
  <c r="V22" i="7"/>
  <c r="U22" i="7"/>
  <c r="W22" i="7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Q16" i="6"/>
  <c r="U70" i="6"/>
  <c r="M70" i="6" s="1"/>
  <c r="S81" i="6"/>
  <c r="T90" i="6"/>
  <c r="N90" i="6" s="1"/>
  <c r="W90" i="6"/>
  <c r="O90" i="6" s="1"/>
  <c r="V90" i="6"/>
  <c r="R16" i="7"/>
  <c r="X16" i="7"/>
  <c r="W16" i="7"/>
  <c r="S16" i="7"/>
  <c r="K16" i="7" s="1"/>
  <c r="V16" i="7"/>
  <c r="N16" i="7" s="1"/>
  <c r="U16" i="7"/>
  <c r="M16" i="7" s="1"/>
  <c r="T16" i="7"/>
  <c r="L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R21" i="7"/>
  <c r="J21" i="7" s="1"/>
  <c r="X21" i="7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T16" i="6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K16" i="6"/>
  <c r="J14" i="13" s="1"/>
  <c r="N16" i="6"/>
  <c r="M14" i="13" s="1"/>
  <c r="H10" i="6"/>
  <c r="H80" i="6"/>
  <c r="H116" i="6"/>
  <c r="K92" i="6"/>
  <c r="K15" i="6"/>
  <c r="J13" i="13" s="1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K15" i="12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P21" i="7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J7" i="9"/>
  <c r="Q7" i="9" s="1"/>
  <c r="S5" i="13" s="1"/>
  <c r="L7" i="9"/>
  <c r="S7" i="9" s="1"/>
  <c r="U5" i="13" s="1"/>
  <c r="K7" i="9"/>
  <c r="R7" i="9" s="1"/>
  <c r="T5" i="13" s="1"/>
  <c r="M7" i="9"/>
  <c r="T7" i="9" s="1"/>
  <c r="V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M22" i="7"/>
  <c r="P22" i="7"/>
  <c r="O22" i="7"/>
  <c r="K21" i="7"/>
  <c r="P16" i="7"/>
  <c r="O16" i="7"/>
  <c r="J16" i="7"/>
  <c r="K22" i="7"/>
  <c r="N22" i="7"/>
  <c r="K30" i="7"/>
  <c r="J30" i="7"/>
  <c r="N30" i="7"/>
  <c r="L21" i="7"/>
  <c r="P18" i="7"/>
  <c r="N18" i="7"/>
  <c r="H50" i="7"/>
  <c r="K12" i="7"/>
  <c r="H27" i="7"/>
  <c r="H36" i="7"/>
  <c r="J18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W4" i="12"/>
  <c r="X4" i="12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AB75" i="9" l="1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U6" i="7"/>
  <c r="M6" i="7" s="1"/>
  <c r="V6" i="7"/>
  <c r="L5" i="9"/>
  <c r="S5" i="9" s="1"/>
  <c r="U3" i="13" s="1"/>
  <c r="AB5" i="9"/>
  <c r="AA5" i="9"/>
  <c r="Z5" i="9"/>
  <c r="Y5" i="9"/>
  <c r="AC5" i="9"/>
  <c r="AE5" i="9"/>
  <c r="P5" i="9" s="1"/>
  <c r="W5" i="9" s="1"/>
  <c r="Y3" i="13" s="1"/>
  <c r="AD5" i="9"/>
  <c r="R5" i="13"/>
  <c r="J5" i="7"/>
  <c r="S5" i="7"/>
  <c r="K5" i="7" s="1"/>
  <c r="R5" i="7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AC6" i="9"/>
  <c r="AB6" i="9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S6" i="6"/>
  <c r="V4" i="6"/>
  <c r="U4" i="6"/>
  <c r="P13" i="13"/>
  <c r="J15" i="12"/>
  <c r="O13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U20" i="7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X11" i="7"/>
  <c r="T11" i="7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S22" i="6"/>
  <c r="Q22" i="6"/>
  <c r="K22" i="6" s="1"/>
  <c r="J20" i="13" s="1"/>
  <c r="U22" i="6"/>
  <c r="M22" i="6" s="1"/>
  <c r="L20" i="13" s="1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U86" i="12"/>
  <c r="T86" i="12"/>
  <c r="R86" i="12"/>
  <c r="S86" i="12"/>
  <c r="Q86" i="12"/>
  <c r="K86" i="12" s="1"/>
  <c r="N86" i="12"/>
  <c r="AC13" i="9"/>
  <c r="AB13" i="9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R17" i="7"/>
  <c r="U17" i="7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R10" i="7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S26" i="7"/>
  <c r="K26" i="7" s="1"/>
  <c r="W26" i="7"/>
  <c r="O26" i="7" s="1"/>
  <c r="U26" i="7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O11" i="6" s="1"/>
  <c r="N9" i="13" s="1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M17" i="6" s="1"/>
  <c r="L15" i="13" s="1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R25" i="7"/>
  <c r="X25" i="7"/>
  <c r="V25" i="7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M27" i="8" s="1"/>
  <c r="AD26" i="9"/>
  <c r="O26" i="9" s="1"/>
  <c r="V26" i="9" s="1"/>
  <c r="AE26" i="9"/>
  <c r="P26" i="9" s="1"/>
  <c r="W26" i="9" s="1"/>
  <c r="AC26" i="9"/>
  <c r="AB26" i="9"/>
  <c r="M26" i="9" s="1"/>
  <c r="T26" i="9" s="1"/>
  <c r="AA26" i="9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AE27" i="9"/>
  <c r="P27" i="9" s="1"/>
  <c r="W27" i="9" s="1"/>
  <c r="AD27" i="9"/>
  <c r="Y27" i="9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M12" i="6" s="1"/>
  <c r="L10" i="13" s="1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K25" i="9"/>
  <c r="R25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N22" i="6"/>
  <c r="M20" i="13" s="1"/>
  <c r="L93" i="7"/>
  <c r="J10" i="7"/>
  <c r="L10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23" i="6"/>
  <c r="L21" i="13" s="1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M13" i="9"/>
  <c r="T13" i="9" s="1"/>
  <c r="V11" i="13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O22" i="9"/>
  <c r="V22" i="9" s="1"/>
  <c r="X20" i="13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M22" i="9"/>
  <c r="T22" i="9" s="1"/>
  <c r="V20" i="13" s="1"/>
  <c r="O15" i="6"/>
  <c r="L24" i="7"/>
  <c r="M14" i="7"/>
  <c r="K91" i="6"/>
  <c r="M41" i="7"/>
  <c r="P53" i="9"/>
  <c r="W53" i="9" s="1"/>
  <c r="K22" i="9"/>
  <c r="R22" i="9" s="1"/>
  <c r="T20" i="13" s="1"/>
  <c r="J21" i="9"/>
  <c r="Q21" i="9" s="1"/>
  <c r="S19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L11" i="7"/>
  <c r="O11" i="7"/>
  <c r="K11" i="7"/>
  <c r="P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N26" i="9"/>
  <c r="U26" i="9" s="1"/>
  <c r="L26" i="9"/>
  <c r="S26" i="9" s="1"/>
  <c r="O25" i="7"/>
  <c r="L25" i="7"/>
  <c r="P25" i="7"/>
  <c r="J25" i="7"/>
  <c r="N25" i="7"/>
  <c r="K19" i="12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K26" i="6"/>
  <c r="O101" i="6"/>
  <c r="N121" i="6"/>
  <c r="N50" i="6"/>
  <c r="K50" i="6"/>
  <c r="K42" i="6"/>
  <c r="O93" i="6"/>
  <c r="O40" i="6"/>
  <c r="K80" i="6"/>
  <c r="N80" i="6"/>
  <c r="M80" i="6"/>
  <c r="O24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N21" i="6"/>
  <c r="M19" i="13" s="1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O16" i="6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J17" i="7"/>
  <c r="N17" i="7"/>
  <c r="M17" i="7"/>
  <c r="L17" i="7"/>
  <c r="K17" i="7"/>
  <c r="M26" i="7"/>
  <c r="L26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K27" i="9"/>
  <c r="R27" i="9" s="1"/>
  <c r="J27" i="9"/>
  <c r="Q27" i="9" s="1"/>
  <c r="M28" i="8" s="1"/>
  <c r="O27" i="9"/>
  <c r="V27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J20" i="7"/>
  <c r="P20" i="7"/>
  <c r="L20" i="7"/>
  <c r="N20" i="7"/>
  <c r="M20" i="7"/>
  <c r="P27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K18" i="12"/>
  <c r="O8" i="6"/>
  <c r="N6" i="13" s="1"/>
  <c r="J115" i="6"/>
  <c r="Y4" i="12"/>
  <c r="K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M4" i="7"/>
  <c r="J6" i="7"/>
  <c r="O4" i="6"/>
  <c r="N2" i="13" s="1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O5" i="9"/>
  <c r="V5" i="9" s="1"/>
  <c r="X3" i="13" s="1"/>
  <c r="J5" i="9"/>
  <c r="Q5" i="9" s="1"/>
  <c r="S3" i="13" s="1"/>
  <c r="K5" i="6"/>
  <c r="J3" i="13" s="1"/>
  <c r="O6" i="6"/>
  <c r="N4" i="13" s="1"/>
  <c r="N6" i="6"/>
  <c r="M4" i="13" s="1"/>
  <c r="P6" i="7"/>
  <c r="L6" i="7"/>
  <c r="K6" i="7"/>
  <c r="O6" i="7"/>
  <c r="N6" i="7"/>
  <c r="N6" i="9"/>
  <c r="U6" i="9" s="1"/>
  <c r="W4" i="13" s="1"/>
  <c r="P4" i="9"/>
  <c r="W4" i="9" s="1"/>
  <c r="Y2" i="13" s="1"/>
  <c r="O4" i="9"/>
  <c r="V4" i="9" s="1"/>
  <c r="X2" i="13" s="1"/>
  <c r="M6" i="9"/>
  <c r="T6" i="9" s="1"/>
  <c r="V4" i="13" s="1"/>
  <c r="J4" i="9"/>
  <c r="Q4" i="9" s="1"/>
  <c r="S2" i="13" s="1"/>
  <c r="L6" i="9"/>
  <c r="S6" i="9" s="1"/>
  <c r="U4" i="13" s="1"/>
  <c r="K6" i="9"/>
  <c r="R6" i="9" s="1"/>
  <c r="T4" i="13" s="1"/>
  <c r="M26" i="8" l="1"/>
  <c r="L23" i="8"/>
  <c r="M25" i="8"/>
  <c r="L12" i="8"/>
  <c r="M27" i="6"/>
  <c r="M25" i="6"/>
  <c r="L16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L28" i="8" s="1"/>
  <c r="J63" i="12"/>
  <c r="J106" i="12"/>
  <c r="J90" i="12"/>
  <c r="J41" i="12"/>
  <c r="J120" i="12"/>
  <c r="J55" i="12"/>
  <c r="J123" i="12"/>
  <c r="J68" i="6"/>
  <c r="J70" i="6"/>
  <c r="J105" i="6"/>
  <c r="J25" i="12"/>
  <c r="L26" i="8" s="1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24" i="6" s="1"/>
  <c r="K25" i="8" s="1"/>
  <c r="J25" i="8" s="1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L27" i="8" s="1"/>
  <c r="J84" i="6"/>
  <c r="J88" i="12"/>
  <c r="J64" i="12"/>
  <c r="J29" i="12"/>
  <c r="J59" i="12"/>
  <c r="M96" i="6"/>
  <c r="J51" i="12"/>
  <c r="M97" i="6"/>
  <c r="J86" i="12"/>
  <c r="J58" i="12"/>
  <c r="O27" i="6"/>
  <c r="J27" i="6" s="1"/>
  <c r="K28" i="8" s="1"/>
  <c r="J28" i="8" s="1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L25" i="8" s="1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J16" i="6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L19" i="8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M22" i="8"/>
  <c r="M52" i="6"/>
  <c r="J39" i="6"/>
  <c r="O17" i="6"/>
  <c r="J8" i="6"/>
  <c r="M6" i="8"/>
  <c r="M18" i="8"/>
  <c r="M23" i="8"/>
  <c r="M5" i="8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J2" i="13"/>
  <c r="M6" i="6"/>
  <c r="L2" i="13" l="1"/>
  <c r="J4" i="6"/>
  <c r="M4" i="8"/>
  <c r="J9" i="6"/>
  <c r="I7" i="13" s="1"/>
  <c r="L10" i="8"/>
  <c r="L8" i="8"/>
  <c r="L24" i="8"/>
  <c r="L18" i="8"/>
  <c r="J29" i="6"/>
  <c r="J51" i="6"/>
  <c r="J85" i="6"/>
  <c r="J122" i="6"/>
  <c r="J83" i="6"/>
  <c r="J25" i="6"/>
  <c r="K26" i="8" s="1"/>
  <c r="J26" i="8" s="1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4" i="8" s="1"/>
  <c r="L14" i="8"/>
  <c r="J23" i="6"/>
  <c r="N21" i="13"/>
  <c r="J12" i="6"/>
  <c r="J17" i="6"/>
  <c r="N15" i="13"/>
  <c r="L22" i="8"/>
  <c r="L7" i="8"/>
  <c r="L9" i="8"/>
  <c r="K10" i="8"/>
  <c r="J10" i="8" s="1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I6" i="13"/>
  <c r="L15" i="8"/>
  <c r="J20" i="6"/>
  <c r="J98" i="6"/>
  <c r="J111" i="6"/>
  <c r="J114" i="6"/>
  <c r="J46" i="6"/>
  <c r="J95" i="6"/>
  <c r="J113" i="6"/>
  <c r="J86" i="6"/>
  <c r="J66" i="6"/>
  <c r="J106" i="6"/>
  <c r="J54" i="6"/>
  <c r="J32" i="6"/>
  <c r="J26" i="6"/>
  <c r="K27" i="8" s="1"/>
  <c r="J27" i="8" s="1"/>
  <c r="J45" i="6"/>
  <c r="J58" i="6"/>
  <c r="J13" i="6"/>
  <c r="J78" i="6"/>
  <c r="J21" i="6"/>
  <c r="J94" i="6"/>
  <c r="J33" i="6"/>
  <c r="J102" i="6"/>
  <c r="J43" i="6"/>
  <c r="J116" i="6"/>
  <c r="J31" i="6"/>
  <c r="J61" i="6"/>
  <c r="J48" i="6"/>
  <c r="J73" i="6"/>
  <c r="J9" i="8" l="1"/>
  <c r="K7" i="8"/>
  <c r="J7" i="8" s="1"/>
  <c r="K19" i="8"/>
  <c r="J19" i="8" s="1"/>
  <c r="I16" i="13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I3" i="13"/>
  <c r="K21" i="8"/>
  <c r="J21" i="8" s="1"/>
  <c r="I18" i="13"/>
  <c r="K15" i="8"/>
  <c r="J15" i="8" s="1"/>
  <c r="I12" i="13"/>
  <c r="K13" i="8"/>
  <c r="J13" i="8" s="1"/>
  <c r="I10" i="13"/>
  <c r="K5" i="8"/>
  <c r="I2" i="13"/>
  <c r="K14" i="8"/>
  <c r="J14" i="8" s="1"/>
  <c r="I11" i="13"/>
  <c r="K18" i="8"/>
  <c r="J18" i="8" s="1"/>
  <c r="I15" i="13"/>
  <c r="K11" i="8"/>
  <c r="J11" i="8" s="1"/>
  <c r="I8" i="13"/>
  <c r="J6" i="8"/>
  <c r="K24" i="8"/>
  <c r="J24" i="8" s="1"/>
  <c r="I21" i="13"/>
  <c r="J5" i="8" l="1"/>
  <c r="J4" i="8" s="1"/>
  <c r="K4" i="8"/>
  <c r="E62" i="3"/>
  <c r="J62" i="3"/>
  <c r="E57" i="3"/>
  <c r="J57" i="3"/>
  <c r="E36" i="3"/>
  <c r="E59" i="3"/>
  <c r="J59" i="3"/>
  <c r="E42" i="3"/>
  <c r="E60" i="3"/>
  <c r="J60" i="3"/>
  <c r="E58" i="3"/>
  <c r="J58" i="3"/>
  <c r="E40" i="3"/>
  <c r="E46" i="3"/>
  <c r="E61" i="3"/>
  <c r="J61" i="3"/>
  <c r="E39" i="3"/>
  <c r="J40" i="3"/>
  <c r="J50" i="3"/>
  <c r="E50" i="3"/>
  <c r="E37" i="3"/>
  <c r="E41" i="3"/>
  <c r="J36" i="3"/>
  <c r="J46" i="3"/>
  <c r="J56" i="3"/>
  <c r="E56" i="3"/>
  <c r="J37" i="3"/>
  <c r="J47" i="3"/>
  <c r="E47" i="3"/>
  <c r="J42" i="3"/>
  <c r="J52" i="3"/>
  <c r="E52" i="3"/>
  <c r="J39" i="3"/>
  <c r="J49" i="3"/>
  <c r="E49" i="3"/>
  <c r="E48" i="3"/>
  <c r="J41" i="3"/>
  <c r="J51" i="3"/>
  <c r="E51" i="3"/>
  <c r="J48" i="3"/>
  <c r="J38" i="3"/>
  <c r="E38" i="3"/>
</calcChain>
</file>

<file path=xl/sharedStrings.xml><?xml version="1.0" encoding="utf-8"?>
<sst xmlns="http://schemas.openxmlformats.org/spreadsheetml/2006/main" count="481" uniqueCount="113">
  <si>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</si>
  <si>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</si>
  <si>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</si>
  <si>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</si>
  <si>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</si>
  <si>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</si>
  <si>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</si>
  <si>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</si>
  <si>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</si>
  <si>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</si>
  <si>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</si>
  <si>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</si>
  <si>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</si>
  <si>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</si>
  <si>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</si>
  <si>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</si>
  <si>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</si>
  <si>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</si>
  <si>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</si>
  <si>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</si>
  <si>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</si>
  <si>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</si>
  <si>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</si>
  <si>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</si>
  <si>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</si>
  <si>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</si>
  <si>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</si>
  <si>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</si>
  <si>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</si>
  <si>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</si>
  <si>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</si>
  <si>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</si>
  <si>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</si>
  <si>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</si>
  <si>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</si>
  <si>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</si>
  <si>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</si>
  <si>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</si>
  <si>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</si>
  <si>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</si>
  <si>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</si>
  <si>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</si>
  <si>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</si>
  <si>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</si>
  <si>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</si>
  <si>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</si>
  <si>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</si>
  <si>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</si>
  <si>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</si>
  <si>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</si>
  <si>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</si>
  <si>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</si>
  <si>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</si>
  <si>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</si>
  <si>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</si>
  <si>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</si>
  <si>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</si>
  <si>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</si>
  <si>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</si>
  <si>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</si>
  <si>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</si>
  <si>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</si>
  <si>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</si>
  <si>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</si>
  <si>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</si>
  <si>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</si>
  <si>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</si>
  <si>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</si>
  <si>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</si>
  <si>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</si>
  <si>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</si>
  <si>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</si>
  <si>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</si>
  <si>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</si>
  <si>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</si>
  <si>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</si>
  <si>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</si>
  <si>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</si>
  <si>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</si>
  <si>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</si>
  <si>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</si>
  <si>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</si>
  <si>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</si>
  <si>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</si>
  <si>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</si>
  <si>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</si>
  <si>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</si>
  <si>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</si>
  <si>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</si>
  <si>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</si>
  <si>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</si>
  <si>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</si>
  <si>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</si>
  <si>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</si>
  <si>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</si>
  <si>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</si>
  <si>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</si>
  <si>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</si>
  <si>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</si>
  <si>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</si>
  <si>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</si>
  <si>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</si>
  <si>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</si>
  <si>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</si>
  <si>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</si>
  <si>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</si>
  <si>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</si>
  <si>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</si>
  <si>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</si>
  <si>
    <t>USPS</t>
    <phoneticPr fontId="2"/>
  </si>
  <si>
    <t>UPS</t>
    <phoneticPr fontId="2"/>
  </si>
  <si>
    <t>Amazon</t>
    <phoneticPr fontId="2"/>
  </si>
  <si>
    <t>FedEx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</si>
</sst>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99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I124"/>
  <sheetViews>
    <sheetView zoomScale="85" zoomScaleNormal="85" workbookViewId="0">
      <selection activeCell="F18" sqref="F18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9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9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9">
      <c r="B4" s="18">
        <v>2</v>
      </c>
      <c r="C4" s="18">
        <v>1</v>
      </c>
      <c r="D4" s="18">
        <v>2</v>
      </c>
      <c r="E4" s="18">
        <v>1</v>
      </c>
      <c r="F4" s="18">
        <v>32.423698406369354</v>
      </c>
      <c r="G4" s="18">
        <v>0</v>
      </c>
      <c r="H4" s="14" t="str">
        <f>D4&amp;E4</f>
        <v>21</v>
      </c>
      <c r="I4" s="16">
        <f>F4*365*0.8</f>
        <v>9467.7199346598518</v>
      </c>
    </row>
    <row r="5" spans="2:9">
      <c r="B5" s="18">
        <v>2</v>
      </c>
      <c r="C5" s="18">
        <v>2</v>
      </c>
      <c r="D5" s="18">
        <v>2</v>
      </c>
      <c r="E5" s="18">
        <v>1</v>
      </c>
      <c r="F5" s="18">
        <v>36.4751451278144</v>
      </c>
      <c r="G5" s="18">
        <v>0</v>
      </c>
      <c r="H5" s="14" t="str">
        <f>D5&amp;E5</f>
        <v>21</v>
      </c>
      <c r="I5" s="16">
        <f>F5*365*0.8</f>
        <v>10650.742377321805</v>
      </c>
    </row>
    <row r="6" spans="2:9">
      <c r="B6" s="18">
        <v>2</v>
      </c>
      <c r="C6" s="18">
        <v>3</v>
      </c>
      <c r="D6" s="18">
        <v>2</v>
      </c>
      <c r="E6" s="18">
        <v>1</v>
      </c>
      <c r="F6" s="18">
        <v>48.739213237171441</v>
      </c>
      <c r="G6" s="18">
        <v>0</v>
      </c>
      <c r="H6" s="14" t="str">
        <f>D6&amp;E6</f>
        <v>21</v>
      </c>
      <c r="I6" s="16">
        <f>F6*365*0.8</f>
        <v>14231.850265254061</v>
      </c>
    </row>
    <row r="7" spans="2:9">
      <c r="B7" s="18">
        <v>2</v>
      </c>
      <c r="C7" s="18">
        <v>4</v>
      </c>
      <c r="D7" s="18">
        <v>2</v>
      </c>
      <c r="E7" s="18">
        <v>1</v>
      </c>
      <c r="F7" s="18">
        <v>35.421514362907701</v>
      </c>
      <c r="G7" s="18">
        <v>0</v>
      </c>
      <c r="H7" s="14" t="str">
        <f>D7&amp;E7</f>
        <v>21</v>
      </c>
      <c r="I7" s="16">
        <f>F7*365*0.8</f>
        <v>10343.08219396905</v>
      </c>
    </row>
    <row r="8" spans="2:9">
      <c r="B8" s="18">
        <v>2</v>
      </c>
      <c r="C8" s="18">
        <v>5</v>
      </c>
      <c r="D8" s="18">
        <v>2</v>
      </c>
      <c r="E8" s="18">
        <v>1</v>
      </c>
      <c r="F8" s="18">
        <v>38.942508311456677</v>
      </c>
      <c r="G8" s="18">
        <v>0</v>
      </c>
      <c r="H8" s="14" t="str">
        <f t="shared" ref="H8:H71" si="0">D8&amp;E8</f>
        <v>21</v>
      </c>
      <c r="I8" s="16">
        <f t="shared" ref="I8:I71" si="1">F8*365*0.8</f>
        <v>11371.212426945351</v>
      </c>
    </row>
    <row r="9" spans="2:9">
      <c r="B9" s="18">
        <v>2</v>
      </c>
      <c r="C9" s="18">
        <v>6</v>
      </c>
      <c r="D9" s="18">
        <v>2</v>
      </c>
      <c r="E9" s="18">
        <v>1</v>
      </c>
      <c r="F9" s="18">
        <v>9.0971134972324172</v>
      </c>
      <c r="G9" s="18">
        <v>0</v>
      </c>
      <c r="H9" s="14" t="str">
        <f t="shared" si="0"/>
        <v>21</v>
      </c>
      <c r="I9" s="16">
        <f t="shared" si="1"/>
        <v>2656.357141191866</v>
      </c>
    </row>
    <row r="10" spans="2:9">
      <c r="B10" s="18">
        <v>3</v>
      </c>
      <c r="C10" s="18">
        <v>7</v>
      </c>
      <c r="D10" s="18">
        <v>2</v>
      </c>
      <c r="E10" s="18">
        <v>1</v>
      </c>
      <c r="F10" s="18">
        <v>38.559369851490601</v>
      </c>
      <c r="G10" s="18">
        <v>0</v>
      </c>
      <c r="H10" s="14" t="str">
        <f t="shared" si="0"/>
        <v>21</v>
      </c>
      <c r="I10" s="16">
        <f t="shared" si="1"/>
        <v>11259.335996635256</v>
      </c>
    </row>
    <row r="11" spans="2:9">
      <c r="B11" s="18">
        <v>3</v>
      </c>
      <c r="C11" s="18">
        <v>8</v>
      </c>
      <c r="D11" s="18">
        <v>2</v>
      </c>
      <c r="E11" s="18">
        <v>1</v>
      </c>
      <c r="F11" s="18">
        <v>37.569393419331426</v>
      </c>
      <c r="G11" s="18">
        <v>0</v>
      </c>
      <c r="H11" s="14" t="str">
        <f t="shared" si="0"/>
        <v>21</v>
      </c>
      <c r="I11" s="16">
        <f t="shared" si="1"/>
        <v>10970.262878444777</v>
      </c>
    </row>
    <row r="12" spans="2:9">
      <c r="B12" s="18">
        <v>3</v>
      </c>
      <c r="C12" s="18">
        <v>9</v>
      </c>
      <c r="D12" s="18">
        <v>2</v>
      </c>
      <c r="E12" s="18">
        <v>1</v>
      </c>
      <c r="F12" s="18">
        <v>53.693945251890923</v>
      </c>
      <c r="G12" s="18">
        <v>0</v>
      </c>
      <c r="H12" s="14" t="str">
        <f t="shared" si="0"/>
        <v>21</v>
      </c>
      <c r="I12" s="16">
        <f t="shared" si="1"/>
        <v>15678.632013552151</v>
      </c>
    </row>
    <row r="13" spans="2:9">
      <c r="B13" s="18">
        <v>3</v>
      </c>
      <c r="C13" s="18">
        <v>10</v>
      </c>
      <c r="D13" s="18">
        <v>2</v>
      </c>
      <c r="E13" s="18">
        <v>1</v>
      </c>
      <c r="F13" s="18">
        <v>39.445680656032366</v>
      </c>
      <c r="G13" s="18">
        <v>0</v>
      </c>
      <c r="H13" s="14" t="str">
        <f t="shared" si="0"/>
        <v>21</v>
      </c>
      <c r="I13" s="16">
        <f t="shared" si="1"/>
        <v>11518.138751561451</v>
      </c>
    </row>
    <row r="14" spans="2:9">
      <c r="B14" s="18">
        <v>3</v>
      </c>
      <c r="C14" s="18">
        <v>11</v>
      </c>
      <c r="D14" s="18">
        <v>2</v>
      </c>
      <c r="E14" s="18">
        <v>1</v>
      </c>
      <c r="F14" s="18">
        <v>47.330330672359494</v>
      </c>
      <c r="G14" s="18">
        <v>0</v>
      </c>
      <c r="H14" s="14" t="str">
        <f t="shared" si="0"/>
        <v>21</v>
      </c>
      <c r="I14" s="16">
        <f t="shared" si="1"/>
        <v>13820.456556328973</v>
      </c>
    </row>
    <row r="15" spans="2:9">
      <c r="B15" s="18">
        <v>3</v>
      </c>
      <c r="C15" s="18">
        <v>12</v>
      </c>
      <c r="D15" s="18">
        <v>2</v>
      </c>
      <c r="E15" s="18">
        <v>1</v>
      </c>
      <c r="F15" s="18">
        <v>12.436844155386048</v>
      </c>
      <c r="G15" s="18">
        <v>0</v>
      </c>
      <c r="H15" s="14" t="str">
        <f t="shared" si="0"/>
        <v>21</v>
      </c>
      <c r="I15" s="16">
        <f t="shared" si="1"/>
        <v>3631.5584933727259</v>
      </c>
    </row>
    <row r="16" spans="2:9">
      <c r="B16" s="18">
        <v>1</v>
      </c>
      <c r="C16" s="18">
        <v>13</v>
      </c>
      <c r="D16" s="18">
        <v>2</v>
      </c>
      <c r="E16" s="18">
        <v>1</v>
      </c>
      <c r="F16" s="18">
        <v>8.3544796151779259</v>
      </c>
      <c r="G16" s="18">
        <v>0</v>
      </c>
      <c r="H16" s="14" t="str">
        <f t="shared" si="0"/>
        <v>21</v>
      </c>
      <c r="I16" s="16">
        <f t="shared" si="1"/>
        <v>2439.5080476319545</v>
      </c>
    </row>
    <row r="17" spans="2:9">
      <c r="B17" s="18">
        <v>1</v>
      </c>
      <c r="C17" s="18">
        <v>14</v>
      </c>
      <c r="D17" s="18">
        <v>2</v>
      </c>
      <c r="E17" s="18">
        <v>1</v>
      </c>
      <c r="F17" s="18">
        <v>35.014732865063976</v>
      </c>
      <c r="G17" s="18">
        <v>0</v>
      </c>
      <c r="H17" s="14" t="str">
        <f t="shared" si="0"/>
        <v>21</v>
      </c>
      <c r="I17" s="16">
        <f t="shared" si="1"/>
        <v>10224.301996598682</v>
      </c>
    </row>
    <row r="18" spans="2:9">
      <c r="B18" s="18">
        <v>1</v>
      </c>
      <c r="C18" s="18">
        <v>15</v>
      </c>
      <c r="D18" s="18">
        <v>2</v>
      </c>
      <c r="E18" s="18">
        <v>1</v>
      </c>
      <c r="F18" s="18">
        <v>33.377907165841826</v>
      </c>
      <c r="G18" s="18">
        <v>0</v>
      </c>
      <c r="H18" s="14" t="str">
        <f t="shared" si="0"/>
        <v>21</v>
      </c>
      <c r="I18" s="16">
        <f t="shared" si="1"/>
        <v>9746.3488924258127</v>
      </c>
    </row>
    <row r="19" spans="2:9">
      <c r="B19" s="18">
        <v>1</v>
      </c>
      <c r="C19" s="18">
        <v>16</v>
      </c>
      <c r="D19" s="18">
        <v>2</v>
      </c>
      <c r="E19" s="18">
        <v>1</v>
      </c>
      <c r="F19" s="18">
        <v>43.294039744425774</v>
      </c>
      <c r="G19" s="18">
        <v>0</v>
      </c>
      <c r="H19" s="14" t="str">
        <f t="shared" si="0"/>
        <v>21</v>
      </c>
      <c r="I19" s="16">
        <f t="shared" si="1"/>
        <v>12641.859605372327</v>
      </c>
    </row>
    <row r="20" spans="2:9">
      <c r="B20" s="18">
        <v>1</v>
      </c>
      <c r="C20" s="18">
        <v>17</v>
      </c>
      <c r="D20" s="18">
        <v>2</v>
      </c>
      <c r="E20" s="18">
        <v>1</v>
      </c>
      <c r="F20" s="18">
        <v>43.91663974187064</v>
      </c>
      <c r="G20" s="18">
        <v>0</v>
      </c>
      <c r="H20" s="14" t="str">
        <f t="shared" si="0"/>
        <v>21</v>
      </c>
      <c r="I20" s="16">
        <f t="shared" si="1"/>
        <v>12823.658804626228</v>
      </c>
    </row>
    <row r="21" spans="2:9">
      <c r="B21" s="18">
        <v>1</v>
      </c>
      <c r="C21" s="18">
        <v>18</v>
      </c>
      <c r="D21" s="18">
        <v>2</v>
      </c>
      <c r="E21" s="18">
        <v>1</v>
      </c>
      <c r="F21" s="18">
        <v>8.9752609174014353</v>
      </c>
      <c r="G21" s="18">
        <v>0</v>
      </c>
      <c r="H21" s="14" t="str">
        <f t="shared" si="0"/>
        <v>21</v>
      </c>
      <c r="I21" s="16">
        <f t="shared" si="1"/>
        <v>2620.7761878812194</v>
      </c>
    </row>
    <row r="22" spans="2:9">
      <c r="B22" s="18">
        <v>4</v>
      </c>
      <c r="C22" s="18">
        <v>19</v>
      </c>
      <c r="D22" s="18">
        <v>2</v>
      </c>
      <c r="E22" s="18">
        <v>1</v>
      </c>
      <c r="F22" s="18">
        <v>24.280793668609409</v>
      </c>
      <c r="G22" s="18">
        <v>0</v>
      </c>
      <c r="H22" s="14" t="str">
        <f t="shared" si="0"/>
        <v>21</v>
      </c>
      <c r="I22" s="16">
        <f t="shared" si="1"/>
        <v>7089.9917512339471</v>
      </c>
    </row>
    <row r="23" spans="2:9">
      <c r="B23" s="18">
        <v>4</v>
      </c>
      <c r="C23" s="18">
        <v>20</v>
      </c>
      <c r="D23" s="18">
        <v>2</v>
      </c>
      <c r="E23" s="18">
        <v>1</v>
      </c>
      <c r="F23" s="18">
        <v>33.304553125247054</v>
      </c>
      <c r="G23" s="18">
        <v>0</v>
      </c>
      <c r="H23" s="14" t="str">
        <f t="shared" si="0"/>
        <v>21</v>
      </c>
      <c r="I23" s="16">
        <f t="shared" si="1"/>
        <v>9724.9295125721401</v>
      </c>
    </row>
    <row r="24" spans="2:9">
      <c r="B24" s="18">
        <v>4</v>
      </c>
      <c r="C24" s="18">
        <v>21</v>
      </c>
      <c r="D24" s="18">
        <v>2</v>
      </c>
      <c r="E24" s="18">
        <v>1</v>
      </c>
      <c r="F24" s="18">
        <v>54.651791401806108</v>
      </c>
      <c r="G24" s="18">
        <v>0</v>
      </c>
      <c r="H24" s="14" t="str">
        <f t="shared" si="0"/>
        <v>21</v>
      </c>
      <c r="I24" s="16">
        <f t="shared" si="1"/>
        <v>15958.323089327385</v>
      </c>
    </row>
    <row r="25" spans="2:9">
      <c r="B25" s="18">
        <v>4</v>
      </c>
      <c r="C25" s="18">
        <v>22</v>
      </c>
      <c r="D25" s="18">
        <v>2</v>
      </c>
      <c r="E25" s="18">
        <v>1</v>
      </c>
      <c r="F25" s="18">
        <v>23.060449175078233</v>
      </c>
      <c r="G25" s="18">
        <v>0</v>
      </c>
      <c r="H25" s="14" t="str">
        <f t="shared" si="0"/>
        <v>21</v>
      </c>
      <c r="I25" s="16">
        <f t="shared" si="1"/>
        <v>6733.6511591228445</v>
      </c>
    </row>
    <row r="26" spans="2:9">
      <c r="B26" s="18">
        <v>4</v>
      </c>
      <c r="C26" s="18">
        <v>23</v>
      </c>
      <c r="D26" s="18">
        <v>2</v>
      </c>
      <c r="E26" s="18">
        <v>1</v>
      </c>
      <c r="F26" s="18">
        <v>28.920285178293515</v>
      </c>
      <c r="G26" s="18">
        <v>0</v>
      </c>
      <c r="H26" s="14" t="str">
        <f t="shared" si="0"/>
        <v>21</v>
      </c>
      <c r="I26" s="16">
        <f t="shared" si="1"/>
        <v>8444.7232720617067</v>
      </c>
    </row>
    <row r="27" spans="2:9">
      <c r="B27" s="18">
        <v>4</v>
      </c>
      <c r="C27" s="18">
        <v>24</v>
      </c>
      <c r="D27" s="18">
        <v>2</v>
      </c>
      <c r="E27" s="18">
        <v>1</v>
      </c>
      <c r="F27" s="18">
        <v>3.1251246220333941</v>
      </c>
      <c r="G27" s="18">
        <v>0</v>
      </c>
      <c r="H27" s="14" t="str">
        <f t="shared" si="0"/>
        <v>21</v>
      </c>
      <c r="I27" s="16">
        <f t="shared" si="1"/>
        <v>912.53638963375113</v>
      </c>
    </row>
    <row r="28" spans="2:9">
      <c r="B28" s="18"/>
      <c r="C28" s="18"/>
      <c r="D28" s="18"/>
      <c r="E28" s="18"/>
      <c r="F28" s="18"/>
      <c r="G28" s="18"/>
      <c r="H28" s="14" t="str">
        <f t="shared" si="0"/>
        <v/>
      </c>
      <c r="I28" s="16">
        <f t="shared" si="1"/>
        <v>0</v>
      </c>
    </row>
    <row r="29" spans="2:9">
      <c r="B29" s="18"/>
      <c r="C29" s="18"/>
      <c r="D29" s="18"/>
      <c r="E29" s="18"/>
      <c r="F29" s="18"/>
      <c r="G29" s="18"/>
      <c r="H29" s="14" t="str">
        <f t="shared" si="0"/>
        <v/>
      </c>
      <c r="I29" s="16">
        <f t="shared" si="1"/>
        <v>0</v>
      </c>
    </row>
    <row r="30" spans="2:9">
      <c r="B30" s="18"/>
      <c r="C30" s="18"/>
      <c r="D30" s="18"/>
      <c r="E30" s="18"/>
      <c r="F30" s="18"/>
      <c r="G30" s="18"/>
      <c r="H30" s="14" t="str">
        <f t="shared" si="0"/>
        <v/>
      </c>
      <c r="I30" s="16">
        <f t="shared" si="1"/>
        <v>0</v>
      </c>
    </row>
    <row r="31" spans="2:9">
      <c r="B31" s="18"/>
      <c r="C31" s="18"/>
      <c r="D31" s="18"/>
      <c r="E31" s="18"/>
      <c r="F31" s="18"/>
      <c r="G31" s="18"/>
      <c r="H31" s="14" t="str">
        <f t="shared" si="0"/>
        <v/>
      </c>
      <c r="I31" s="16">
        <f t="shared" si="1"/>
        <v>0</v>
      </c>
    </row>
    <row r="32" spans="2:9">
      <c r="B32" s="18"/>
      <c r="C32" s="18"/>
      <c r="D32" s="18"/>
      <c r="E32" s="18"/>
      <c r="F32" s="18"/>
      <c r="G32" s="18"/>
      <c r="H32" s="14" t="str">
        <f t="shared" si="0"/>
        <v/>
      </c>
      <c r="I32" s="16">
        <f t="shared" si="1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0"/>
        <v/>
      </c>
      <c r="I33" s="16">
        <f t="shared" si="1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0"/>
        <v/>
      </c>
      <c r="I34" s="16">
        <f t="shared" si="1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0"/>
        <v/>
      </c>
      <c r="I35" s="16">
        <f t="shared" si="1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0"/>
        <v/>
      </c>
      <c r="I36" s="16">
        <f t="shared" si="1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0"/>
        <v/>
      </c>
      <c r="I37" s="16">
        <f t="shared" si="1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0"/>
        <v/>
      </c>
      <c r="I38" s="16">
        <f t="shared" si="1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0"/>
        <v/>
      </c>
      <c r="I39" s="16">
        <f t="shared" si="1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0"/>
        <v/>
      </c>
      <c r="I40" s="16">
        <f t="shared" si="1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0"/>
        <v/>
      </c>
      <c r="I41" s="16">
        <f t="shared" si="1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0"/>
        <v/>
      </c>
      <c r="I42" s="16">
        <f t="shared" si="1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0"/>
        <v/>
      </c>
      <c r="I43" s="16">
        <f t="shared" si="1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0"/>
        <v/>
      </c>
      <c r="I44" s="16">
        <f t="shared" si="1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0"/>
        <v/>
      </c>
      <c r="I45" s="16">
        <f t="shared" si="1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0"/>
        <v/>
      </c>
      <c r="I46" s="16">
        <f t="shared" si="1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0"/>
        <v/>
      </c>
      <c r="I47" s="16">
        <f t="shared" si="1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0"/>
        <v/>
      </c>
      <c r="I48" s="16">
        <f t="shared" si="1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0"/>
        <v/>
      </c>
      <c r="I49" s="16">
        <f t="shared" si="1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0"/>
        <v/>
      </c>
      <c r="I50" s="16">
        <f t="shared" si="1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0"/>
        <v/>
      </c>
      <c r="I51" s="16">
        <f t="shared" si="1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0"/>
        <v/>
      </c>
      <c r="I52" s="16">
        <f t="shared" si="1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0"/>
        <v/>
      </c>
      <c r="I53" s="16">
        <f t="shared" si="1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0"/>
        <v/>
      </c>
      <c r="I54" s="16">
        <f t="shared" si="1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0"/>
        <v/>
      </c>
      <c r="I55" s="16">
        <f t="shared" si="1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0"/>
        <v/>
      </c>
      <c r="I56" s="16">
        <f t="shared" si="1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0"/>
        <v/>
      </c>
      <c r="I57" s="16">
        <f t="shared" si="1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0"/>
        <v/>
      </c>
      <c r="I58" s="16">
        <f t="shared" si="1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0"/>
        <v/>
      </c>
      <c r="I59" s="16">
        <f t="shared" si="1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0"/>
        <v/>
      </c>
      <c r="I60" s="16">
        <f t="shared" si="1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0"/>
        <v/>
      </c>
      <c r="I61" s="16">
        <f t="shared" si="1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0"/>
        <v/>
      </c>
      <c r="I62" s="16">
        <f t="shared" si="1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0"/>
        <v/>
      </c>
      <c r="I63" s="16">
        <f t="shared" si="1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0"/>
        <v/>
      </c>
      <c r="I64" s="16">
        <f t="shared" si="1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0"/>
        <v/>
      </c>
      <c r="I65" s="16">
        <f t="shared" si="1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0"/>
        <v/>
      </c>
      <c r="I66" s="16">
        <f t="shared" si="1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0"/>
        <v/>
      </c>
      <c r="I67" s="16">
        <f t="shared" si="1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0"/>
        <v/>
      </c>
      <c r="I68" s="16">
        <f t="shared" si="1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0"/>
        <v/>
      </c>
      <c r="I69" s="16">
        <f t="shared" si="1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0"/>
        <v/>
      </c>
      <c r="I70" s="16">
        <f t="shared" si="1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0"/>
        <v/>
      </c>
      <c r="I71" s="16">
        <f t="shared" si="1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2">D72&amp;E72</f>
        <v/>
      </c>
      <c r="I72" s="16">
        <f t="shared" ref="I72:I124" si="3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2"/>
        <v/>
      </c>
      <c r="I73" s="16">
        <f t="shared" si="3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2"/>
        <v/>
      </c>
      <c r="I74" s="16">
        <f t="shared" si="3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2"/>
        <v/>
      </c>
      <c r="I75" s="16">
        <f t="shared" si="3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2"/>
        <v/>
      </c>
      <c r="I76" s="16">
        <f t="shared" si="3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2"/>
        <v/>
      </c>
      <c r="I77" s="16">
        <f t="shared" si="3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2"/>
        <v/>
      </c>
      <c r="I78" s="16">
        <f t="shared" si="3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2"/>
        <v/>
      </c>
      <c r="I79" s="16">
        <f t="shared" si="3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2"/>
        <v/>
      </c>
      <c r="I80" s="16">
        <f t="shared" si="3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2"/>
        <v/>
      </c>
      <c r="I81" s="16">
        <f t="shared" si="3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2"/>
        <v/>
      </c>
      <c r="I82" s="16">
        <f t="shared" si="3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2"/>
        <v/>
      </c>
      <c r="I83" s="16">
        <f t="shared" si="3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2"/>
        <v/>
      </c>
      <c r="I84" s="16">
        <f t="shared" si="3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2"/>
        <v/>
      </c>
      <c r="I85" s="16">
        <f t="shared" si="3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2"/>
        <v/>
      </c>
      <c r="I86" s="16">
        <f t="shared" si="3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2"/>
        <v/>
      </c>
      <c r="I87" s="16">
        <f t="shared" si="3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2"/>
        <v/>
      </c>
      <c r="I88" s="16">
        <f t="shared" si="3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2"/>
        <v/>
      </c>
      <c r="I89" s="16">
        <f t="shared" si="3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2"/>
        <v/>
      </c>
      <c r="I90" s="16">
        <f t="shared" si="3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2"/>
        <v/>
      </c>
      <c r="I91" s="16">
        <f t="shared" si="3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2"/>
        <v/>
      </c>
      <c r="I92" s="16">
        <f t="shared" si="3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2"/>
        <v/>
      </c>
      <c r="I93" s="16">
        <f t="shared" si="3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2"/>
        <v/>
      </c>
      <c r="I94" s="16">
        <f t="shared" si="3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2"/>
        <v/>
      </c>
      <c r="I95" s="16">
        <f t="shared" si="3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2"/>
        <v/>
      </c>
      <c r="I96" s="16">
        <f t="shared" si="3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2"/>
        <v/>
      </c>
      <c r="I97" s="16">
        <f t="shared" si="3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2"/>
        <v/>
      </c>
      <c r="I98" s="16">
        <f t="shared" si="3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2"/>
        <v/>
      </c>
      <c r="I99" s="16">
        <f t="shared" si="3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2"/>
        <v/>
      </c>
      <c r="I100" s="16">
        <f t="shared" si="3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2"/>
        <v/>
      </c>
      <c r="I101" s="16">
        <f t="shared" si="3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2"/>
        <v/>
      </c>
      <c r="I102" s="16">
        <f t="shared" si="3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2"/>
        <v/>
      </c>
      <c r="I103" s="16">
        <f t="shared" si="3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2"/>
        <v/>
      </c>
      <c r="I104" s="16">
        <f t="shared" si="3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2"/>
        <v/>
      </c>
      <c r="I105" s="16">
        <f t="shared" si="3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2"/>
        <v/>
      </c>
      <c r="I106" s="16">
        <f t="shared" si="3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2"/>
        <v/>
      </c>
      <c r="I107" s="16">
        <f t="shared" si="3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2"/>
        <v/>
      </c>
      <c r="I108" s="16">
        <f t="shared" si="3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2"/>
        <v/>
      </c>
      <c r="I109" s="16">
        <f t="shared" si="3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2"/>
        <v/>
      </c>
      <c r="I110" s="16">
        <f t="shared" si="3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2"/>
        <v/>
      </c>
      <c r="I111" s="16">
        <f t="shared" si="3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2"/>
        <v/>
      </c>
      <c r="I112" s="16">
        <f t="shared" si="3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2"/>
        <v/>
      </c>
      <c r="I113" s="16">
        <f t="shared" si="3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2"/>
        <v/>
      </c>
      <c r="I114" s="16">
        <f t="shared" si="3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2"/>
        <v/>
      </c>
      <c r="I115" s="16">
        <f t="shared" si="3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2"/>
        <v/>
      </c>
      <c r="I116" s="16">
        <f t="shared" si="3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2"/>
        <v/>
      </c>
      <c r="I117" s="16">
        <f t="shared" si="3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2"/>
        <v/>
      </c>
      <c r="I118" s="16">
        <f t="shared" si="3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2"/>
        <v/>
      </c>
      <c r="I119" s="16">
        <f t="shared" si="3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2"/>
        <v/>
      </c>
      <c r="I120" s="16">
        <f t="shared" si="3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2"/>
        <v/>
      </c>
      <c r="I121" s="16">
        <f t="shared" si="3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2"/>
        <v/>
      </c>
      <c r="I122" s="16">
        <f t="shared" si="3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2"/>
        <v/>
      </c>
      <c r="I123" s="16">
        <f t="shared" si="3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2"/>
        <v/>
      </c>
      <c r="I124" s="16">
        <f t="shared" si="3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8" t="s">
        <v>91</v>
      </c>
      <c r="C13" s="98"/>
      <c r="D13" s="98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5" t="s">
        <v>95</v>
      </c>
      <c r="D2" s="65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6">
        <v>0.26</v>
      </c>
      <c r="E2" s="67">
        <v>0.13</v>
      </c>
      <c r="F2" s="66">
        <f>C2*E2+D2</f>
        <v>0.6711260341147236</v>
      </c>
    </row>
    <row r="3" spans="2:6">
      <c r="B3" t="s">
        <v>14</v>
      </c>
      <c r="C3" s="26">
        <v>6.2966492416526707</v>
      </c>
      <c r="D3" s="66">
        <v>0</v>
      </c>
      <c r="E3" s="67">
        <v>4.4999999999999998E-2</v>
      </c>
      <c r="F3" s="66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R28"/>
  <sheetViews>
    <sheetView showGridLines="0" zoomScale="70" zoomScaleNormal="70" workbookViewId="0">
      <selection activeCell="E11" sqref="E11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4" customWidth="1"/>
    <col min="12" max="12" width="15.75" style="74" customWidth="1"/>
    <col min="13" max="13" width="17.08203125" style="74" customWidth="1"/>
    <col min="14" max="14" width="12.58203125" customWidth="1"/>
  </cols>
  <sheetData>
    <row r="2" spans="2:18">
      <c r="I2" t="s">
        <v>31</v>
      </c>
      <c r="K2" s="74" t="s">
        <v>92</v>
      </c>
      <c r="L2" s="74" t="s">
        <v>92</v>
      </c>
      <c r="M2" s="74" t="s">
        <v>92</v>
      </c>
    </row>
    <row r="3" spans="2:18" ht="54.5" thickBot="1">
      <c r="B3" s="78" t="s">
        <v>0</v>
      </c>
      <c r="C3" s="78" t="s">
        <v>1</v>
      </c>
      <c r="D3" s="78" t="s">
        <v>21</v>
      </c>
      <c r="E3" s="78" t="s">
        <v>22</v>
      </c>
      <c r="F3" s="78" t="s">
        <v>24</v>
      </c>
      <c r="G3" s="78" t="s">
        <v>93</v>
      </c>
      <c r="H3" s="78" t="s">
        <v>23</v>
      </c>
      <c r="I3" s="78" t="s">
        <v>30</v>
      </c>
      <c r="J3" s="94" t="s">
        <v>106</v>
      </c>
      <c r="K3" s="85" t="s">
        <v>33</v>
      </c>
      <c r="L3" s="85" t="s">
        <v>105</v>
      </c>
      <c r="M3" s="85" t="s">
        <v>107</v>
      </c>
      <c r="O3" s="96" t="s">
        <v>109</v>
      </c>
      <c r="P3" s="96" t="s">
        <v>110</v>
      </c>
      <c r="Q3" s="96" t="s">
        <v>111</v>
      </c>
      <c r="R3" s="96" t="s">
        <v>112</v>
      </c>
    </row>
    <row r="4" spans="2:18" ht="18.5" thickBot="1">
      <c r="B4" s="83"/>
      <c r="C4" s="84"/>
      <c r="D4" s="84"/>
      <c r="E4" s="84"/>
      <c r="F4" s="95">
        <f>SUM(F5:F28)</f>
        <v>770.41081417029204</v>
      </c>
      <c r="G4" s="84"/>
      <c r="H4" s="84"/>
      <c r="I4" s="84"/>
      <c r="J4" s="86">
        <f>SUM(J5:J28)</f>
        <v>306554.83327705832</v>
      </c>
      <c r="K4" s="86">
        <f>SUM(K5:K28)</f>
        <v>301438.89661490952</v>
      </c>
      <c r="L4" s="86">
        <f>SUM(L5:L28)</f>
        <v>12581.373689261283</v>
      </c>
      <c r="M4" s="87">
        <f>SUM(M5:M28)</f>
        <v>17697.310351410022</v>
      </c>
      <c r="O4">
        <f>SUM(O5:O28)</f>
        <v>172.93306004978157</v>
      </c>
      <c r="P4">
        <f>SUM(P5:P28)</f>
        <v>201.09919294295199</v>
      </c>
      <c r="Q4">
        <f>SUM(Q5:Q28)</f>
        <v>229.03556400649086</v>
      </c>
      <c r="R4">
        <f>SUM(R5:R28)</f>
        <v>167.34299717106771</v>
      </c>
    </row>
    <row r="5" spans="2:18">
      <c r="B5" s="79">
        <f>Input!B4</f>
        <v>2</v>
      </c>
      <c r="C5" s="79">
        <f>Input!C4</f>
        <v>1</v>
      </c>
      <c r="D5" s="79">
        <f>Input!D4</f>
        <v>2</v>
      </c>
      <c r="E5" s="79">
        <f>Input!E4</f>
        <v>1</v>
      </c>
      <c r="F5" s="79">
        <f>Input!F4</f>
        <v>32.423698406369354</v>
      </c>
      <c r="G5" s="79">
        <f>Input!G4</f>
        <v>0</v>
      </c>
      <c r="H5" s="79" t="str">
        <f>Input!H4</f>
        <v>21</v>
      </c>
      <c r="I5" s="80">
        <f>Input!I4</f>
        <v>9467.7199346598518</v>
      </c>
      <c r="J5" s="88">
        <f>K5-L5+M5</f>
        <v>12814.76828249356</v>
      </c>
      <c r="K5" s="81">
        <f>TOC_calc!J4</f>
        <v>12599.457717858972</v>
      </c>
      <c r="L5" s="82">
        <f>GR_calc!J4</f>
        <v>529.50277765476471</v>
      </c>
      <c r="M5" s="81">
        <f>SUM(Externality_calc!Q4:W4)</f>
        <v>744.81334228935305</v>
      </c>
      <c r="O5">
        <f>IF($B5=1,$F5,0)</f>
        <v>0</v>
      </c>
      <c r="P5">
        <f>IF($B5=2,$F5,0)</f>
        <v>32.423698406369354</v>
      </c>
      <c r="Q5">
        <f>IF($B5=3,$F5,0)</f>
        <v>0</v>
      </c>
      <c r="R5">
        <f>IF($B5=4,$F5,0)</f>
        <v>0</v>
      </c>
    </row>
    <row r="6" spans="2:18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36.4751451278144</v>
      </c>
      <c r="G6" s="56">
        <f>Input!G5</f>
        <v>0</v>
      </c>
      <c r="H6" s="79" t="str">
        <f>Input!H5</f>
        <v>21</v>
      </c>
      <c r="I6" s="80">
        <f>Input!I5</f>
        <v>10650.742377321805</v>
      </c>
      <c r="J6" s="88">
        <f t="shared" ref="J6:J24" si="0">K6-L6+M6</f>
        <v>13336.794036586456</v>
      </c>
      <c r="K6" s="75">
        <f>TOC_calc!J5</f>
        <v>13094.579715623753</v>
      </c>
      <c r="L6" s="47">
        <f>GR_calc!J5</f>
        <v>595.66587433913378</v>
      </c>
      <c r="M6" s="75">
        <f>SUM(Externality_calc!Q5:W5)</f>
        <v>837.88019530183817</v>
      </c>
      <c r="O6">
        <f t="shared" ref="O6:O28" si="1">IF($B6=1,$F6,0)</f>
        <v>0</v>
      </c>
      <c r="P6">
        <f t="shared" ref="P6:P28" si="2">IF($B6=2,$F6,0)</f>
        <v>36.4751451278144</v>
      </c>
      <c r="Q6">
        <f t="shared" ref="Q6:Q28" si="3">IF($B6=3,$F6,0)</f>
        <v>0</v>
      </c>
      <c r="R6">
        <f t="shared" ref="R6:R28" si="4">IF($B6=4,$F6,0)</f>
        <v>0</v>
      </c>
    </row>
    <row r="7" spans="2:18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48.739213237171441</v>
      </c>
      <c r="G7" s="56">
        <f>Input!G6</f>
        <v>0</v>
      </c>
      <c r="H7" s="79" t="str">
        <f>Input!H6</f>
        <v>21</v>
      </c>
      <c r="I7" s="80">
        <f>Input!I6</f>
        <v>14231.850265254061</v>
      </c>
      <c r="J7" s="88">
        <f t="shared" si="0"/>
        <v>14917.009659106177</v>
      </c>
      <c r="K7" s="75">
        <f>TOC_calc!J6</f>
        <v>14593.355417371697</v>
      </c>
      <c r="L7" s="47">
        <f>GR_calc!J6</f>
        <v>795.9471022195446</v>
      </c>
      <c r="M7" s="75">
        <f>SUM(Externality_calc!Q6:W6)</f>
        <v>1119.6013439540259</v>
      </c>
      <c r="O7">
        <f t="shared" si="1"/>
        <v>0</v>
      </c>
      <c r="P7">
        <f t="shared" si="2"/>
        <v>48.739213237171441</v>
      </c>
      <c r="Q7">
        <f t="shared" si="3"/>
        <v>0</v>
      </c>
      <c r="R7">
        <f t="shared" si="4"/>
        <v>0</v>
      </c>
    </row>
    <row r="8" spans="2:18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35.421514362907701</v>
      </c>
      <c r="G8" s="56">
        <f>Input!G7</f>
        <v>0</v>
      </c>
      <c r="H8" s="79" t="str">
        <f>Input!H7</f>
        <v>21</v>
      </c>
      <c r="I8" s="80">
        <f>Input!I7</f>
        <v>10343.08219396905</v>
      </c>
      <c r="J8" s="88">
        <f t="shared" si="0"/>
        <v>13201.034533277549</v>
      </c>
      <c r="K8" s="75">
        <f>TOC_calc!J7</f>
        <v>12965.816879754357</v>
      </c>
      <c r="L8" s="47">
        <f>GR_calc!J7</f>
        <v>578.4593111134219</v>
      </c>
      <c r="M8" s="75">
        <f>SUM(Externality_calc!Q7:W7)</f>
        <v>813.67696463661332</v>
      </c>
      <c r="O8">
        <f t="shared" si="1"/>
        <v>0</v>
      </c>
      <c r="P8">
        <f t="shared" si="2"/>
        <v>35.421514362907701</v>
      </c>
      <c r="Q8">
        <f t="shared" si="3"/>
        <v>0</v>
      </c>
      <c r="R8">
        <f t="shared" si="4"/>
        <v>0</v>
      </c>
    </row>
    <row r="9" spans="2:18">
      <c r="B9" s="56">
        <f>Input!B8</f>
        <v>2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38.942508311456677</v>
      </c>
      <c r="G9" s="56">
        <v>0</v>
      </c>
      <c r="H9" s="79" t="str">
        <f>Input!H8</f>
        <v>21</v>
      </c>
      <c r="I9" s="80">
        <f>Input!I8</f>
        <v>11371.212426945351</v>
      </c>
      <c r="J9" s="88">
        <f t="shared" si="0"/>
        <v>13654.711860790871</v>
      </c>
      <c r="K9" s="75">
        <f>TOC_calc!J8</f>
        <v>13396.112938862219</v>
      </c>
      <c r="L9" s="47">
        <f>GR_calc!J8</f>
        <v>635.95972493099123</v>
      </c>
      <c r="M9" s="75">
        <f>SUM(Externality_calc!Q8:W8)</f>
        <v>894.55864685964389</v>
      </c>
      <c r="O9">
        <f t="shared" si="1"/>
        <v>0</v>
      </c>
      <c r="P9">
        <f t="shared" si="2"/>
        <v>38.942508311456677</v>
      </c>
      <c r="Q9">
        <f t="shared" si="3"/>
        <v>0</v>
      </c>
      <c r="R9">
        <f t="shared" si="4"/>
        <v>0</v>
      </c>
    </row>
    <row r="10" spans="2:18">
      <c r="B10" s="56">
        <f>Input!B9</f>
        <v>2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9.0971134972324172</v>
      </c>
      <c r="G10" s="56">
        <f>Input!G9</f>
        <v>0</v>
      </c>
      <c r="H10" s="79" t="str">
        <f>Input!H9</f>
        <v>21</v>
      </c>
      <c r="I10" s="80">
        <f>Input!I9</f>
        <v>2656.357141191866</v>
      </c>
      <c r="J10" s="88">
        <f t="shared" si="0"/>
        <v>9809.1559877177933</v>
      </c>
      <c r="K10" s="75">
        <f>TOC_calc!J9</f>
        <v>9748.7463262693855</v>
      </c>
      <c r="L10" s="47">
        <f>GR_calc!J9</f>
        <v>148.56253611336851</v>
      </c>
      <c r="M10" s="75">
        <f>SUM(Externality_calc!Q9:W9)</f>
        <v>208.97219756177611</v>
      </c>
      <c r="O10">
        <f t="shared" si="1"/>
        <v>0</v>
      </c>
      <c r="P10">
        <f t="shared" si="2"/>
        <v>9.0971134972324172</v>
      </c>
      <c r="Q10">
        <f t="shared" si="3"/>
        <v>0</v>
      </c>
      <c r="R10">
        <f t="shared" si="4"/>
        <v>0</v>
      </c>
    </row>
    <row r="11" spans="2:18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38.559369851490601</v>
      </c>
      <c r="G11" s="56">
        <f>Input!G10</f>
        <v>0</v>
      </c>
      <c r="H11" s="79" t="str">
        <f>Input!H10</f>
        <v>21</v>
      </c>
      <c r="I11" s="80">
        <f>Input!I10</f>
        <v>11259.335996635256</v>
      </c>
      <c r="J11" s="88">
        <f t="shared" si="0"/>
        <v>13605.34476867854</v>
      </c>
      <c r="K11" s="75">
        <f>TOC_calc!J10</f>
        <v>13349.290089455164</v>
      </c>
      <c r="L11" s="47">
        <f>GR_calc!J10</f>
        <v>629.7027928489141</v>
      </c>
      <c r="M11" s="75">
        <f>SUM(Externality_calc!Q10:W10)</f>
        <v>885.75747207228903</v>
      </c>
      <c r="O11">
        <f t="shared" si="1"/>
        <v>0</v>
      </c>
      <c r="P11">
        <f t="shared" si="2"/>
        <v>0</v>
      </c>
      <c r="Q11">
        <f t="shared" si="3"/>
        <v>38.559369851490601</v>
      </c>
      <c r="R11">
        <f t="shared" si="4"/>
        <v>0</v>
      </c>
    </row>
    <row r="12" spans="2:18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37.569393419331426</v>
      </c>
      <c r="G12" s="56">
        <f>Input!G11</f>
        <v>0</v>
      </c>
      <c r="H12" s="79" t="str">
        <f>Input!H11</f>
        <v>21</v>
      </c>
      <c r="I12" s="80">
        <f>Input!I11</f>
        <v>10970.262878444777</v>
      </c>
      <c r="J12" s="88">
        <f t="shared" si="0"/>
        <v>13477.787076559176</v>
      </c>
      <c r="K12" s="75">
        <f>TOC_calc!J11</f>
        <v>13228.306366224595</v>
      </c>
      <c r="L12" s="47">
        <f>GR_calc!J11</f>
        <v>613.53575156721797</v>
      </c>
      <c r="M12" s="75">
        <f>SUM(Externality_calc!Q11:W11)</f>
        <v>863.01646190179872</v>
      </c>
      <c r="O12">
        <f t="shared" si="1"/>
        <v>0</v>
      </c>
      <c r="P12">
        <f t="shared" si="2"/>
        <v>0</v>
      </c>
      <c r="Q12">
        <f t="shared" si="3"/>
        <v>37.569393419331426</v>
      </c>
      <c r="R12">
        <f t="shared" si="4"/>
        <v>0</v>
      </c>
    </row>
    <row r="13" spans="2:18">
      <c r="B13" s="56">
        <f>Input!B12</f>
        <v>3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53.693945251890923</v>
      </c>
      <c r="G13" s="56">
        <f>Input!G12</f>
        <v>0</v>
      </c>
      <c r="H13" s="79" t="str">
        <f>Input!H12</f>
        <v>21</v>
      </c>
      <c r="I13" s="80">
        <f>Input!I12</f>
        <v>15678.632013552151</v>
      </c>
      <c r="J13" s="88">
        <f t="shared" si="0"/>
        <v>15555.423019603148</v>
      </c>
      <c r="K13" s="75">
        <f>TOC_calc!J12</f>
        <v>15198.86672782083</v>
      </c>
      <c r="L13" s="47">
        <f>GR_calc!J12</f>
        <v>876.86151029994994</v>
      </c>
      <c r="M13" s="75">
        <f>SUM(Externality_calc!Q12:W12)</f>
        <v>1233.4178020822678</v>
      </c>
      <c r="O13">
        <f t="shared" si="1"/>
        <v>0</v>
      </c>
      <c r="P13">
        <f t="shared" si="2"/>
        <v>0</v>
      </c>
      <c r="Q13">
        <f t="shared" si="3"/>
        <v>53.693945251890923</v>
      </c>
      <c r="R13">
        <f t="shared" si="4"/>
        <v>0</v>
      </c>
    </row>
    <row r="14" spans="2:18">
      <c r="B14" s="56">
        <f>Input!B13</f>
        <v>3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39.445680656032366</v>
      </c>
      <c r="G14" s="56">
        <f>Input!G13</f>
        <v>0</v>
      </c>
      <c r="H14" s="79" t="str">
        <f>Input!H13</f>
        <v>21</v>
      </c>
      <c r="I14" s="80">
        <f>Input!I13</f>
        <v>11518.138751561451</v>
      </c>
      <c r="J14" s="88">
        <f t="shared" si="0"/>
        <v>13719.545225432064</v>
      </c>
      <c r="K14" s="75">
        <f>TOC_calc!J13</f>
        <v>13457.604972102494</v>
      </c>
      <c r="L14" s="47">
        <f>GR_calc!J13</f>
        <v>644.17689839321258</v>
      </c>
      <c r="M14" s="75">
        <f>SUM(Externality_calc!Q13:W13)</f>
        <v>906.11715172278321</v>
      </c>
      <c r="O14">
        <f t="shared" si="1"/>
        <v>0</v>
      </c>
      <c r="P14">
        <f t="shared" si="2"/>
        <v>0</v>
      </c>
      <c r="Q14">
        <f t="shared" si="3"/>
        <v>39.445680656032366</v>
      </c>
      <c r="R14">
        <f t="shared" si="4"/>
        <v>0</v>
      </c>
    </row>
    <row r="15" spans="2:18">
      <c r="B15" s="56">
        <f>Input!B14</f>
        <v>3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47.330330672359494</v>
      </c>
      <c r="G15" s="56">
        <f>Input!G14</f>
        <v>0</v>
      </c>
      <c r="H15" s="79" t="str">
        <f>Input!H14</f>
        <v>21</v>
      </c>
      <c r="I15" s="80">
        <f>Input!I14</f>
        <v>13820.456556328973</v>
      </c>
      <c r="J15" s="88">
        <f t="shared" si="0"/>
        <v>14735.476238110834</v>
      </c>
      <c r="K15" s="75">
        <f>TOC_calc!J14</f>
        <v>14421.177724298923</v>
      </c>
      <c r="L15" s="47">
        <f>GR_calc!J14</f>
        <v>772.9390165253244</v>
      </c>
      <c r="M15" s="75">
        <f>SUM(Externality_calc!Q14:W14)</f>
        <v>1087.2375303372348</v>
      </c>
      <c r="O15">
        <f t="shared" si="1"/>
        <v>0</v>
      </c>
      <c r="P15">
        <f t="shared" si="2"/>
        <v>0</v>
      </c>
      <c r="Q15">
        <f t="shared" si="3"/>
        <v>47.330330672359494</v>
      </c>
      <c r="R15">
        <f t="shared" si="4"/>
        <v>0</v>
      </c>
    </row>
    <row r="16" spans="2:18">
      <c r="B16" s="56">
        <f>Input!B15</f>
        <v>3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12.436844155386048</v>
      </c>
      <c r="G16" s="56">
        <f>Input!G15</f>
        <v>0</v>
      </c>
      <c r="H16" s="79" t="str">
        <f>Input!H15</f>
        <v>21</v>
      </c>
      <c r="I16" s="80">
        <f>Input!I15</f>
        <v>3631.5584933727259</v>
      </c>
      <c r="J16" s="88">
        <f t="shared" si="0"/>
        <v>10239.477681462782</v>
      </c>
      <c r="K16" s="75">
        <f>TOC_calc!J15</f>
        <v>10156.89043605334</v>
      </c>
      <c r="L16" s="47">
        <f>GR_calc!J15</f>
        <v>203.10278744273987</v>
      </c>
      <c r="M16" s="75">
        <f>SUM(Externality_calc!Q15:W15)</f>
        <v>285.69003285218156</v>
      </c>
      <c r="O16">
        <f t="shared" si="1"/>
        <v>0</v>
      </c>
      <c r="P16">
        <f t="shared" si="2"/>
        <v>0</v>
      </c>
      <c r="Q16">
        <f t="shared" si="3"/>
        <v>12.436844155386048</v>
      </c>
      <c r="R16">
        <f t="shared" si="4"/>
        <v>0</v>
      </c>
    </row>
    <row r="17" spans="2:18">
      <c r="B17" s="56">
        <f>Input!B16</f>
        <v>1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8.3544796151779259</v>
      </c>
      <c r="G17" s="56">
        <f>Input!G16</f>
        <v>0</v>
      </c>
      <c r="H17" s="79" t="str">
        <f>Input!H16</f>
        <v>21</v>
      </c>
      <c r="I17" s="80">
        <f>Input!I16</f>
        <v>2439.5080476319545</v>
      </c>
      <c r="J17" s="88">
        <f t="shared" si="0"/>
        <v>9713.4681905063881</v>
      </c>
      <c r="K17" s="75">
        <f>TOC_calc!J16</f>
        <v>9657.9900121496976</v>
      </c>
      <c r="L17" s="47">
        <f>GR_calc!J16</f>
        <v>136.43478009984881</v>
      </c>
      <c r="M17" s="75">
        <f>SUM(Externality_calc!Q16:W16)</f>
        <v>191.91295845653983</v>
      </c>
      <c r="O17">
        <f t="shared" si="1"/>
        <v>8.3544796151779259</v>
      </c>
      <c r="P17">
        <f t="shared" si="2"/>
        <v>0</v>
      </c>
      <c r="Q17">
        <f t="shared" si="3"/>
        <v>0</v>
      </c>
      <c r="R17">
        <f t="shared" si="4"/>
        <v>0</v>
      </c>
    </row>
    <row r="18" spans="2:18">
      <c r="B18" s="56">
        <f>Input!B17</f>
        <v>1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35.014732865063976</v>
      </c>
      <c r="G18" s="56">
        <f>Input!G17</f>
        <v>0</v>
      </c>
      <c r="H18" s="79" t="str">
        <f>Input!H17</f>
        <v>21</v>
      </c>
      <c r="I18" s="80">
        <f>Input!I17</f>
        <v>10224.301996598682</v>
      </c>
      <c r="J18" s="88">
        <f t="shared" si="0"/>
        <v>13148.621054151956</v>
      </c>
      <c r="K18" s="75">
        <f>TOC_calc!J17</f>
        <v>12916.10464565288</v>
      </c>
      <c r="L18" s="47">
        <f>GR_calc!J17</f>
        <v>571.81627088071036</v>
      </c>
      <c r="M18" s="75">
        <f>SUM(Externality_calc!Q17:W17)</f>
        <v>804.33267937978576</v>
      </c>
      <c r="O18">
        <f t="shared" si="1"/>
        <v>35.014732865063976</v>
      </c>
      <c r="P18">
        <f t="shared" si="2"/>
        <v>0</v>
      </c>
      <c r="Q18">
        <f t="shared" si="3"/>
        <v>0</v>
      </c>
      <c r="R18">
        <f t="shared" si="4"/>
        <v>0</v>
      </c>
    </row>
    <row r="19" spans="2:18">
      <c r="B19" s="56">
        <f>Input!B18</f>
        <v>1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33.377907165841826</v>
      </c>
      <c r="G19" s="56">
        <f>Input!G18</f>
        <v>0</v>
      </c>
      <c r="H19" s="79" t="str">
        <f>Input!H18</f>
        <v>21</v>
      </c>
      <c r="I19" s="80">
        <f>Input!I18</f>
        <v>9746.3488924258127</v>
      </c>
      <c r="J19" s="88">
        <f t="shared" si="0"/>
        <v>12937.71733784927</v>
      </c>
      <c r="K19" s="75">
        <f>TOC_calc!J18</f>
        <v>12716.070320654388</v>
      </c>
      <c r="L19" s="47">
        <f>GR_calc!J18</f>
        <v>545.08570660601367</v>
      </c>
      <c r="M19" s="75">
        <f>SUM(Externality_calc!Q18:W18)</f>
        <v>766.73272380089736</v>
      </c>
      <c r="O19">
        <f t="shared" si="1"/>
        <v>33.377907165841826</v>
      </c>
      <c r="P19">
        <f t="shared" si="2"/>
        <v>0</v>
      </c>
      <c r="Q19">
        <f t="shared" si="3"/>
        <v>0</v>
      </c>
      <c r="R19">
        <f t="shared" si="4"/>
        <v>0</v>
      </c>
    </row>
    <row r="20" spans="2:18">
      <c r="B20" s="56">
        <f>Input!B19</f>
        <v>1</v>
      </c>
      <c r="C20" s="56">
        <f>Input!C19</f>
        <v>16</v>
      </c>
      <c r="D20" s="56">
        <f>Input!D19</f>
        <v>2</v>
      </c>
      <c r="E20" s="56">
        <f>Input!E19</f>
        <v>1</v>
      </c>
      <c r="F20" s="56">
        <f>Input!F19</f>
        <v>43.294039744425774</v>
      </c>
      <c r="G20" s="56">
        <f>Input!G19</f>
        <v>0</v>
      </c>
      <c r="H20" s="79" t="str">
        <f>Input!H19</f>
        <v>21</v>
      </c>
      <c r="I20" s="80">
        <f>Input!I19</f>
        <v>12641.859605372327</v>
      </c>
      <c r="J20" s="88">
        <f t="shared" si="0"/>
        <v>14215.403296205926</v>
      </c>
      <c r="K20" s="75">
        <f>TOC_calc!J19</f>
        <v>13927.907896210056</v>
      </c>
      <c r="L20" s="47">
        <f>GR_calc!J19</f>
        <v>707.0234250657212</v>
      </c>
      <c r="M20" s="75">
        <f>SUM(Externality_calc!Q19:W19)</f>
        <v>994.51882506159154</v>
      </c>
      <c r="O20">
        <f t="shared" si="1"/>
        <v>43.294039744425774</v>
      </c>
      <c r="P20">
        <f t="shared" si="2"/>
        <v>0</v>
      </c>
      <c r="Q20">
        <f t="shared" si="3"/>
        <v>0</v>
      </c>
      <c r="R20">
        <f t="shared" si="4"/>
        <v>0</v>
      </c>
    </row>
    <row r="21" spans="2:18">
      <c r="B21" s="56">
        <f>Input!B20</f>
        <v>1</v>
      </c>
      <c r="C21" s="56">
        <f>Input!C20</f>
        <v>17</v>
      </c>
      <c r="D21" s="56">
        <f>Input!D20</f>
        <v>2</v>
      </c>
      <c r="E21" s="56">
        <f>Input!E20</f>
        <v>1</v>
      </c>
      <c r="F21" s="56">
        <f>Input!F20</f>
        <v>43.91663974187064</v>
      </c>
      <c r="G21" s="56">
        <f>Input!G20</f>
        <v>0</v>
      </c>
      <c r="H21" s="79" t="str">
        <f>Input!H20</f>
        <v>21</v>
      </c>
      <c r="I21" s="80">
        <f>Input!I20</f>
        <v>12823.658804626228</v>
      </c>
      <c r="J21" s="88">
        <f t="shared" si="0"/>
        <v>14295.624820888464</v>
      </c>
      <c r="K21" s="75">
        <f>TOC_calc!J20</f>
        <v>14003.995026496517</v>
      </c>
      <c r="L21" s="47">
        <f>GR_calc!J20</f>
        <v>717.19093969909636</v>
      </c>
      <c r="M21" s="75">
        <f>SUM(Externality_calc!Q20:W20)</f>
        <v>1008.8207340910426</v>
      </c>
      <c r="O21">
        <f t="shared" si="1"/>
        <v>43.91663974187064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2:18">
      <c r="B22" s="56">
        <f>Input!B21</f>
        <v>1</v>
      </c>
      <c r="C22" s="56">
        <f>Input!C21</f>
        <v>18</v>
      </c>
      <c r="D22" s="56">
        <f>Input!D21</f>
        <v>2</v>
      </c>
      <c r="E22" s="56">
        <f>Input!E21</f>
        <v>1</v>
      </c>
      <c r="F22" s="56">
        <f>Input!F21</f>
        <v>8.9752609174014353</v>
      </c>
      <c r="G22" s="56">
        <f>Input!G21</f>
        <v>0</v>
      </c>
      <c r="H22" s="79" t="str">
        <f>Input!H21</f>
        <v>21</v>
      </c>
      <c r="I22" s="80">
        <f>Input!I21</f>
        <v>2620.7761878812194</v>
      </c>
      <c r="J22" s="88">
        <f t="shared" si="0"/>
        <v>9793.4553777263718</v>
      </c>
      <c r="K22" s="75">
        <f>TOC_calc!J21</f>
        <v>9733.854882075053</v>
      </c>
      <c r="L22" s="47">
        <f>GR_calc!J21</f>
        <v>146.57259410625221</v>
      </c>
      <c r="M22" s="75">
        <f>SUM(Externality_calc!Q21:W21)</f>
        <v>206.17308975756998</v>
      </c>
      <c r="O22">
        <f t="shared" si="1"/>
        <v>8.9752609174014353</v>
      </c>
      <c r="P22">
        <f t="shared" si="2"/>
        <v>0</v>
      </c>
      <c r="Q22">
        <f t="shared" si="3"/>
        <v>0</v>
      </c>
      <c r="R22">
        <f t="shared" si="4"/>
        <v>0</v>
      </c>
    </row>
    <row r="23" spans="2:18">
      <c r="B23" s="56">
        <f>Input!B22</f>
        <v>4</v>
      </c>
      <c r="C23" s="56">
        <f>Input!C22</f>
        <v>19</v>
      </c>
      <c r="D23" s="56">
        <f>Input!D22</f>
        <v>2</v>
      </c>
      <c r="E23" s="56">
        <f>Input!E22</f>
        <v>1</v>
      </c>
      <c r="F23" s="56">
        <f>Input!F22</f>
        <v>24.280793668609409</v>
      </c>
      <c r="G23" s="56">
        <f>Input!G22</f>
        <v>0</v>
      </c>
      <c r="H23" s="79" t="str">
        <f>Input!H22</f>
        <v>21</v>
      </c>
      <c r="I23" s="80">
        <f>Input!I22</f>
        <v>7089.9917512339471</v>
      </c>
      <c r="J23" s="88">
        <f t="shared" si="0"/>
        <v>11765.56135013148</v>
      </c>
      <c r="K23" s="75">
        <f>TOC_calc!J22</f>
        <v>11604.323994385004</v>
      </c>
      <c r="L23" s="47">
        <f>GR_calc!J22</f>
        <v>396.52317049264525</v>
      </c>
      <c r="M23" s="75">
        <f>SUM(Externality_calc!Q22:W22)</f>
        <v>557.76052623912142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24.280793668609409</v>
      </c>
    </row>
    <row r="24" spans="2:18">
      <c r="B24" s="56">
        <f>Input!B23</f>
        <v>4</v>
      </c>
      <c r="C24" s="56">
        <f>Input!C23</f>
        <v>20</v>
      </c>
      <c r="D24" s="56">
        <f>Input!D23</f>
        <v>2</v>
      </c>
      <c r="E24" s="56">
        <f>Input!E23</f>
        <v>1</v>
      </c>
      <c r="F24" s="56">
        <f>Input!F23</f>
        <v>33.304553125247054</v>
      </c>
      <c r="G24" s="56">
        <f>Input!G23</f>
        <v>0</v>
      </c>
      <c r="H24" s="79" t="str">
        <f>Input!H23</f>
        <v>21</v>
      </c>
      <c r="I24" s="80">
        <f>Input!I23</f>
        <v>9724.9295125721401</v>
      </c>
      <c r="J24" s="88">
        <f t="shared" si="0"/>
        <v>12928.26572685941</v>
      </c>
      <c r="K24" s="75">
        <f>TOC_calc!J23</f>
        <v>12707.105819422974</v>
      </c>
      <c r="L24" s="47">
        <f>GR_calc!J23</f>
        <v>543.88778131814774</v>
      </c>
      <c r="M24" s="75">
        <f>SUM(Externality_calc!Q23:W23)</f>
        <v>765.04768875458444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33.304553125247054</v>
      </c>
    </row>
    <row r="25" spans="2:18">
      <c r="B25" s="56">
        <f>Input!B24</f>
        <v>4</v>
      </c>
      <c r="C25" s="56">
        <f>Input!C24</f>
        <v>21</v>
      </c>
      <c r="D25" s="56">
        <f>Input!D24</f>
        <v>2</v>
      </c>
      <c r="E25" s="56">
        <f>Input!E24</f>
        <v>1</v>
      </c>
      <c r="F25" s="56">
        <f>Input!F24</f>
        <v>54.651791401806108</v>
      </c>
      <c r="G25" s="56">
        <f>Input!G24</f>
        <v>0</v>
      </c>
      <c r="H25" s="79" t="str">
        <f>Input!H24</f>
        <v>21</v>
      </c>
      <c r="I25" s="80">
        <f>Input!I24</f>
        <v>15958.323089327385</v>
      </c>
      <c r="J25" s="88">
        <f t="shared" ref="J25:J28" si="5">K25-L25+M25</f>
        <v>15678.840749883977</v>
      </c>
      <c r="K25" s="75">
        <f>TOC_calc!J24</f>
        <v>15315.923851338464</v>
      </c>
      <c r="L25" s="47">
        <f>GR_calc!J24</f>
        <v>892.50384050514265</v>
      </c>
      <c r="M25" s="75">
        <f>SUM(Externality_calc!Q24:W24)</f>
        <v>1255.4207390506544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54.651791401806108</v>
      </c>
    </row>
    <row r="26" spans="2:18">
      <c r="B26" s="56">
        <f>Input!B25</f>
        <v>4</v>
      </c>
      <c r="C26" s="56">
        <f>Input!C25</f>
        <v>22</v>
      </c>
      <c r="D26" s="56">
        <f>Input!D25</f>
        <v>2</v>
      </c>
      <c r="E26" s="56">
        <f>Input!E25</f>
        <v>1</v>
      </c>
      <c r="F26" s="56">
        <f>Input!F25</f>
        <v>23.060449175078233</v>
      </c>
      <c r="G26" s="56">
        <f>Input!G25</f>
        <v>0</v>
      </c>
      <c r="H26" s="79" t="str">
        <f>Input!H25</f>
        <v>21</v>
      </c>
      <c r="I26" s="80">
        <f>Input!I25</f>
        <v>6733.6511591228445</v>
      </c>
      <c r="J26" s="88">
        <f t="shared" si="5"/>
        <v>11608.320912754703</v>
      </c>
      <c r="K26" s="75">
        <f>TOC_calc!J25</f>
        <v>11455.187292080574</v>
      </c>
      <c r="L26" s="47">
        <f>GR_calc!J25</f>
        <v>376.59404979451051</v>
      </c>
      <c r="M26" s="75">
        <f>SUM(Externality_calc!Q25:W25)</f>
        <v>529.7276704686393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23.060449175078233</v>
      </c>
    </row>
    <row r="27" spans="2:18">
      <c r="B27" s="56">
        <f>Input!B26</f>
        <v>4</v>
      </c>
      <c r="C27" s="56">
        <f>Input!C26</f>
        <v>23</v>
      </c>
      <c r="D27" s="56">
        <f>Input!D26</f>
        <v>2</v>
      </c>
      <c r="E27" s="56">
        <f>Input!E26</f>
        <v>1</v>
      </c>
      <c r="F27" s="56">
        <f>Input!F26</f>
        <v>28.920285178293515</v>
      </c>
      <c r="G27" s="56">
        <f>Input!G26</f>
        <v>0</v>
      </c>
      <c r="H27" s="79" t="str">
        <f>Input!H26</f>
        <v>21</v>
      </c>
      <c r="I27" s="80">
        <f>Input!I26</f>
        <v>8444.7232720617067</v>
      </c>
      <c r="J27" s="88">
        <f t="shared" si="5"/>
        <v>12363.356217118304</v>
      </c>
      <c r="K27" s="75">
        <f>TOC_calc!J26</f>
        <v>12171.310175575169</v>
      </c>
      <c r="L27" s="47">
        <f>GR_calc!J26</f>
        <v>472.28946989792377</v>
      </c>
      <c r="M27" s="75">
        <f>SUM(Externality_calc!Q26:W26)</f>
        <v>664.33551144105877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28.920285178293515</v>
      </c>
    </row>
    <row r="28" spans="2:18">
      <c r="B28" s="56">
        <f>Input!B27</f>
        <v>4</v>
      </c>
      <c r="C28" s="56">
        <f>Input!C27</f>
        <v>24</v>
      </c>
      <c r="D28" s="56">
        <f>Input!D27</f>
        <v>2</v>
      </c>
      <c r="E28" s="56">
        <f>Input!E27</f>
        <v>1</v>
      </c>
      <c r="F28" s="56">
        <f>Input!F27</f>
        <v>3.1251246220333941</v>
      </c>
      <c r="G28" s="56">
        <f>Input!G27</f>
        <v>0</v>
      </c>
      <c r="H28" s="79" t="str">
        <f>Input!H27</f>
        <v>21</v>
      </c>
      <c r="I28" s="80">
        <f>Input!I27</f>
        <v>912.53638963375113</v>
      </c>
      <c r="J28" s="88">
        <f t="shared" si="5"/>
        <v>9039.6698731630822</v>
      </c>
      <c r="K28" s="75">
        <f>TOC_calc!J27</f>
        <v>9018.9173871730418</v>
      </c>
      <c r="L28" s="47">
        <f>GR_calc!J27</f>
        <v>51.03557734668896</v>
      </c>
      <c r="M28" s="75">
        <f>SUM(Externality_calc!Q27:W27)</f>
        <v>71.788063336729024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3.1251246220333941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>
      <selection activeCell="D3" sqref="D3"/>
    </sheetView>
  </sheetViews>
  <sheetFormatPr defaultRowHeight="18"/>
  <cols>
    <col min="9" max="14" width="14.58203125" customWidth="1"/>
    <col min="15" max="17" width="14.58203125" style="93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89" t="s">
        <v>33</v>
      </c>
      <c r="J1" s="90" t="s">
        <v>29</v>
      </c>
      <c r="K1" s="90" t="s">
        <v>100</v>
      </c>
      <c r="L1" s="90" t="s">
        <v>26</v>
      </c>
      <c r="M1" s="90" t="s">
        <v>27</v>
      </c>
      <c r="N1" s="90" t="s">
        <v>28</v>
      </c>
      <c r="O1" s="92" t="s">
        <v>104</v>
      </c>
      <c r="P1" s="92" t="s">
        <v>101</v>
      </c>
      <c r="Q1" s="92" t="s">
        <v>103</v>
      </c>
      <c r="R1" s="63" t="s">
        <v>108</v>
      </c>
      <c r="S1" s="63" t="s">
        <v>81</v>
      </c>
      <c r="T1" s="64" t="s">
        <v>82</v>
      </c>
      <c r="U1" s="64" t="s">
        <v>83</v>
      </c>
      <c r="V1" s="64" t="s">
        <v>84</v>
      </c>
      <c r="W1" s="64" t="s">
        <v>85</v>
      </c>
      <c r="X1" s="64" t="s">
        <v>86</v>
      </c>
      <c r="Y1" s="64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32.423698406369354</v>
      </c>
      <c r="F2" s="56">
        <f>Input!G4</f>
        <v>0</v>
      </c>
      <c r="G2" s="56" t="str">
        <f>Input!H4</f>
        <v>21</v>
      </c>
      <c r="H2" s="16">
        <f>E2*365*0.8</f>
        <v>9467.7199346598518</v>
      </c>
      <c r="I2" s="91">
        <f>TOC_calc!J4</f>
        <v>12599.457717858972</v>
      </c>
      <c r="J2" s="91">
        <f>TOC_calc!K4</f>
        <v>7600</v>
      </c>
      <c r="K2" s="91">
        <f>TOC_calc!L4</f>
        <v>0</v>
      </c>
      <c r="L2" s="91">
        <f>TOC_calc!M4</f>
        <v>2495.1449672087274</v>
      </c>
      <c r="M2" s="91">
        <f>TOC_calc!N4</f>
        <v>1467.3127506502447</v>
      </c>
      <c r="N2" s="91">
        <f>TOC_calc!O4</f>
        <v>1037</v>
      </c>
      <c r="O2" s="17">
        <f>GR_calc!J4</f>
        <v>529.50277765476471</v>
      </c>
      <c r="P2" s="17">
        <f>GR_calc!K4</f>
        <v>529.50277765476471</v>
      </c>
      <c r="Q2" s="17">
        <f>GR_calc!L4</f>
        <v>0</v>
      </c>
      <c r="R2" s="37">
        <f>SUM(S2:Y2)</f>
        <v>744.81334228935305</v>
      </c>
      <c r="S2" s="37">
        <f>Externality_calc!Q4</f>
        <v>429.98680336891181</v>
      </c>
      <c r="T2" s="37">
        <f>Externality_calc!R4</f>
        <v>0</v>
      </c>
      <c r="U2" s="37">
        <f>Externality_calc!S4</f>
        <v>95.92033462381157</v>
      </c>
      <c r="V2" s="37">
        <f>Externality_calc!T4</f>
        <v>31.793761521909239</v>
      </c>
      <c r="W2" s="37">
        <f>Externality_calc!U4</f>
        <v>50.177359005507675</v>
      </c>
      <c r="X2" s="37">
        <f>Externality_calc!V4</f>
        <v>55.088077172219997</v>
      </c>
      <c r="Y2" s="37">
        <f>Externality_calc!W4</f>
        <v>81.847006596992784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36.4751451278144</v>
      </c>
      <c r="F3" s="56">
        <f>Input!G5</f>
        <v>0</v>
      </c>
      <c r="G3" s="56" t="str">
        <f>Input!H5</f>
        <v>21</v>
      </c>
      <c r="H3" s="16">
        <f>E3*365*0.8</f>
        <v>10650.742377321805</v>
      </c>
      <c r="I3" s="91">
        <f>TOC_calc!J5</f>
        <v>13094.579715623753</v>
      </c>
      <c r="J3" s="91">
        <f>TOC_calc!K5</f>
        <v>7600</v>
      </c>
      <c r="K3" s="91">
        <f>TOC_calc!L5</f>
        <v>0</v>
      </c>
      <c r="L3" s="91">
        <f>TOC_calc!M5</f>
        <v>2806.9214576704721</v>
      </c>
      <c r="M3" s="91">
        <f>TOC_calc!N5</f>
        <v>1650.6582579532812</v>
      </c>
      <c r="N3" s="91">
        <f>TOC_calc!O5</f>
        <v>1037</v>
      </c>
      <c r="O3" s="17">
        <f>GR_calc!J5</f>
        <v>595.66587433913378</v>
      </c>
      <c r="P3" s="17">
        <f>GR_calc!K5</f>
        <v>595.66587433913378</v>
      </c>
      <c r="Q3" s="17">
        <f>GR_calc!L5</f>
        <v>0</v>
      </c>
      <c r="R3" s="37">
        <f t="shared" ref="R3:R21" si="0">SUM(S3:Y3)</f>
        <v>837.88019530183817</v>
      </c>
      <c r="S3" s="37">
        <f>Externality_calc!Q5</f>
        <v>483.71505493787521</v>
      </c>
      <c r="T3" s="37">
        <f>Externality_calc!R5</f>
        <v>0</v>
      </c>
      <c r="U3" s="37">
        <f>Externality_calc!S5</f>
        <v>107.90589285227119</v>
      </c>
      <c r="V3" s="37">
        <f>Externality_calc!T5</f>
        <v>35.7664955779058</v>
      </c>
      <c r="W3" s="37">
        <f>Externality_calc!U5</f>
        <v>56.447183443354653</v>
      </c>
      <c r="X3" s="37">
        <f>Externality_calc!V5</f>
        <v>61.971511839446592</v>
      </c>
      <c r="Y3" s="37">
        <f>Externality_calc!W5</f>
        <v>92.074056650984716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48.739213237171441</v>
      </c>
      <c r="F4" s="56">
        <f>Input!G6</f>
        <v>0</v>
      </c>
      <c r="G4" s="56" t="str">
        <f>Input!H6</f>
        <v>21</v>
      </c>
      <c r="H4" s="16">
        <f>E4*365*0.8</f>
        <v>14231.850265254061</v>
      </c>
      <c r="I4" s="91">
        <f>TOC_calc!J6</f>
        <v>14593.355417371697</v>
      </c>
      <c r="J4" s="91">
        <f>TOC_calc!K6</f>
        <v>7600</v>
      </c>
      <c r="K4" s="91">
        <f>TOC_calc!L6</f>
        <v>0</v>
      </c>
      <c r="L4" s="91">
        <f>TOC_calc!M6</f>
        <v>3750.6949728644099</v>
      </c>
      <c r="M4" s="91">
        <f>TOC_calc!N6</f>
        <v>2205.6604445072867</v>
      </c>
      <c r="N4" s="91">
        <f>TOC_calc!O6</f>
        <v>1037</v>
      </c>
      <c r="O4" s="17">
        <f>GR_calc!J6</f>
        <v>795.9471022195446</v>
      </c>
      <c r="P4" s="17">
        <f>GR_calc!K6</f>
        <v>795.9471022195446</v>
      </c>
      <c r="Q4" s="17">
        <f>GR_calc!L6</f>
        <v>0</v>
      </c>
      <c r="R4" s="37">
        <f t="shared" si="0"/>
        <v>1119.6013439540259</v>
      </c>
      <c r="S4" s="37">
        <f>Externality_calc!Q6</f>
        <v>646.35496654046813</v>
      </c>
      <c r="T4" s="37">
        <f>Externality_calc!R6</f>
        <v>0</v>
      </c>
      <c r="U4" s="37">
        <f>Externality_calc!S6</f>
        <v>144.18718014267034</v>
      </c>
      <c r="V4" s="37">
        <f>Externality_calc!T6</f>
        <v>47.792293865023886</v>
      </c>
      <c r="W4" s="37">
        <f>Externality_calc!U6</f>
        <v>75.426466456618812</v>
      </c>
      <c r="X4" s="37">
        <f>Externality_calc!V6</f>
        <v>82.80824434251312</v>
      </c>
      <c r="Y4" s="37">
        <f>Externality_calc!W6</f>
        <v>123.03219260673153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35.421514362907701</v>
      </c>
      <c r="F5" s="56">
        <f>Input!G7</f>
        <v>0</v>
      </c>
      <c r="G5" s="56" t="str">
        <f>Input!H7</f>
        <v>21</v>
      </c>
      <c r="H5" s="16">
        <f t="shared" ref="H5:H21" si="1">E5*365*0.8</f>
        <v>10343.08219396905</v>
      </c>
      <c r="I5" s="91">
        <f>TOC_calc!J7</f>
        <v>12965.816879754357</v>
      </c>
      <c r="J5" s="91">
        <f>TOC_calc!K7</f>
        <v>7600</v>
      </c>
      <c r="K5" s="91">
        <f>TOC_calc!L7</f>
        <v>0</v>
      </c>
      <c r="L5" s="91">
        <f>TOC_calc!M7</f>
        <v>2725.8399762366089</v>
      </c>
      <c r="M5" s="91">
        <f>TOC_calc!N7</f>
        <v>1602.9769035177469</v>
      </c>
      <c r="N5" s="91">
        <f>TOC_calc!O7</f>
        <v>1037</v>
      </c>
      <c r="O5" s="17">
        <f>GR_calc!J7</f>
        <v>578.4593111134219</v>
      </c>
      <c r="P5" s="17">
        <f>GR_calc!K7</f>
        <v>578.4593111134219</v>
      </c>
      <c r="Q5" s="17">
        <f>GR_calc!L7</f>
        <v>0</v>
      </c>
      <c r="R5" s="37">
        <f t="shared" si="0"/>
        <v>813.67696463661332</v>
      </c>
      <c r="S5" s="37">
        <f>Externality_calc!Q7</f>
        <v>469.74233292278353</v>
      </c>
      <c r="T5" s="37">
        <f>Externality_calc!R7</f>
        <v>0</v>
      </c>
      <c r="U5" s="37">
        <f>Externality_calc!S7</f>
        <v>104.78889446815286</v>
      </c>
      <c r="V5" s="37">
        <f>Externality_calc!T7</f>
        <v>34.733335052794018</v>
      </c>
      <c r="W5" s="37">
        <f>Externality_calc!U7</f>
        <v>54.816635055957086</v>
      </c>
      <c r="X5" s="37">
        <f>Externality_calc!V7</f>
        <v>60.181386229445131</v>
      </c>
      <c r="Y5" s="37">
        <f>Externality_calc!W7</f>
        <v>89.41438090748062</v>
      </c>
    </row>
    <row r="6" spans="1:25">
      <c r="A6" s="56">
        <f>Input!B8</f>
        <v>2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38.942508311456677</v>
      </c>
      <c r="F6" s="56">
        <f>Input!G8</f>
        <v>0</v>
      </c>
      <c r="G6" s="56" t="str">
        <f>Input!H8</f>
        <v>21</v>
      </c>
      <c r="H6" s="16">
        <f t="shared" si="1"/>
        <v>11371.212426945351</v>
      </c>
      <c r="I6" s="91">
        <f>TOC_calc!J8</f>
        <v>13396.112938862219</v>
      </c>
      <c r="J6" s="91">
        <f>TOC_calc!K8</f>
        <v>7600</v>
      </c>
      <c r="K6" s="91">
        <f>TOC_calc!L8</f>
        <v>0</v>
      </c>
      <c r="L6" s="91">
        <f>TOC_calc!M8</f>
        <v>2996.7958129269891</v>
      </c>
      <c r="M6" s="91">
        <f>TOC_calc!N8</f>
        <v>1762.3171259352293</v>
      </c>
      <c r="N6" s="91">
        <f>TOC_calc!O8</f>
        <v>1037</v>
      </c>
      <c r="O6" s="17">
        <f>GR_calc!J8</f>
        <v>635.95972493099123</v>
      </c>
      <c r="P6" s="17">
        <f>GR_calc!K8</f>
        <v>635.95972493099123</v>
      </c>
      <c r="Q6" s="17">
        <f>GR_calc!L8</f>
        <v>0</v>
      </c>
      <c r="R6" s="37">
        <f t="shared" si="0"/>
        <v>894.55864685964389</v>
      </c>
      <c r="S6" s="37">
        <f>Externality_calc!Q8</f>
        <v>516.43598623903961</v>
      </c>
      <c r="T6" s="37">
        <f>Externality_calc!R8</f>
        <v>0</v>
      </c>
      <c r="U6" s="37">
        <f>Externality_calc!S8</f>
        <v>115.20519286571286</v>
      </c>
      <c r="V6" s="37">
        <f>Externality_calc!T8</f>
        <v>38.185922124053633</v>
      </c>
      <c r="W6" s="37">
        <f>Externality_calc!U8</f>
        <v>60.265556249285716</v>
      </c>
      <c r="X6" s="37">
        <f>Externality_calc!V8</f>
        <v>66.163578141348765</v>
      </c>
      <c r="Y6" s="37">
        <f>Externality_calc!W8</f>
        <v>98.302411240203199</v>
      </c>
    </row>
    <row r="7" spans="1:25">
      <c r="A7" s="56">
        <f>Input!B9</f>
        <v>2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9.0971134972324172</v>
      </c>
      <c r="F7" s="56">
        <f>Input!G9</f>
        <v>0</v>
      </c>
      <c r="G7" s="56" t="str">
        <f>Input!H9</f>
        <v>21</v>
      </c>
      <c r="H7" s="16">
        <f t="shared" si="1"/>
        <v>2656.357141191866</v>
      </c>
      <c r="I7" s="91">
        <f>TOC_calc!J9</f>
        <v>9748.7463262693855</v>
      </c>
      <c r="J7" s="91">
        <f>TOC_calc!K9</f>
        <v>7600</v>
      </c>
      <c r="K7" s="91">
        <f>TOC_calc!L9</f>
        <v>0</v>
      </c>
      <c r="L7" s="91">
        <f>TOC_calc!M9</f>
        <v>700.06254913495945</v>
      </c>
      <c r="M7" s="91">
        <f>TOC_calc!N9</f>
        <v>411.68377713442476</v>
      </c>
      <c r="N7" s="91">
        <f>TOC_calc!O9</f>
        <v>1037</v>
      </c>
      <c r="O7" s="17">
        <f>GR_calc!J9</f>
        <v>148.56253611336851</v>
      </c>
      <c r="P7" s="17">
        <f>GR_calc!K9</f>
        <v>148.56253611336851</v>
      </c>
      <c r="Q7" s="17">
        <f>GR_calc!L9</f>
        <v>0</v>
      </c>
      <c r="R7" s="37">
        <f t="shared" si="0"/>
        <v>208.97219756177611</v>
      </c>
      <c r="S7" s="37">
        <f>Externality_calc!Q9</f>
        <v>120.64135014871535</v>
      </c>
      <c r="T7" s="37">
        <f>Externality_calc!R9</f>
        <v>0</v>
      </c>
      <c r="U7" s="37">
        <f>Externality_calc!S9</f>
        <v>26.912357739976752</v>
      </c>
      <c r="V7" s="37">
        <f>Externality_calc!T9</f>
        <v>8.9203721748143394</v>
      </c>
      <c r="W7" s="37">
        <f>Externality_calc!U9</f>
        <v>14.078256099705486</v>
      </c>
      <c r="X7" s="37">
        <f>Externality_calc!V9</f>
        <v>15.456055755858452</v>
      </c>
      <c r="Y7" s="37">
        <f>Externality_calc!W9</f>
        <v>22.963805642705747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38.559369851490601</v>
      </c>
      <c r="F8" s="56">
        <f>Input!G10</f>
        <v>0</v>
      </c>
      <c r="G8" s="56" t="str">
        <f>Input!H10</f>
        <v>21</v>
      </c>
      <c r="H8" s="16">
        <f t="shared" si="1"/>
        <v>11259.335996635256</v>
      </c>
      <c r="I8" s="91">
        <f>TOC_calc!J10</f>
        <v>13349.290089455164</v>
      </c>
      <c r="J8" s="91">
        <f>TOC_calc!K10</f>
        <v>7600</v>
      </c>
      <c r="K8" s="91">
        <f>TOC_calc!L10</f>
        <v>0</v>
      </c>
      <c r="L8" s="91">
        <f>TOC_calc!M10</f>
        <v>2967.3116378601294</v>
      </c>
      <c r="M8" s="91">
        <f>TOC_calc!N10</f>
        <v>1744.9784515950348</v>
      </c>
      <c r="N8" s="91">
        <f>TOC_calc!O10</f>
        <v>1037</v>
      </c>
      <c r="O8" s="17">
        <f>GR_calc!J10</f>
        <v>629.7027928489141</v>
      </c>
      <c r="P8" s="17">
        <f>GR_calc!K10</f>
        <v>629.7027928489141</v>
      </c>
      <c r="Q8" s="17">
        <f>GR_calc!L10</f>
        <v>0</v>
      </c>
      <c r="R8" s="37">
        <f t="shared" si="0"/>
        <v>885.75747207228903</v>
      </c>
      <c r="S8" s="37">
        <f>Externality_calc!Q10</f>
        <v>511.35499641536984</v>
      </c>
      <c r="T8" s="37">
        <f>Externality_calc!R10</f>
        <v>0</v>
      </c>
      <c r="U8" s="37">
        <f>Externality_calc!S10</f>
        <v>114.07173890785164</v>
      </c>
      <c r="V8" s="37">
        <f>Externality_calc!T10</f>
        <v>37.810227387649348</v>
      </c>
      <c r="W8" s="37">
        <f>Externality_calc!U10</f>
        <v>59.672629562959322</v>
      </c>
      <c r="X8" s="37">
        <f>Externality_calc!V10</f>
        <v>65.512623374075503</v>
      </c>
      <c r="Y8" s="37">
        <f>Externality_calc!W10</f>
        <v>97.335256424383516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37.569393419331426</v>
      </c>
      <c r="F9" s="56">
        <f>Input!G11</f>
        <v>0</v>
      </c>
      <c r="G9" s="56" t="str">
        <f>Input!H11</f>
        <v>21</v>
      </c>
      <c r="H9" s="16">
        <f t="shared" si="1"/>
        <v>10970.262878444777</v>
      </c>
      <c r="I9" s="91">
        <f>TOC_calc!J11</f>
        <v>13228.306366224595</v>
      </c>
      <c r="J9" s="91">
        <f>TOC_calc!K11</f>
        <v>7600</v>
      </c>
      <c r="K9" s="91">
        <f>TOC_calc!L11</f>
        <v>0</v>
      </c>
      <c r="L9" s="91">
        <f>TOC_calc!M11</f>
        <v>2891.128634878829</v>
      </c>
      <c r="M9" s="91">
        <f>TOC_calc!N11</f>
        <v>1700.1777313457665</v>
      </c>
      <c r="N9" s="91">
        <f>TOC_calc!O11</f>
        <v>1037</v>
      </c>
      <c r="O9" s="17">
        <f>GR_calc!J11</f>
        <v>613.53575156721797</v>
      </c>
      <c r="P9" s="17">
        <f>GR_calc!K11</f>
        <v>613.53575156721797</v>
      </c>
      <c r="Q9" s="17">
        <f>GR_calc!L11</f>
        <v>0</v>
      </c>
      <c r="R9" s="37">
        <f t="shared" si="0"/>
        <v>863.01646190179872</v>
      </c>
      <c r="S9" s="37">
        <f>Externality_calc!Q11</f>
        <v>498.22642619060287</v>
      </c>
      <c r="T9" s="37">
        <f>Externality_calc!R11</f>
        <v>0</v>
      </c>
      <c r="U9" s="37">
        <f>Externality_calc!S11</f>
        <v>111.14305170344124</v>
      </c>
      <c r="V9" s="37">
        <f>Externality_calc!T11</f>
        <v>36.839484500706007</v>
      </c>
      <c r="W9" s="37">
        <f>Externality_calc!U11</f>
        <v>58.140589564903927</v>
      </c>
      <c r="X9" s="37">
        <f>Externality_calc!V11</f>
        <v>63.830646894712778</v>
      </c>
      <c r="Y9" s="37">
        <f>Externality_calc!W11</f>
        <v>94.836263047431729</v>
      </c>
    </row>
    <row r="10" spans="1:25">
      <c r="A10" s="56">
        <f>Input!B12</f>
        <v>3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53.693945251890923</v>
      </c>
      <c r="F10" s="56">
        <f>Input!G12</f>
        <v>0</v>
      </c>
      <c r="G10" s="56" t="str">
        <f>Input!H12</f>
        <v>21</v>
      </c>
      <c r="H10" s="16">
        <f t="shared" si="1"/>
        <v>15678.632013552151</v>
      </c>
      <c r="I10" s="91">
        <f>TOC_calc!J12</f>
        <v>15198.86672782083</v>
      </c>
      <c r="J10" s="91">
        <f>TOC_calc!K12</f>
        <v>7600</v>
      </c>
      <c r="K10" s="91">
        <f>TOC_calc!L12</f>
        <v>0</v>
      </c>
      <c r="L10" s="91">
        <f>TOC_calc!M12</f>
        <v>4131.9832051768199</v>
      </c>
      <c r="M10" s="91">
        <f>TOC_calc!N12</f>
        <v>2429.8835226440092</v>
      </c>
      <c r="N10" s="91">
        <f>TOC_calc!O12</f>
        <v>1037</v>
      </c>
      <c r="O10" s="17">
        <f>GR_calc!J12</f>
        <v>876.86151029994994</v>
      </c>
      <c r="P10" s="17">
        <f>GR_calc!K12</f>
        <v>876.86151029994994</v>
      </c>
      <c r="Q10" s="17">
        <f>GR_calc!L12</f>
        <v>0</v>
      </c>
      <c r="R10" s="37">
        <f t="shared" si="0"/>
        <v>1233.4178020822678</v>
      </c>
      <c r="S10" s="37">
        <f>Externality_calc!Q12</f>
        <v>712.06213399118462</v>
      </c>
      <c r="T10" s="37">
        <f>Externality_calc!R12</f>
        <v>0</v>
      </c>
      <c r="U10" s="37">
        <f>Externality_calc!S12</f>
        <v>158.84496368317613</v>
      </c>
      <c r="V10" s="37">
        <f>Externality_calc!T12</f>
        <v>52.650763929315346</v>
      </c>
      <c r="W10" s="37">
        <f>Externality_calc!U12</f>
        <v>83.094171847988477</v>
      </c>
      <c r="X10" s="37">
        <f>Externality_calc!V12</f>
        <v>91.226366673089643</v>
      </c>
      <c r="Y10" s="37">
        <f>Externality_calc!W12</f>
        <v>135.53940195751352</v>
      </c>
    </row>
    <row r="11" spans="1:25">
      <c r="A11" s="56">
        <f>Input!B13</f>
        <v>3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39.445680656032366</v>
      </c>
      <c r="F11" s="56">
        <f>Input!G13</f>
        <v>0</v>
      </c>
      <c r="G11" s="56" t="str">
        <f>Input!H13</f>
        <v>21</v>
      </c>
      <c r="H11" s="16">
        <f t="shared" si="1"/>
        <v>11518.138751561451</v>
      </c>
      <c r="I11" s="91">
        <f>TOC_calc!J13</f>
        <v>13457.604972102494</v>
      </c>
      <c r="J11" s="91">
        <f>TOC_calc!K13</f>
        <v>7600</v>
      </c>
      <c r="K11" s="91">
        <f>TOC_calc!L13</f>
        <v>0</v>
      </c>
      <c r="L11" s="91">
        <f>TOC_calc!M13</f>
        <v>3035.517118790111</v>
      </c>
      <c r="M11" s="91">
        <f>TOC_calc!N13</f>
        <v>1785.0878533123828</v>
      </c>
      <c r="N11" s="91">
        <f>TOC_calc!O13</f>
        <v>1037</v>
      </c>
      <c r="O11" s="17">
        <f>GR_calc!J13</f>
        <v>644.17689839321258</v>
      </c>
      <c r="P11" s="17">
        <f>GR_calc!K13</f>
        <v>644.17689839321258</v>
      </c>
      <c r="Q11" s="17">
        <f>GR_calc!L13</f>
        <v>0</v>
      </c>
      <c r="R11" s="37">
        <f t="shared" si="0"/>
        <v>906.11715172278321</v>
      </c>
      <c r="S11" s="37">
        <f>Externality_calc!Q13</f>
        <v>523.1088051530362</v>
      </c>
      <c r="T11" s="37">
        <f>Externality_calc!R13</f>
        <v>0</v>
      </c>
      <c r="U11" s="37">
        <f>Externality_calc!S13</f>
        <v>116.69374790530902</v>
      </c>
      <c r="V11" s="37">
        <f>Externality_calc!T13</f>
        <v>38.679318692432666</v>
      </c>
      <c r="W11" s="37">
        <f>Externality_calc!U13</f>
        <v>61.044241612657395</v>
      </c>
      <c r="X11" s="37">
        <f>Externality_calc!V13</f>
        <v>67.018471269255087</v>
      </c>
      <c r="Y11" s="37">
        <f>Externality_calc!W13</f>
        <v>99.572567090092932</v>
      </c>
    </row>
    <row r="12" spans="1:25">
      <c r="A12" s="56">
        <f>Input!B14</f>
        <v>3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47.330330672359494</v>
      </c>
      <c r="F12" s="56">
        <f>Input!G14</f>
        <v>0</v>
      </c>
      <c r="G12" s="56" t="str">
        <f>Input!H14</f>
        <v>21</v>
      </c>
      <c r="H12" s="16">
        <f t="shared" si="1"/>
        <v>13820.456556328973</v>
      </c>
      <c r="I12" s="91">
        <f>TOC_calc!J14</f>
        <v>14421.177724298923</v>
      </c>
      <c r="J12" s="91">
        <f>TOC_calc!K14</f>
        <v>7600</v>
      </c>
      <c r="K12" s="91">
        <f>TOC_calc!L14</f>
        <v>0</v>
      </c>
      <c r="L12" s="91">
        <f>TOC_calc!M14</f>
        <v>3642.2753164476667</v>
      </c>
      <c r="M12" s="91">
        <f>TOC_calc!N14</f>
        <v>2141.9024078512562</v>
      </c>
      <c r="N12" s="91">
        <f>TOC_calc!O14</f>
        <v>1037</v>
      </c>
      <c r="O12" s="17">
        <f>GR_calc!J14</f>
        <v>772.9390165253244</v>
      </c>
      <c r="P12" s="17">
        <f>GR_calc!K14</f>
        <v>772.9390165253244</v>
      </c>
      <c r="Q12" s="17">
        <f>GR_calc!L14</f>
        <v>0</v>
      </c>
      <c r="R12" s="37">
        <f t="shared" si="0"/>
        <v>1087.2375303372348</v>
      </c>
      <c r="S12" s="37">
        <f>Externality_calc!Q14</f>
        <v>627.6710735812776</v>
      </c>
      <c r="T12" s="37">
        <f>Externality_calc!R14</f>
        <v>0</v>
      </c>
      <c r="U12" s="37">
        <f>Externality_calc!S14</f>
        <v>140.01922603180094</v>
      </c>
      <c r="V12" s="37">
        <f>Externality_calc!T14</f>
        <v>46.410783473562567</v>
      </c>
      <c r="W12" s="37">
        <f>Externality_calc!U14</f>
        <v>73.246147439178088</v>
      </c>
      <c r="X12" s="37">
        <f>Externality_calc!V14</f>
        <v>80.41454358437538</v>
      </c>
      <c r="Y12" s="37">
        <f>Externality_calc!W14</f>
        <v>119.47575622704022</v>
      </c>
    </row>
    <row r="13" spans="1:25">
      <c r="A13" s="56">
        <f>Input!B15</f>
        <v>3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12.436844155386048</v>
      </c>
      <c r="F13" s="56">
        <f>Input!G15</f>
        <v>0</v>
      </c>
      <c r="G13" s="56" t="str">
        <f>Input!H15</f>
        <v>21</v>
      </c>
      <c r="H13" s="16">
        <f t="shared" si="1"/>
        <v>3631.5584933727259</v>
      </c>
      <c r="I13" s="91">
        <f>TOC_calc!J15</f>
        <v>10156.89043605334</v>
      </c>
      <c r="J13" s="91">
        <f>TOC_calc!K15</f>
        <v>7600</v>
      </c>
      <c r="K13" s="91">
        <f>TOC_calc!L15</f>
        <v>0</v>
      </c>
      <c r="L13" s="91">
        <f>TOC_calc!M15</f>
        <v>957.06938527946761</v>
      </c>
      <c r="M13" s="91">
        <f>TOC_calc!N15</f>
        <v>562.821050773872</v>
      </c>
      <c r="N13" s="91">
        <f>TOC_calc!O15</f>
        <v>1037</v>
      </c>
      <c r="O13" s="17">
        <f>GR_calc!J15</f>
        <v>203.10278744273987</v>
      </c>
      <c r="P13" s="17">
        <f>GR_calc!K15</f>
        <v>203.10278744273987</v>
      </c>
      <c r="Q13" s="17">
        <f>GR_calc!L15</f>
        <v>0</v>
      </c>
      <c r="R13" s="37">
        <f t="shared" si="0"/>
        <v>285.69003285218156</v>
      </c>
      <c r="S13" s="37">
        <f>Externality_calc!Q15</f>
        <v>164.93118074776055</v>
      </c>
      <c r="T13" s="37">
        <f>Externality_calc!R15</f>
        <v>0</v>
      </c>
      <c r="U13" s="37">
        <f>Externality_calc!S15</f>
        <v>36.792417635320739</v>
      </c>
      <c r="V13" s="37">
        <f>Externality_calc!T15</f>
        <v>12.195217590718123</v>
      </c>
      <c r="W13" s="37">
        <f>Externality_calc!U15</f>
        <v>19.24666292719299</v>
      </c>
      <c r="X13" s="37">
        <f>Externality_calc!V15</f>
        <v>21.130280143371724</v>
      </c>
      <c r="Y13" s="37">
        <f>Externality_calc!W15</f>
        <v>31.394273807817424</v>
      </c>
    </row>
    <row r="14" spans="1:25">
      <c r="A14" s="56">
        <f>Input!B16</f>
        <v>1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8.3544796151779259</v>
      </c>
      <c r="F14" s="56">
        <f>Input!G16</f>
        <v>0</v>
      </c>
      <c r="G14" s="56" t="str">
        <f>Input!H16</f>
        <v>21</v>
      </c>
      <c r="H14" s="16">
        <f t="shared" si="1"/>
        <v>2439.5080476319545</v>
      </c>
      <c r="I14" s="91">
        <f>TOC_calc!J16</f>
        <v>9657.9900121496976</v>
      </c>
      <c r="J14" s="91">
        <f>TOC_calc!K16</f>
        <v>7600</v>
      </c>
      <c r="K14" s="91">
        <f>TOC_calc!L16</f>
        <v>0</v>
      </c>
      <c r="L14" s="91">
        <f>TOC_calc!M16</f>
        <v>642.91363385504974</v>
      </c>
      <c r="M14" s="91">
        <f>TOC_calc!N16</f>
        <v>378.07637829464937</v>
      </c>
      <c r="N14" s="91">
        <f>TOC_calc!O16</f>
        <v>1037</v>
      </c>
      <c r="O14" s="17">
        <f>GR_calc!J16</f>
        <v>136.43478009984881</v>
      </c>
      <c r="P14" s="17">
        <f>GR_calc!K16</f>
        <v>136.43478009984881</v>
      </c>
      <c r="Q14" s="17">
        <f>GR_calc!L16</f>
        <v>0</v>
      </c>
      <c r="R14" s="37">
        <f t="shared" si="0"/>
        <v>191.91295845653983</v>
      </c>
      <c r="S14" s="37">
        <f>Externality_calc!Q16</f>
        <v>110.79291259492511</v>
      </c>
      <c r="T14" s="37">
        <f>Externality_calc!R16</f>
        <v>0</v>
      </c>
      <c r="U14" s="37">
        <f>Externality_calc!S16</f>
        <v>24.715393976717291</v>
      </c>
      <c r="V14" s="37">
        <f>Externality_calc!T16</f>
        <v>8.1921663961826212</v>
      </c>
      <c r="W14" s="37">
        <f>Externality_calc!U16</f>
        <v>12.928991557379803</v>
      </c>
      <c r="X14" s="37">
        <f>Externality_calc!V16</f>
        <v>14.194315898406327</v>
      </c>
      <c r="Y14" s="37">
        <f>Externality_calc!W16</f>
        <v>21.089178032928686</v>
      </c>
    </row>
    <row r="15" spans="1:25">
      <c r="A15" s="56">
        <f>Input!B17</f>
        <v>1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35.014732865063976</v>
      </c>
      <c r="F15" s="56">
        <f>Input!G17</f>
        <v>0</v>
      </c>
      <c r="G15" s="56" t="str">
        <f>Input!H17</f>
        <v>21</v>
      </c>
      <c r="H15" s="16">
        <f t="shared" si="1"/>
        <v>10224.301996598682</v>
      </c>
      <c r="I15" s="91">
        <f>TOC_calc!J17</f>
        <v>12916.10464565288</v>
      </c>
      <c r="J15" s="91">
        <f>TOC_calc!K17</f>
        <v>7600</v>
      </c>
      <c r="K15" s="91">
        <f>TOC_calc!L17</f>
        <v>0</v>
      </c>
      <c r="L15" s="91">
        <f>TOC_calc!M17</f>
        <v>2694.5363663159401</v>
      </c>
      <c r="M15" s="91">
        <f>TOC_calc!N17</f>
        <v>1584.5682793369392</v>
      </c>
      <c r="N15" s="91">
        <f>TOC_calc!O17</f>
        <v>1037</v>
      </c>
      <c r="O15" s="17">
        <f>GR_calc!J17</f>
        <v>571.81627088071036</v>
      </c>
      <c r="P15" s="17">
        <f>GR_calc!K17</f>
        <v>571.81627088071036</v>
      </c>
      <c r="Q15" s="17">
        <f>GR_calc!L17</f>
        <v>0</v>
      </c>
      <c r="R15" s="37">
        <f t="shared" si="0"/>
        <v>804.33267937978576</v>
      </c>
      <c r="S15" s="37">
        <f>Externality_calc!Q17</f>
        <v>464.34780100556452</v>
      </c>
      <c r="T15" s="37">
        <f>Externality_calc!R17</f>
        <v>0</v>
      </c>
      <c r="U15" s="37">
        <f>Externality_calc!S17</f>
        <v>103.5854963578287</v>
      </c>
      <c r="V15" s="37">
        <f>Externality_calc!T17</f>
        <v>34.334456622212898</v>
      </c>
      <c r="W15" s="37">
        <f>Externality_calc!U17</f>
        <v>54.187119539303588</v>
      </c>
      <c r="X15" s="37">
        <f>Externality_calc!V17</f>
        <v>59.490261785077479</v>
      </c>
      <c r="Y15" s="37">
        <f>Externality_calc!W17</f>
        <v>88.387544069798651</v>
      </c>
    </row>
    <row r="16" spans="1:25">
      <c r="A16" s="56">
        <f>Input!B18</f>
        <v>1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33.377907165841826</v>
      </c>
      <c r="F16" s="56">
        <f>Input!G18</f>
        <v>0</v>
      </c>
      <c r="G16" s="56" t="str">
        <f>Input!H18</f>
        <v>21</v>
      </c>
      <c r="H16" s="16">
        <f t="shared" si="1"/>
        <v>9746.3488924258127</v>
      </c>
      <c r="I16" s="91">
        <f>TOC_calc!J18</f>
        <v>12716.070320654388</v>
      </c>
      <c r="J16" s="91">
        <f>TOC_calc!K18</f>
        <v>7600</v>
      </c>
      <c r="K16" s="91">
        <f>TOC_calc!L18</f>
        <v>0</v>
      </c>
      <c r="L16" s="91">
        <f>TOC_calc!M18</f>
        <v>2568.5754918214443</v>
      </c>
      <c r="M16" s="91">
        <f>TOC_calc!N18</f>
        <v>1510.494828832944</v>
      </c>
      <c r="N16" s="91">
        <f>TOC_calc!O18</f>
        <v>1037</v>
      </c>
      <c r="O16" s="17">
        <f>GR_calc!J18</f>
        <v>545.08570660601367</v>
      </c>
      <c r="P16" s="17">
        <f>GR_calc!K18</f>
        <v>545.08570660601367</v>
      </c>
      <c r="Q16" s="17">
        <f>GR_calc!L18</f>
        <v>0</v>
      </c>
      <c r="R16" s="37">
        <f t="shared" si="0"/>
        <v>766.73272380089736</v>
      </c>
      <c r="S16" s="37">
        <f>Externality_calc!Q18</f>
        <v>442.64104068292465</v>
      </c>
      <c r="T16" s="37">
        <f>Externality_calc!R18</f>
        <v>0</v>
      </c>
      <c r="U16" s="37">
        <f>Externality_calc!S18</f>
        <v>98.743208879624149</v>
      </c>
      <c r="V16" s="37">
        <f>Externality_calc!T18</f>
        <v>32.729431640738895</v>
      </c>
      <c r="W16" s="37">
        <f>Externality_calc!U18</f>
        <v>51.654046670504101</v>
      </c>
      <c r="X16" s="37">
        <f>Externality_calc!V18</f>
        <v>56.709284140080932</v>
      </c>
      <c r="Y16" s="37">
        <f>Externality_calc!W18</f>
        <v>84.255711787024708</v>
      </c>
    </row>
    <row r="17" spans="1:25">
      <c r="A17" s="56">
        <f>Input!B19</f>
        <v>1</v>
      </c>
      <c r="B17" s="56">
        <f>Input!C19</f>
        <v>16</v>
      </c>
      <c r="C17" s="56">
        <f>Input!D19</f>
        <v>2</v>
      </c>
      <c r="D17" s="56">
        <f>Input!E19</f>
        <v>1</v>
      </c>
      <c r="E17" s="56">
        <f>Input!F19</f>
        <v>43.294039744425774</v>
      </c>
      <c r="F17" s="56">
        <f>Input!G19</f>
        <v>0</v>
      </c>
      <c r="G17" s="56" t="str">
        <f>Input!H19</f>
        <v>21</v>
      </c>
      <c r="H17" s="16">
        <f t="shared" si="1"/>
        <v>12641.859605372327</v>
      </c>
      <c r="I17" s="91">
        <f>TOC_calc!J19</f>
        <v>13927.907896210056</v>
      </c>
      <c r="J17" s="91">
        <f>TOC_calc!K19</f>
        <v>7600</v>
      </c>
      <c r="K17" s="91">
        <f>TOC_calc!L19</f>
        <v>0</v>
      </c>
      <c r="L17" s="91">
        <f>TOC_calc!M19</f>
        <v>3331.665130379391</v>
      </c>
      <c r="M17" s="91">
        <f>TOC_calc!N19</f>
        <v>1959.2427658306644</v>
      </c>
      <c r="N17" s="91">
        <f>TOC_calc!O19</f>
        <v>1037</v>
      </c>
      <c r="O17" s="17">
        <f>GR_calc!J19</f>
        <v>707.0234250657212</v>
      </c>
      <c r="P17" s="17">
        <f>GR_calc!K19</f>
        <v>707.0234250657212</v>
      </c>
      <c r="Q17" s="17">
        <f>GR_calc!L19</f>
        <v>0</v>
      </c>
      <c r="R17" s="37">
        <f t="shared" si="0"/>
        <v>994.51882506159154</v>
      </c>
      <c r="S17" s="37">
        <f>Externality_calc!Q19</f>
        <v>574.14381053382021</v>
      </c>
      <c r="T17" s="37">
        <f>Externality_calc!R19</f>
        <v>0</v>
      </c>
      <c r="U17" s="37">
        <f>Externality_calc!S19</f>
        <v>128.07850379850993</v>
      </c>
      <c r="V17" s="37">
        <f>Externality_calc!T19</f>
        <v>42.452910759987077</v>
      </c>
      <c r="W17" s="37">
        <f>Externality_calc!U19</f>
        <v>66.999777379745936</v>
      </c>
      <c r="X17" s="37">
        <f>Externality_calc!V19</f>
        <v>73.556858710158039</v>
      </c>
      <c r="Y17" s="37">
        <f>Externality_calc!W19</f>
        <v>109.28696387937032</v>
      </c>
    </row>
    <row r="18" spans="1:25">
      <c r="A18" s="56">
        <f>Input!B20</f>
        <v>1</v>
      </c>
      <c r="B18" s="56">
        <f>Input!C20</f>
        <v>17</v>
      </c>
      <c r="C18" s="56">
        <f>Input!D20</f>
        <v>2</v>
      </c>
      <c r="D18" s="56">
        <f>Input!E20</f>
        <v>1</v>
      </c>
      <c r="E18" s="56">
        <f>Input!F20</f>
        <v>43.91663974187064</v>
      </c>
      <c r="F18" s="56">
        <f>Input!G20</f>
        <v>0</v>
      </c>
      <c r="G18" s="56" t="str">
        <f>Input!H20</f>
        <v>21</v>
      </c>
      <c r="H18" s="16">
        <f t="shared" si="1"/>
        <v>12823.658804626228</v>
      </c>
      <c r="I18" s="91">
        <f>TOC_calc!J20</f>
        <v>14003.995026496517</v>
      </c>
      <c r="J18" s="91">
        <f>TOC_calc!K20</f>
        <v>7600</v>
      </c>
      <c r="K18" s="91">
        <f>TOC_calc!L20</f>
        <v>0</v>
      </c>
      <c r="L18" s="91">
        <f>TOC_calc!M20</f>
        <v>3379.576914863037</v>
      </c>
      <c r="M18" s="91">
        <f>TOC_calc!N20</f>
        <v>1987.4181116334801</v>
      </c>
      <c r="N18" s="91">
        <f>TOC_calc!O20</f>
        <v>1037</v>
      </c>
      <c r="O18" s="17">
        <f>GR_calc!J20</f>
        <v>717.19093969909636</v>
      </c>
      <c r="P18" s="17">
        <f>GR_calc!K20</f>
        <v>717.19093969909636</v>
      </c>
      <c r="Q18" s="17">
        <f>GR_calc!L20</f>
        <v>0</v>
      </c>
      <c r="R18" s="37">
        <f t="shared" si="0"/>
        <v>1008.8207340910426</v>
      </c>
      <c r="S18" s="37">
        <f>Externality_calc!Q20</f>
        <v>582.40041899728351</v>
      </c>
      <c r="T18" s="37">
        <f>Externality_calc!R20</f>
        <v>0</v>
      </c>
      <c r="U18" s="37">
        <f>Externality_calc!S20</f>
        <v>129.9203664800344</v>
      </c>
      <c r="V18" s="37">
        <f>Externality_calc!T20</f>
        <v>43.063414706644039</v>
      </c>
      <c r="W18" s="37">
        <f>Externality_calc!U20</f>
        <v>67.963283245026318</v>
      </c>
      <c r="X18" s="37">
        <f>Externality_calc!V20</f>
        <v>74.614660206977078</v>
      </c>
      <c r="Y18" s="37">
        <f>Externality_calc!W20</f>
        <v>110.85859045507726</v>
      </c>
    </row>
    <row r="19" spans="1:25">
      <c r="A19" s="56">
        <f>Input!B21</f>
        <v>1</v>
      </c>
      <c r="B19" s="56">
        <f>Input!C21</f>
        <v>18</v>
      </c>
      <c r="C19" s="56">
        <f>Input!D21</f>
        <v>2</v>
      </c>
      <c r="D19" s="56">
        <f>Input!E21</f>
        <v>1</v>
      </c>
      <c r="E19" s="56">
        <f>Input!F21</f>
        <v>8.9752609174014353</v>
      </c>
      <c r="F19" s="56">
        <f>Input!G21</f>
        <v>0</v>
      </c>
      <c r="G19" s="56" t="str">
        <f>Input!H21</f>
        <v>21</v>
      </c>
      <c r="H19" s="16">
        <f t="shared" si="1"/>
        <v>2620.7761878812194</v>
      </c>
      <c r="I19" s="91">
        <f>TOC_calc!J21</f>
        <v>9733.854882075053</v>
      </c>
      <c r="J19" s="91">
        <f>TOC_calc!K21</f>
        <v>7600</v>
      </c>
      <c r="K19" s="91">
        <f>TOC_calc!L21</f>
        <v>0</v>
      </c>
      <c r="L19" s="91">
        <f>TOC_calc!M21</f>
        <v>690.68546181148042</v>
      </c>
      <c r="M19" s="91">
        <f>TOC_calc!N21</f>
        <v>406.16942026357185</v>
      </c>
      <c r="N19" s="91">
        <f>TOC_calc!O21</f>
        <v>1037</v>
      </c>
      <c r="O19" s="17">
        <f>GR_calc!J21</f>
        <v>146.57259410625221</v>
      </c>
      <c r="P19" s="17">
        <f>GR_calc!K21</f>
        <v>146.57259410625221</v>
      </c>
      <c r="Q19" s="17">
        <f>GR_calc!L21</f>
        <v>0</v>
      </c>
      <c r="R19" s="37">
        <f t="shared" si="0"/>
        <v>206.17308975756998</v>
      </c>
      <c r="S19" s="37">
        <f>Externality_calc!Q21</f>
        <v>119.02540243580772</v>
      </c>
      <c r="T19" s="37">
        <f>Externality_calc!R21</f>
        <v>0</v>
      </c>
      <c r="U19" s="37">
        <f>Externality_calc!S21</f>
        <v>26.551876338821529</v>
      </c>
      <c r="V19" s="37">
        <f>Externality_calc!T21</f>
        <v>8.8008869817490538</v>
      </c>
      <c r="W19" s="37">
        <f>Externality_calc!U21</f>
        <v>13.889682897250415</v>
      </c>
      <c r="X19" s="37">
        <f>Externality_calc!V21</f>
        <v>15.249027420064268</v>
      </c>
      <c r="Y19" s="37">
        <f>Externality_calc!W21</f>
        <v>22.65621368387702</v>
      </c>
    </row>
    <row r="20" spans="1:25">
      <c r="A20" s="56">
        <f>Input!B22</f>
        <v>4</v>
      </c>
      <c r="B20" s="56">
        <f>Input!C22</f>
        <v>19</v>
      </c>
      <c r="C20" s="56">
        <f>Input!D22</f>
        <v>2</v>
      </c>
      <c r="D20" s="56">
        <f>Input!E22</f>
        <v>1</v>
      </c>
      <c r="E20" s="56">
        <f>Input!F22</f>
        <v>24.280793668609409</v>
      </c>
      <c r="F20" s="56">
        <f>Input!G22</f>
        <v>0</v>
      </c>
      <c r="G20" s="56" t="str">
        <f>Input!H22</f>
        <v>21</v>
      </c>
      <c r="H20" s="16">
        <f t="shared" si="1"/>
        <v>7089.9917512339471</v>
      </c>
      <c r="I20" s="91">
        <f>TOC_calc!J22</f>
        <v>11604.323994385004</v>
      </c>
      <c r="J20" s="91">
        <f>TOC_calc!K22</f>
        <v>7600</v>
      </c>
      <c r="K20" s="91">
        <f>TOC_calc!L22</f>
        <v>0</v>
      </c>
      <c r="L20" s="91">
        <f>TOC_calc!M22</f>
        <v>1868.5129426864851</v>
      </c>
      <c r="M20" s="91">
        <f>TOC_calc!N22</f>
        <v>1098.8110516985193</v>
      </c>
      <c r="N20" s="91">
        <f>TOC_calc!O22</f>
        <v>1037</v>
      </c>
      <c r="O20" s="17">
        <f>GR_calc!J22</f>
        <v>396.52317049264525</v>
      </c>
      <c r="P20" s="17">
        <f>GR_calc!K22</f>
        <v>396.52317049264525</v>
      </c>
      <c r="Q20" s="17">
        <f>GR_calc!L22</f>
        <v>0</v>
      </c>
      <c r="R20" s="37">
        <f t="shared" si="0"/>
        <v>557.76052623912142</v>
      </c>
      <c r="S20" s="37">
        <f>Externality_calc!Q22</f>
        <v>321.99969053420938</v>
      </c>
      <c r="T20" s="37">
        <f>Externality_calc!R22</f>
        <v>0</v>
      </c>
      <c r="U20" s="37">
        <f>Externality_calc!S22</f>
        <v>71.830851139647393</v>
      </c>
      <c r="V20" s="37">
        <f>Externality_calc!T22</f>
        <v>23.809059465924555</v>
      </c>
      <c r="W20" s="37">
        <f>Externality_calc!U22</f>
        <v>37.575790570798617</v>
      </c>
      <c r="X20" s="37">
        <f>Externality_calc!V22</f>
        <v>41.253228384222489</v>
      </c>
      <c r="Y20" s="37">
        <f>Externality_calc!W22</f>
        <v>61.291906144318965</v>
      </c>
    </row>
    <row r="21" spans="1:25">
      <c r="A21" s="56">
        <f>Input!B23</f>
        <v>4</v>
      </c>
      <c r="B21" s="56">
        <f>Input!C23</f>
        <v>20</v>
      </c>
      <c r="C21" s="56">
        <f>Input!D23</f>
        <v>2</v>
      </c>
      <c r="D21" s="56">
        <f>Input!E23</f>
        <v>1</v>
      </c>
      <c r="E21" s="56">
        <f>Input!F23</f>
        <v>33.304553125247054</v>
      </c>
      <c r="F21" s="56">
        <f>Input!G23</f>
        <v>0</v>
      </c>
      <c r="G21" s="56" t="str">
        <f>Input!H23</f>
        <v>21</v>
      </c>
      <c r="H21" s="16">
        <f t="shared" si="1"/>
        <v>9724.9295125721401</v>
      </c>
      <c r="I21" s="91">
        <f>TOC_calc!J23</f>
        <v>12707.105819422974</v>
      </c>
      <c r="J21" s="91">
        <f>TOC_calc!K23</f>
        <v>7600</v>
      </c>
      <c r="K21" s="91">
        <f>TOC_calc!L23</f>
        <v>0</v>
      </c>
      <c r="L21" s="91">
        <f>TOC_calc!M23</f>
        <v>2562.9305785570614</v>
      </c>
      <c r="M21" s="91">
        <f>TOC_calc!N23</f>
        <v>1507.1752408659131</v>
      </c>
      <c r="N21" s="91">
        <f>TOC_calc!O23</f>
        <v>1037</v>
      </c>
      <c r="O21" s="17">
        <f>GR_calc!J23</f>
        <v>543.88778131814774</v>
      </c>
      <c r="P21" s="17">
        <f>GR_calc!K23</f>
        <v>543.88778131814774</v>
      </c>
      <c r="Q21" s="17">
        <f>GR_calc!L23</f>
        <v>0</v>
      </c>
      <c r="R21" s="37">
        <f t="shared" si="0"/>
        <v>765.04768875458444</v>
      </c>
      <c r="S21" s="37">
        <f>Externality_calc!Q23</f>
        <v>441.66825623883608</v>
      </c>
      <c r="T21" s="37">
        <f>Externality_calc!R23</f>
        <v>0</v>
      </c>
      <c r="U21" s="37">
        <f>Externality_calc!S23</f>
        <v>98.526202663008306</v>
      </c>
      <c r="V21" s="37">
        <f>Externality_calc!T23</f>
        <v>32.657502743420984</v>
      </c>
      <c r="W21" s="37">
        <f>Externality_calc!U23</f>
        <v>51.540527478976422</v>
      </c>
      <c r="X21" s="37">
        <f>Externality_calc!V23</f>
        <v>56.584655141916279</v>
      </c>
      <c r="Y21" s="37">
        <f>Externality_calc!W23</f>
        <v>84.070544488426322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topLeftCell="D1" zoomScale="70" zoomScaleNormal="70" workbookViewId="0">
      <selection activeCell="Q5" sqref="Q5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6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6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7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32.423698406369354</v>
      </c>
      <c r="G4" s="56">
        <f>Input!G4</f>
        <v>0</v>
      </c>
      <c r="H4" s="14" t="str">
        <f>D4&amp;E4</f>
        <v>21</v>
      </c>
      <c r="I4" s="16">
        <f>F4*365*0.8</f>
        <v>9467.7199346598518</v>
      </c>
      <c r="J4" s="58">
        <f>K4+L4+M4+N4+O4</f>
        <v>12599.457717858972</v>
      </c>
      <c r="K4" s="59">
        <f>Q4</f>
        <v>7600</v>
      </c>
      <c r="L4" s="59">
        <f>R4*-1</f>
        <v>0</v>
      </c>
      <c r="M4" s="17">
        <f>I4/S4*U4</f>
        <v>2495.1449672087274</v>
      </c>
      <c r="N4" s="15">
        <f>I4*T4</f>
        <v>1467.3127506502447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36.4751451278144</v>
      </c>
      <c r="G5" s="56">
        <f>Input!G5</f>
        <v>0</v>
      </c>
      <c r="H5" s="14" t="str">
        <f>D5&amp;E5</f>
        <v>21</v>
      </c>
      <c r="I5" s="16">
        <f>F5*365*0.8</f>
        <v>10650.742377321805</v>
      </c>
      <c r="J5" s="58">
        <f>K5+L5+M5+N5+O5</f>
        <v>13094.579715623753</v>
      </c>
      <c r="K5" s="59">
        <f>Q5</f>
        <v>7600</v>
      </c>
      <c r="L5" s="59">
        <f>R5*-1</f>
        <v>0</v>
      </c>
      <c r="M5" s="17">
        <f>I5/S5*U5</f>
        <v>2806.9214576704721</v>
      </c>
      <c r="N5" s="15">
        <f>I5*T5</f>
        <v>1650.6582579532812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48.739213237171441</v>
      </c>
      <c r="G6" s="56">
        <f>Input!G6</f>
        <v>0</v>
      </c>
      <c r="H6" s="14" t="str">
        <f>D6&amp;E6</f>
        <v>21</v>
      </c>
      <c r="I6" s="16">
        <f>F6*365*0.8</f>
        <v>14231.850265254061</v>
      </c>
      <c r="J6" s="58">
        <f>K6+L6+M6+N6+O6</f>
        <v>14593.355417371697</v>
      </c>
      <c r="K6" s="59">
        <f>Q6</f>
        <v>7600</v>
      </c>
      <c r="L6" s="59">
        <f>R6*-1</f>
        <v>0</v>
      </c>
      <c r="M6" s="17">
        <f>I6/S6*U6</f>
        <v>3750.6949728644099</v>
      </c>
      <c r="N6" s="15">
        <f>I6*T6</f>
        <v>2205.6604445072867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35.421514362907701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10343.08219396905</v>
      </c>
      <c r="J7" s="58">
        <f>K7+L7+M7+N7+O7</f>
        <v>12965.816879754357</v>
      </c>
      <c r="K7" s="59">
        <f t="shared" ref="K7:K20" si="2">Q7</f>
        <v>7600</v>
      </c>
      <c r="L7" s="59">
        <f t="shared" ref="L7:L20" si="3">R7*-1</f>
        <v>0</v>
      </c>
      <c r="M7" s="17">
        <f t="shared" ref="M7:M20" si="4">I7/S7*U7</f>
        <v>2725.8399762366089</v>
      </c>
      <c r="N7" s="15">
        <f t="shared" ref="N7:N20" si="5">I7*T7</f>
        <v>1602.9769035177469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38.942508311456677</v>
      </c>
      <c r="G8" s="56">
        <f>Input!G8</f>
        <v>0</v>
      </c>
      <c r="H8" s="14" t="str">
        <f t="shared" si="0"/>
        <v>21</v>
      </c>
      <c r="I8" s="16">
        <f t="shared" si="1"/>
        <v>11371.212426945351</v>
      </c>
      <c r="J8" s="58">
        <f t="shared" ref="J8:J43" si="7">K8+L8+M8+N8+O8</f>
        <v>13396.112938862219</v>
      </c>
      <c r="K8" s="59">
        <f t="shared" si="2"/>
        <v>7600</v>
      </c>
      <c r="L8" s="59">
        <f t="shared" si="3"/>
        <v>0</v>
      </c>
      <c r="M8" s="17">
        <f t="shared" si="4"/>
        <v>2996.7958129269891</v>
      </c>
      <c r="N8" s="15">
        <f t="shared" si="5"/>
        <v>1762.3171259352293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2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9.0971134972324172</v>
      </c>
      <c r="G9" s="56">
        <f>Input!G9</f>
        <v>0</v>
      </c>
      <c r="H9" s="14" t="str">
        <f t="shared" si="0"/>
        <v>21</v>
      </c>
      <c r="I9" s="16">
        <f t="shared" si="1"/>
        <v>2656.357141191866</v>
      </c>
      <c r="J9" s="58">
        <f t="shared" si="7"/>
        <v>9748.7463262693855</v>
      </c>
      <c r="K9" s="59">
        <f t="shared" si="2"/>
        <v>7600</v>
      </c>
      <c r="L9" s="59">
        <f t="shared" si="3"/>
        <v>0</v>
      </c>
      <c r="M9" s="17">
        <f t="shared" si="4"/>
        <v>700.06254913495945</v>
      </c>
      <c r="N9" s="15">
        <f t="shared" si="5"/>
        <v>411.68377713442476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38.559369851490601</v>
      </c>
      <c r="G10" s="56">
        <f>Input!G10</f>
        <v>0</v>
      </c>
      <c r="H10" s="14" t="str">
        <f t="shared" si="0"/>
        <v>21</v>
      </c>
      <c r="I10" s="16">
        <f t="shared" si="1"/>
        <v>11259.335996635256</v>
      </c>
      <c r="J10" s="58">
        <f t="shared" si="7"/>
        <v>13349.290089455164</v>
      </c>
      <c r="K10" s="59">
        <f t="shared" si="2"/>
        <v>7600</v>
      </c>
      <c r="L10" s="59">
        <f t="shared" si="3"/>
        <v>0</v>
      </c>
      <c r="M10" s="17">
        <f t="shared" si="4"/>
        <v>2967.3116378601294</v>
      </c>
      <c r="N10" s="15">
        <f t="shared" si="5"/>
        <v>1744.9784515950348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37.569393419331426</v>
      </c>
      <c r="G11" s="56">
        <f>Input!G11</f>
        <v>0</v>
      </c>
      <c r="H11" s="14" t="str">
        <f t="shared" si="0"/>
        <v>21</v>
      </c>
      <c r="I11" s="16">
        <f t="shared" si="1"/>
        <v>10970.262878444777</v>
      </c>
      <c r="J11" s="58">
        <f t="shared" si="7"/>
        <v>13228.306366224595</v>
      </c>
      <c r="K11" s="59">
        <f t="shared" si="2"/>
        <v>7600</v>
      </c>
      <c r="L11" s="59">
        <f t="shared" si="3"/>
        <v>0</v>
      </c>
      <c r="M11" s="17">
        <f t="shared" si="4"/>
        <v>2891.128634878829</v>
      </c>
      <c r="N11" s="15">
        <f t="shared" si="5"/>
        <v>1700.1777313457665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53.693945251890923</v>
      </c>
      <c r="G12" s="56">
        <f>Input!G12</f>
        <v>0</v>
      </c>
      <c r="H12" s="14" t="str">
        <f t="shared" si="0"/>
        <v>21</v>
      </c>
      <c r="I12" s="16">
        <f t="shared" si="1"/>
        <v>15678.632013552151</v>
      </c>
      <c r="J12" s="58">
        <f t="shared" si="7"/>
        <v>15198.86672782083</v>
      </c>
      <c r="K12" s="59">
        <f t="shared" si="2"/>
        <v>7600</v>
      </c>
      <c r="L12" s="59">
        <f t="shared" si="3"/>
        <v>0</v>
      </c>
      <c r="M12" s="17">
        <f t="shared" si="4"/>
        <v>4131.9832051768199</v>
      </c>
      <c r="N12" s="15">
        <f t="shared" si="5"/>
        <v>2429.8835226440092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39.445680656032366</v>
      </c>
      <c r="G13" s="56">
        <f>Input!G13</f>
        <v>0</v>
      </c>
      <c r="H13" s="14" t="str">
        <f t="shared" si="0"/>
        <v>21</v>
      </c>
      <c r="I13" s="16">
        <f t="shared" si="1"/>
        <v>11518.138751561451</v>
      </c>
      <c r="J13" s="58">
        <f t="shared" si="7"/>
        <v>13457.604972102494</v>
      </c>
      <c r="K13" s="59">
        <f t="shared" si="2"/>
        <v>7600</v>
      </c>
      <c r="L13" s="59">
        <f t="shared" si="3"/>
        <v>0</v>
      </c>
      <c r="M13" s="17">
        <f t="shared" si="4"/>
        <v>3035.517118790111</v>
      </c>
      <c r="N13" s="15">
        <f t="shared" si="5"/>
        <v>1785.0878533123828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3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47.330330672359494</v>
      </c>
      <c r="G14" s="56">
        <f>Input!G14</f>
        <v>0</v>
      </c>
      <c r="H14" s="14" t="str">
        <f t="shared" si="0"/>
        <v>21</v>
      </c>
      <c r="I14" s="16">
        <f t="shared" si="1"/>
        <v>13820.456556328973</v>
      </c>
      <c r="J14" s="58">
        <f t="shared" si="7"/>
        <v>14421.177724298923</v>
      </c>
      <c r="K14" s="59">
        <f t="shared" si="2"/>
        <v>7600</v>
      </c>
      <c r="L14" s="59">
        <f t="shared" si="3"/>
        <v>0</v>
      </c>
      <c r="M14" s="17">
        <f t="shared" si="4"/>
        <v>3642.2753164476667</v>
      </c>
      <c r="N14" s="15">
        <f t="shared" si="5"/>
        <v>2141.9024078512562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3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12.436844155386048</v>
      </c>
      <c r="G15" s="56">
        <f>Input!G15</f>
        <v>0</v>
      </c>
      <c r="H15" s="14" t="str">
        <f t="shared" si="0"/>
        <v>21</v>
      </c>
      <c r="I15" s="16">
        <f t="shared" si="1"/>
        <v>3631.5584933727259</v>
      </c>
      <c r="J15" s="58">
        <f t="shared" si="7"/>
        <v>10156.89043605334</v>
      </c>
      <c r="K15" s="59">
        <f t="shared" si="2"/>
        <v>7600</v>
      </c>
      <c r="L15" s="59">
        <f t="shared" si="3"/>
        <v>0</v>
      </c>
      <c r="M15" s="17">
        <f t="shared" si="4"/>
        <v>957.06938527946761</v>
      </c>
      <c r="N15" s="15">
        <f t="shared" si="5"/>
        <v>562.821050773872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8.3544796151779259</v>
      </c>
      <c r="G16" s="56">
        <f>Input!G16</f>
        <v>0</v>
      </c>
      <c r="H16" s="14" t="str">
        <f t="shared" si="0"/>
        <v>21</v>
      </c>
      <c r="I16" s="16">
        <f t="shared" si="1"/>
        <v>2439.5080476319545</v>
      </c>
      <c r="J16" s="58">
        <f t="shared" si="7"/>
        <v>9657.9900121496976</v>
      </c>
      <c r="K16" s="59">
        <f t="shared" si="2"/>
        <v>7600</v>
      </c>
      <c r="L16" s="59">
        <f t="shared" si="3"/>
        <v>0</v>
      </c>
      <c r="M16" s="17">
        <f t="shared" si="4"/>
        <v>642.91363385504974</v>
      </c>
      <c r="N16" s="15">
        <f t="shared" si="5"/>
        <v>378.07637829464937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35.014732865063976</v>
      </c>
      <c r="G17" s="56">
        <f>Input!G17</f>
        <v>0</v>
      </c>
      <c r="H17" s="14" t="str">
        <f t="shared" si="0"/>
        <v>21</v>
      </c>
      <c r="I17" s="16">
        <f t="shared" si="1"/>
        <v>10224.301996598682</v>
      </c>
      <c r="J17" s="58">
        <f t="shared" si="7"/>
        <v>12916.10464565288</v>
      </c>
      <c r="K17" s="59">
        <f t="shared" si="2"/>
        <v>7600</v>
      </c>
      <c r="L17" s="59">
        <f t="shared" si="3"/>
        <v>0</v>
      </c>
      <c r="M17" s="17">
        <f t="shared" si="4"/>
        <v>2694.5363663159401</v>
      </c>
      <c r="N17" s="15">
        <f t="shared" si="5"/>
        <v>1584.5682793369392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33.377907165841826</v>
      </c>
      <c r="G18" s="56">
        <f>Input!G18</f>
        <v>0</v>
      </c>
      <c r="H18" s="14" t="str">
        <f t="shared" si="0"/>
        <v>21</v>
      </c>
      <c r="I18" s="16">
        <f t="shared" si="1"/>
        <v>9746.3488924258127</v>
      </c>
      <c r="J18" s="58">
        <f t="shared" si="7"/>
        <v>12716.070320654388</v>
      </c>
      <c r="K18" s="59">
        <f t="shared" si="2"/>
        <v>7600</v>
      </c>
      <c r="L18" s="59">
        <f t="shared" si="3"/>
        <v>0</v>
      </c>
      <c r="M18" s="17">
        <f t="shared" si="4"/>
        <v>2568.5754918214443</v>
      </c>
      <c r="N18" s="15">
        <f t="shared" si="5"/>
        <v>1510.494828832944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43.294039744425774</v>
      </c>
      <c r="G19" s="56">
        <f>Input!G19</f>
        <v>0</v>
      </c>
      <c r="H19" s="14" t="str">
        <f t="shared" si="0"/>
        <v>21</v>
      </c>
      <c r="I19" s="16">
        <f t="shared" si="1"/>
        <v>12641.859605372327</v>
      </c>
      <c r="J19" s="58">
        <f t="shared" si="7"/>
        <v>13927.907896210056</v>
      </c>
      <c r="K19" s="59">
        <f t="shared" si="2"/>
        <v>7600</v>
      </c>
      <c r="L19" s="59">
        <f t="shared" si="3"/>
        <v>0</v>
      </c>
      <c r="M19" s="17">
        <f t="shared" si="4"/>
        <v>3331.665130379391</v>
      </c>
      <c r="N19" s="15">
        <f t="shared" si="5"/>
        <v>1959.2427658306644</v>
      </c>
      <c r="O19" s="15">
        <f t="shared" si="6"/>
        <v>1037</v>
      </c>
      <c r="Q19" s="8">
        <f>VLOOKUP(H19,'TOC Factors'!$F$6:$M$17,3,TRUE)</f>
        <v>7600</v>
      </c>
      <c r="R19" s="8">
        <f>IF(G19=1,Subsidy!$D$3,0)</f>
        <v>0</v>
      </c>
      <c r="S19" s="9">
        <f>VLOOKUP(H19,'TOC Factors'!$F$6:$M$17,4,TRUE)</f>
        <v>12</v>
      </c>
      <c r="T19" s="10">
        <f>VLOOKUP(H19,'TOC Factors'!$F$6:$M$17,5,TRUE)</f>
        <v>0.15498058252427183</v>
      </c>
      <c r="U19" s="10">
        <f>VLOOKUP(H19,'TOC Factors'!$F$6:$M$17,6,TRUE)</f>
        <v>3.162507954728643</v>
      </c>
      <c r="V19" s="11">
        <f>VLOOKUP(H19,'TOC Factors'!$F$6:$M$17,7,TRUE)</f>
        <v>904</v>
      </c>
      <c r="W19" s="11">
        <f>VLOOKUP(H19,'TOC Factors'!$F$6:$M$17,8,TRUE)</f>
        <v>133</v>
      </c>
    </row>
    <row r="20" spans="2:23">
      <c r="B20" s="56">
        <f>Input!B20</f>
        <v>1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43.91663974187064</v>
      </c>
      <c r="G20" s="56">
        <f>Input!G20</f>
        <v>0</v>
      </c>
      <c r="H20" s="14" t="str">
        <f t="shared" si="0"/>
        <v>21</v>
      </c>
      <c r="I20" s="16">
        <f t="shared" si="1"/>
        <v>12823.658804626228</v>
      </c>
      <c r="J20" s="58">
        <f t="shared" si="7"/>
        <v>14003.995026496517</v>
      </c>
      <c r="K20" s="59">
        <f t="shared" si="2"/>
        <v>7600</v>
      </c>
      <c r="L20" s="59">
        <f t="shared" si="3"/>
        <v>0</v>
      </c>
      <c r="M20" s="17">
        <f t="shared" si="4"/>
        <v>3379.576914863037</v>
      </c>
      <c r="N20" s="15">
        <f t="shared" si="5"/>
        <v>1987.4181116334801</v>
      </c>
      <c r="O20" s="15">
        <f t="shared" si="6"/>
        <v>1037</v>
      </c>
      <c r="Q20" s="8">
        <f>VLOOKUP(H20,'TOC Factors'!$F$6:$M$17,3,TRUE)</f>
        <v>7600</v>
      </c>
      <c r="R20" s="8">
        <f>IF(G20=1,Subsidy!$D$3,0)</f>
        <v>0</v>
      </c>
      <c r="S20" s="9">
        <f>VLOOKUP(H20,'TOC Factors'!$F$6:$M$17,4,TRUE)</f>
        <v>12</v>
      </c>
      <c r="T20" s="10">
        <f>VLOOKUP(H20,'TOC Factors'!$F$6:$M$17,5,TRUE)</f>
        <v>0.15498058252427183</v>
      </c>
      <c r="U20" s="10">
        <f>VLOOKUP(H20,'TOC Factors'!$F$6:$M$17,6,TRUE)</f>
        <v>3.162507954728643</v>
      </c>
      <c r="V20" s="11">
        <f>VLOOKUP(H20,'TOC Factors'!$F$6:$M$17,7,TRUE)</f>
        <v>904</v>
      </c>
      <c r="W20" s="11">
        <f>VLOOKUP(H20,'TOC Factors'!$F$6:$M$17,8,TRUE)</f>
        <v>133</v>
      </c>
    </row>
    <row r="21" spans="2:23">
      <c r="B21" s="56">
        <f>Input!B21</f>
        <v>1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8.9752609174014353</v>
      </c>
      <c r="G21" s="56">
        <f>Input!G21</f>
        <v>0</v>
      </c>
      <c r="H21" s="14" t="str">
        <f t="shared" ref="H21:H43" si="8">D21&amp;E21</f>
        <v>21</v>
      </c>
      <c r="I21" s="16">
        <f t="shared" ref="I21:I43" si="9">F21*365*0.8</f>
        <v>2620.7761878812194</v>
      </c>
      <c r="J21" s="58">
        <f t="shared" si="7"/>
        <v>9733.854882075053</v>
      </c>
      <c r="K21" s="59">
        <f t="shared" ref="K21:K43" si="10">Q21</f>
        <v>7600</v>
      </c>
      <c r="L21" s="59">
        <f t="shared" ref="L21:L43" si="11">R21*-1</f>
        <v>0</v>
      </c>
      <c r="M21" s="17">
        <f t="shared" ref="M21:M43" si="12">I21/S21*U21</f>
        <v>690.68546181148042</v>
      </c>
      <c r="N21" s="15">
        <f t="shared" ref="N21:N43" si="13">I21*T21</f>
        <v>406.16942026357185</v>
      </c>
      <c r="O21" s="15">
        <f t="shared" ref="O21:O43" si="14">V21+W21</f>
        <v>1037</v>
      </c>
      <c r="Q21" s="8">
        <f>VLOOKUP(H21,'TOC Factors'!$F$6:$M$17,3,TRUE)</f>
        <v>7600</v>
      </c>
      <c r="R21" s="8">
        <f>IF(G21=1,Subsidy!$D$3,0)</f>
        <v>0</v>
      </c>
      <c r="S21" s="9">
        <f>VLOOKUP(H21,'TOC Factors'!$F$6:$M$17,4,TRUE)</f>
        <v>12</v>
      </c>
      <c r="T21" s="10">
        <f>VLOOKUP(H21,'TOC Factors'!$F$6:$M$17,5,TRUE)</f>
        <v>0.15498058252427183</v>
      </c>
      <c r="U21" s="10">
        <f>VLOOKUP(H21,'TOC Factors'!$F$6:$M$17,6,TRUE)</f>
        <v>3.162507954728643</v>
      </c>
      <c r="V21" s="11">
        <f>VLOOKUP(H21,'TOC Factors'!$F$6:$M$17,7,TRUE)</f>
        <v>904</v>
      </c>
      <c r="W21" s="11">
        <f>VLOOKUP(H21,'TOC Factors'!$F$6:$M$17,8,TRUE)</f>
        <v>133</v>
      </c>
    </row>
    <row r="22" spans="2:23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24.280793668609409</v>
      </c>
      <c r="G22" s="56">
        <f>Input!G22</f>
        <v>0</v>
      </c>
      <c r="H22" s="14" t="str">
        <f t="shared" si="8"/>
        <v>21</v>
      </c>
      <c r="I22" s="16">
        <f t="shared" si="9"/>
        <v>7089.9917512339471</v>
      </c>
      <c r="J22" s="58">
        <f t="shared" si="7"/>
        <v>11604.323994385004</v>
      </c>
      <c r="K22" s="59">
        <f t="shared" si="10"/>
        <v>7600</v>
      </c>
      <c r="L22" s="59">
        <f t="shared" si="11"/>
        <v>0</v>
      </c>
      <c r="M22" s="17">
        <f t="shared" si="12"/>
        <v>1868.5129426864851</v>
      </c>
      <c r="N22" s="15">
        <f t="shared" si="13"/>
        <v>1098.8110516985193</v>
      </c>
      <c r="O22" s="15">
        <f t="shared" si="14"/>
        <v>1037</v>
      </c>
      <c r="Q22" s="8">
        <f>VLOOKUP(H22,'TOC Factors'!$F$6:$M$17,3,TRUE)</f>
        <v>7600</v>
      </c>
      <c r="R22" s="8">
        <f>IF(G22=1,Subsidy!$D$3,0)</f>
        <v>0</v>
      </c>
      <c r="S22" s="9">
        <f>VLOOKUP(H22,'TOC Factors'!$F$6:$M$17,4,TRUE)</f>
        <v>12</v>
      </c>
      <c r="T22" s="10">
        <f>VLOOKUP(H22,'TOC Factors'!$F$6:$M$17,5,TRUE)</f>
        <v>0.15498058252427183</v>
      </c>
      <c r="U22" s="10">
        <f>VLOOKUP(H22,'TOC Factors'!$F$6:$M$17,6,TRUE)</f>
        <v>3.162507954728643</v>
      </c>
      <c r="V22" s="11">
        <f>VLOOKUP(H22,'TOC Factors'!$F$6:$M$17,7,TRUE)</f>
        <v>904</v>
      </c>
      <c r="W22" s="11">
        <f>VLOOKUP(H22,'TOC Factors'!$F$6:$M$17,8,TRUE)</f>
        <v>133</v>
      </c>
    </row>
    <row r="23" spans="2:23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33.304553125247054</v>
      </c>
      <c r="G23" s="56">
        <f>Input!G23</f>
        <v>0</v>
      </c>
      <c r="H23" s="14" t="str">
        <f t="shared" si="8"/>
        <v>21</v>
      </c>
      <c r="I23" s="16">
        <f t="shared" si="9"/>
        <v>9724.9295125721401</v>
      </c>
      <c r="J23" s="58">
        <f t="shared" si="7"/>
        <v>12707.105819422974</v>
      </c>
      <c r="K23" s="59">
        <f t="shared" si="10"/>
        <v>7600</v>
      </c>
      <c r="L23" s="59">
        <f t="shared" si="11"/>
        <v>0</v>
      </c>
      <c r="M23" s="17">
        <f t="shared" si="12"/>
        <v>2562.9305785570614</v>
      </c>
      <c r="N23" s="15">
        <f t="shared" si="13"/>
        <v>1507.1752408659131</v>
      </c>
      <c r="O23" s="15">
        <f t="shared" si="14"/>
        <v>1037</v>
      </c>
      <c r="Q23" s="8">
        <f>VLOOKUP(H23,'TOC Factors'!$F$6:$M$17,3,TRUE)</f>
        <v>7600</v>
      </c>
      <c r="R23" s="8">
        <f>IF(G23=1,Subsidy!$D$3,0)</f>
        <v>0</v>
      </c>
      <c r="S23" s="9">
        <f>VLOOKUP(H23,'TOC Factors'!$F$6:$M$17,4,TRUE)</f>
        <v>12</v>
      </c>
      <c r="T23" s="10">
        <f>VLOOKUP(H23,'TOC Factors'!$F$6:$M$17,5,TRUE)</f>
        <v>0.15498058252427183</v>
      </c>
      <c r="U23" s="10">
        <f>VLOOKUP(H23,'TOC Factors'!$F$6:$M$17,6,TRUE)</f>
        <v>3.162507954728643</v>
      </c>
      <c r="V23" s="11">
        <f>VLOOKUP(H23,'TOC Factors'!$F$6:$M$17,7,TRUE)</f>
        <v>904</v>
      </c>
      <c r="W23" s="11">
        <f>VLOOKUP(H23,'TOC Factors'!$F$6:$M$17,8,TRUE)</f>
        <v>133</v>
      </c>
    </row>
    <row r="24" spans="2:23">
      <c r="B24" s="56">
        <f>Input!B24</f>
        <v>4</v>
      </c>
      <c r="C24" s="56">
        <f>Input!C24</f>
        <v>21</v>
      </c>
      <c r="D24" s="56">
        <f>Input!D24</f>
        <v>2</v>
      </c>
      <c r="E24" s="56">
        <f>Input!E24</f>
        <v>1</v>
      </c>
      <c r="F24" s="56">
        <f>Input!F24</f>
        <v>54.651791401806108</v>
      </c>
      <c r="G24" s="56">
        <f>Input!G24</f>
        <v>0</v>
      </c>
      <c r="H24" s="14" t="str">
        <f t="shared" si="8"/>
        <v>21</v>
      </c>
      <c r="I24" s="16">
        <f t="shared" si="9"/>
        <v>15958.323089327385</v>
      </c>
      <c r="J24" s="58">
        <f t="shared" si="7"/>
        <v>15315.923851338464</v>
      </c>
      <c r="K24" s="59">
        <f t="shared" si="10"/>
        <v>7600</v>
      </c>
      <c r="L24" s="59">
        <f t="shared" si="11"/>
        <v>0</v>
      </c>
      <c r="M24" s="17">
        <f t="shared" si="12"/>
        <v>4205.6936428439685</v>
      </c>
      <c r="N24" s="15">
        <f t="shared" si="13"/>
        <v>2473.2302084944954</v>
      </c>
      <c r="O24" s="15">
        <f t="shared" si="14"/>
        <v>1037</v>
      </c>
      <c r="Q24" s="8">
        <f>VLOOKUP(H24,'TOC Factors'!$F$6:$M$17,3,TRUE)</f>
        <v>7600</v>
      </c>
      <c r="R24" s="8">
        <f>IF(G24=1,Subsidy!$D$3,0)</f>
        <v>0</v>
      </c>
      <c r="S24" s="9">
        <f>VLOOKUP(H24,'TOC Factors'!$F$6:$M$17,4,TRUE)</f>
        <v>12</v>
      </c>
      <c r="T24" s="10">
        <f>VLOOKUP(H24,'TOC Factors'!$F$6:$M$17,5,TRUE)</f>
        <v>0.15498058252427183</v>
      </c>
      <c r="U24" s="10">
        <f>VLOOKUP(H24,'TOC Factors'!$F$6:$M$17,6,TRUE)</f>
        <v>3.162507954728643</v>
      </c>
      <c r="V24" s="11">
        <f>VLOOKUP(H24,'TOC Factors'!$F$6:$M$17,7,TRUE)</f>
        <v>904</v>
      </c>
      <c r="W24" s="11">
        <f>VLOOKUP(H24,'TOC Factors'!$F$6:$M$17,8,TRUE)</f>
        <v>133</v>
      </c>
    </row>
    <row r="25" spans="2:23">
      <c r="B25" s="56">
        <f>Input!B25</f>
        <v>4</v>
      </c>
      <c r="C25" s="56">
        <f>Input!C25</f>
        <v>22</v>
      </c>
      <c r="D25" s="56">
        <f>Input!D25</f>
        <v>2</v>
      </c>
      <c r="E25" s="56">
        <f>Input!E25</f>
        <v>1</v>
      </c>
      <c r="F25" s="56">
        <f>Input!F25</f>
        <v>23.060449175078233</v>
      </c>
      <c r="G25" s="56">
        <f>Input!G25</f>
        <v>0</v>
      </c>
      <c r="H25" s="14" t="str">
        <f t="shared" si="8"/>
        <v>21</v>
      </c>
      <c r="I25" s="16">
        <f t="shared" si="9"/>
        <v>6733.6511591228445</v>
      </c>
      <c r="J25" s="58">
        <f t="shared" si="7"/>
        <v>11455.187292080574</v>
      </c>
      <c r="K25" s="59">
        <f t="shared" si="10"/>
        <v>7600</v>
      </c>
      <c r="L25" s="59">
        <f t="shared" si="11"/>
        <v>0</v>
      </c>
      <c r="M25" s="17">
        <f t="shared" si="12"/>
        <v>1774.6021129244787</v>
      </c>
      <c r="N25" s="15">
        <f t="shared" si="13"/>
        <v>1043.5851791560967</v>
      </c>
      <c r="O25" s="15">
        <f t="shared" si="14"/>
        <v>1037</v>
      </c>
      <c r="Q25" s="8">
        <f>VLOOKUP(H25,'TOC Factors'!$F$6:$M$17,3,TRUE)</f>
        <v>7600</v>
      </c>
      <c r="R25" s="8">
        <f>IF(G25=1,Subsidy!$D$3,0)</f>
        <v>0</v>
      </c>
      <c r="S25" s="9">
        <f>VLOOKUP(H25,'TOC Factors'!$F$6:$M$17,4,TRUE)</f>
        <v>12</v>
      </c>
      <c r="T25" s="10">
        <f>VLOOKUP(H25,'TOC Factors'!$F$6:$M$17,5,TRUE)</f>
        <v>0.15498058252427183</v>
      </c>
      <c r="U25" s="10">
        <f>VLOOKUP(H25,'TOC Factors'!$F$6:$M$17,6,TRUE)</f>
        <v>3.162507954728643</v>
      </c>
      <c r="V25" s="11">
        <f>VLOOKUP(H25,'TOC Factors'!$F$6:$M$17,7,TRUE)</f>
        <v>904</v>
      </c>
      <c r="W25" s="11">
        <f>VLOOKUP(H25,'TOC Factors'!$F$6:$M$17,8,TRUE)</f>
        <v>133</v>
      </c>
    </row>
    <row r="26" spans="2:23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1</v>
      </c>
      <c r="F26" s="56">
        <f>Input!F26</f>
        <v>28.920285178293515</v>
      </c>
      <c r="G26" s="56">
        <f>Input!G26</f>
        <v>0</v>
      </c>
      <c r="H26" s="14" t="str">
        <f t="shared" si="8"/>
        <v>21</v>
      </c>
      <c r="I26" s="16">
        <f t="shared" si="9"/>
        <v>8444.7232720617067</v>
      </c>
      <c r="J26" s="58">
        <f t="shared" si="7"/>
        <v>12171.310175575169</v>
      </c>
      <c r="K26" s="59">
        <f t="shared" si="10"/>
        <v>7600</v>
      </c>
      <c r="L26" s="59">
        <f t="shared" si="11"/>
        <v>0</v>
      </c>
      <c r="M26" s="17">
        <f t="shared" si="12"/>
        <v>2225.5420436147701</v>
      </c>
      <c r="N26" s="15">
        <f t="shared" si="13"/>
        <v>1308.768131960398</v>
      </c>
      <c r="O26" s="15">
        <f t="shared" si="14"/>
        <v>1037</v>
      </c>
      <c r="Q26" s="8">
        <f>VLOOKUP(H26,'TOC Factors'!$F$6:$M$17,3,TRUE)</f>
        <v>7600</v>
      </c>
      <c r="R26" s="8">
        <f>IF(G26=1,Subsidy!$D$3,0)</f>
        <v>0</v>
      </c>
      <c r="S26" s="9">
        <f>VLOOKUP(H26,'TOC Factors'!$F$6:$M$17,4,TRUE)</f>
        <v>12</v>
      </c>
      <c r="T26" s="10">
        <f>VLOOKUP(H26,'TOC Factors'!$F$6:$M$17,5,TRUE)</f>
        <v>0.15498058252427183</v>
      </c>
      <c r="U26" s="10">
        <f>VLOOKUP(H26,'TOC Factors'!$F$6:$M$17,6,TRUE)</f>
        <v>3.162507954728643</v>
      </c>
      <c r="V26" s="11">
        <f>VLOOKUP(H26,'TOC Factors'!$F$6:$M$17,7,TRUE)</f>
        <v>904</v>
      </c>
      <c r="W26" s="11">
        <f>VLOOKUP(H26,'TOC Factors'!$F$6:$M$17,8,TRUE)</f>
        <v>133</v>
      </c>
    </row>
    <row r="27" spans="2:23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1</v>
      </c>
      <c r="F27" s="56">
        <f>Input!F27</f>
        <v>3.1251246220333941</v>
      </c>
      <c r="G27" s="56">
        <f>Input!G27</f>
        <v>0</v>
      </c>
      <c r="H27" s="14" t="str">
        <f t="shared" si="8"/>
        <v>21</v>
      </c>
      <c r="I27" s="16">
        <f t="shared" si="9"/>
        <v>912.53638963375113</v>
      </c>
      <c r="J27" s="58">
        <f t="shared" si="7"/>
        <v>9018.9173871730418</v>
      </c>
      <c r="K27" s="59">
        <f t="shared" si="10"/>
        <v>7600</v>
      </c>
      <c r="L27" s="59">
        <f t="shared" si="11"/>
        <v>0</v>
      </c>
      <c r="M27" s="17">
        <f t="shared" si="12"/>
        <v>240.49196593300783</v>
      </c>
      <c r="N27" s="15">
        <f t="shared" si="13"/>
        <v>141.42542124003464</v>
      </c>
      <c r="O27" s="15">
        <f t="shared" si="14"/>
        <v>1037</v>
      </c>
      <c r="Q27" s="8">
        <f>VLOOKUP(H27,'TOC Factors'!$F$6:$M$17,3,TRUE)</f>
        <v>7600</v>
      </c>
      <c r="R27" s="8">
        <f>IF(G27=1,Subsidy!$D$3,0)</f>
        <v>0</v>
      </c>
      <c r="S27" s="9">
        <f>VLOOKUP(H27,'TOC Factors'!$F$6:$M$17,4,TRUE)</f>
        <v>12</v>
      </c>
      <c r="T27" s="10">
        <f>VLOOKUP(H27,'TOC Factors'!$F$6:$M$17,5,TRUE)</f>
        <v>0.15498058252427183</v>
      </c>
      <c r="U27" s="10">
        <f>VLOOKUP(H27,'TOC Factors'!$F$6:$M$17,6,TRUE)</f>
        <v>3.162507954728643</v>
      </c>
      <c r="V27" s="11">
        <f>VLOOKUP(H27,'TOC Factors'!$F$6:$M$17,7,TRUE)</f>
        <v>904</v>
      </c>
      <c r="W27" s="11">
        <f>VLOOKUP(H27,'TOC Factors'!$F$6:$M$17,8,TRUE)</f>
        <v>133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59" t="e">
        <f t="shared" si="10"/>
        <v>#N/A</v>
      </c>
      <c r="L28" s="59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59" t="e">
        <f t="shared" si="10"/>
        <v>#N/A</v>
      </c>
      <c r="L29" s="59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59" t="e">
        <f t="shared" si="10"/>
        <v>#N/A</v>
      </c>
      <c r="L30" s="59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59" t="e">
        <f t="shared" si="10"/>
        <v>#N/A</v>
      </c>
      <c r="L31" s="59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59" t="e">
        <f t="shared" si="10"/>
        <v>#N/A</v>
      </c>
      <c r="L32" s="59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59" t="e">
        <f t="shared" si="10"/>
        <v>#N/A</v>
      </c>
      <c r="L33" s="59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59" t="e">
        <f t="shared" si="10"/>
        <v>#N/A</v>
      </c>
      <c r="L34" s="59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59" t="e">
        <f t="shared" si="10"/>
        <v>#N/A</v>
      </c>
      <c r="L35" s="59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59" t="e">
        <f t="shared" si="10"/>
        <v>#N/A</v>
      </c>
      <c r="L36" s="59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59" t="e">
        <f t="shared" si="10"/>
        <v>#N/A</v>
      </c>
      <c r="L37" s="59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59" t="e">
        <f t="shared" si="10"/>
        <v>#N/A</v>
      </c>
      <c r="L38" s="59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59" t="e">
        <f t="shared" si="10"/>
        <v>#N/A</v>
      </c>
      <c r="L39" s="59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59" t="e">
        <f t="shared" si="10"/>
        <v>#N/A</v>
      </c>
      <c r="L40" s="59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59" t="e">
        <f t="shared" si="10"/>
        <v>#N/A</v>
      </c>
      <c r="L41" s="59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59" t="e">
        <f t="shared" si="10"/>
        <v>#N/A</v>
      </c>
      <c r="L42" s="59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59" t="e">
        <f t="shared" si="10"/>
        <v>#N/A</v>
      </c>
      <c r="L43" s="59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59" t="e">
        <f t="shared" ref="K44:K107" si="18">Q44</f>
        <v>#N/A</v>
      </c>
      <c r="L44" s="59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59" t="e">
        <f t="shared" si="18"/>
        <v>#N/A</v>
      </c>
      <c r="L45" s="59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59" t="e">
        <f t="shared" si="18"/>
        <v>#N/A</v>
      </c>
      <c r="L46" s="59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59" t="e">
        <f t="shared" si="18"/>
        <v>#N/A</v>
      </c>
      <c r="L47" s="59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59" t="e">
        <f t="shared" si="18"/>
        <v>#N/A</v>
      </c>
      <c r="L48" s="59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59" t="e">
        <f t="shared" si="18"/>
        <v>#N/A</v>
      </c>
      <c r="L49" s="59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59" t="e">
        <f t="shared" si="18"/>
        <v>#N/A</v>
      </c>
      <c r="L50" s="59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59" t="e">
        <f t="shared" si="18"/>
        <v>#N/A</v>
      </c>
      <c r="L51" s="59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59" t="e">
        <f t="shared" si="18"/>
        <v>#N/A</v>
      </c>
      <c r="L52" s="59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59" t="e">
        <f t="shared" si="18"/>
        <v>#N/A</v>
      </c>
      <c r="L53" s="59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59" t="e">
        <f t="shared" si="18"/>
        <v>#N/A</v>
      </c>
      <c r="L54" s="59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59" t="e">
        <f t="shared" si="18"/>
        <v>#N/A</v>
      </c>
      <c r="L55" s="59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59" t="e">
        <f t="shared" si="18"/>
        <v>#N/A</v>
      </c>
      <c r="L56" s="59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59" t="e">
        <f t="shared" si="18"/>
        <v>#N/A</v>
      </c>
      <c r="L57" s="59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59" t="e">
        <f t="shared" si="18"/>
        <v>#N/A</v>
      </c>
      <c r="L58" s="59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59" t="e">
        <f t="shared" si="18"/>
        <v>#N/A</v>
      </c>
      <c r="L59" s="59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59" t="e">
        <f t="shared" si="18"/>
        <v>#N/A</v>
      </c>
      <c r="L60" s="59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59" t="e">
        <f t="shared" si="18"/>
        <v>#N/A</v>
      </c>
      <c r="L61" s="59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59" t="e">
        <f t="shared" si="18"/>
        <v>#N/A</v>
      </c>
      <c r="L62" s="59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59" t="e">
        <f t="shared" si="18"/>
        <v>#N/A</v>
      </c>
      <c r="L63" s="59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59" t="e">
        <f t="shared" si="18"/>
        <v>#N/A</v>
      </c>
      <c r="L64" s="59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59" t="e">
        <f t="shared" si="18"/>
        <v>#N/A</v>
      </c>
      <c r="L65" s="59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59" t="e">
        <f t="shared" si="18"/>
        <v>#N/A</v>
      </c>
      <c r="L66" s="59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59" t="e">
        <f t="shared" si="18"/>
        <v>#N/A</v>
      </c>
      <c r="L67" s="59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59" t="e">
        <f t="shared" si="18"/>
        <v>#N/A</v>
      </c>
      <c r="L68" s="59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59" t="e">
        <f t="shared" si="18"/>
        <v>#N/A</v>
      </c>
      <c r="L69" s="59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59" t="e">
        <f t="shared" si="18"/>
        <v>#N/A</v>
      </c>
      <c r="L70" s="59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59" t="e">
        <f t="shared" si="18"/>
        <v>#N/A</v>
      </c>
      <c r="L71" s="59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59" t="e">
        <f t="shared" si="18"/>
        <v>#N/A</v>
      </c>
      <c r="L72" s="59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59" t="e">
        <f t="shared" si="18"/>
        <v>#N/A</v>
      </c>
      <c r="L73" s="59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59" t="e">
        <f t="shared" si="18"/>
        <v>#N/A</v>
      </c>
      <c r="L74" s="59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59" t="e">
        <f t="shared" si="18"/>
        <v>#N/A</v>
      </c>
      <c r="L75" s="59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59" t="e">
        <f t="shared" si="18"/>
        <v>#N/A</v>
      </c>
      <c r="L76" s="59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59" t="e">
        <f t="shared" si="18"/>
        <v>#N/A</v>
      </c>
      <c r="L77" s="59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59" t="e">
        <f t="shared" si="18"/>
        <v>#N/A</v>
      </c>
      <c r="L78" s="59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59" t="e">
        <f t="shared" si="18"/>
        <v>#N/A</v>
      </c>
      <c r="L79" s="59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59" t="e">
        <f t="shared" si="18"/>
        <v>#N/A</v>
      </c>
      <c r="L80" s="59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59" t="e">
        <f t="shared" si="18"/>
        <v>#N/A</v>
      </c>
      <c r="L81" s="59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59" t="e">
        <f t="shared" si="18"/>
        <v>#N/A</v>
      </c>
      <c r="L82" s="59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59" t="e">
        <f t="shared" si="18"/>
        <v>#N/A</v>
      </c>
      <c r="L83" s="59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59" t="e">
        <f t="shared" si="18"/>
        <v>#N/A</v>
      </c>
      <c r="L84" s="59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59" t="e">
        <f t="shared" si="18"/>
        <v>#N/A</v>
      </c>
      <c r="L85" s="59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59" t="e">
        <f t="shared" si="18"/>
        <v>#N/A</v>
      </c>
      <c r="L86" s="59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59" t="e">
        <f t="shared" si="18"/>
        <v>#N/A</v>
      </c>
      <c r="L87" s="59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59" t="e">
        <f t="shared" si="18"/>
        <v>#N/A</v>
      </c>
      <c r="L88" s="59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59" t="e">
        <f t="shared" si="18"/>
        <v>#N/A</v>
      </c>
      <c r="L89" s="59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59" t="e">
        <f t="shared" si="18"/>
        <v>#N/A</v>
      </c>
      <c r="L90" s="59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59" t="e">
        <f t="shared" si="18"/>
        <v>#N/A</v>
      </c>
      <c r="L91" s="59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59" t="e">
        <f t="shared" si="18"/>
        <v>#N/A</v>
      </c>
      <c r="L92" s="59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59" t="e">
        <f t="shared" si="18"/>
        <v>#N/A</v>
      </c>
      <c r="L93" s="59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59" t="e">
        <f t="shared" si="18"/>
        <v>#N/A</v>
      </c>
      <c r="L94" s="59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59" t="e">
        <f t="shared" si="18"/>
        <v>#N/A</v>
      </c>
      <c r="L95" s="59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59" t="e">
        <f t="shared" si="18"/>
        <v>#N/A</v>
      </c>
      <c r="L96" s="59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59" t="e">
        <f t="shared" si="18"/>
        <v>#N/A</v>
      </c>
      <c r="L97" s="59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59" t="e">
        <f t="shared" si="18"/>
        <v>#N/A</v>
      </c>
      <c r="L98" s="59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59" t="e">
        <f t="shared" si="18"/>
        <v>#N/A</v>
      </c>
      <c r="L99" s="59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59" t="e">
        <f t="shared" si="18"/>
        <v>#N/A</v>
      </c>
      <c r="L100" s="59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59" t="e">
        <f t="shared" si="18"/>
        <v>#N/A</v>
      </c>
      <c r="L101" s="59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59" t="e">
        <f t="shared" si="18"/>
        <v>#N/A</v>
      </c>
      <c r="L102" s="59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59" t="e">
        <f t="shared" si="18"/>
        <v>#N/A</v>
      </c>
      <c r="L103" s="59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59" t="e">
        <f t="shared" si="18"/>
        <v>#N/A</v>
      </c>
      <c r="L104" s="59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59" t="e">
        <f t="shared" si="18"/>
        <v>#N/A</v>
      </c>
      <c r="L105" s="59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59" t="e">
        <f t="shared" si="18"/>
        <v>#N/A</v>
      </c>
      <c r="L106" s="59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59" t="e">
        <f t="shared" si="18"/>
        <v>#N/A</v>
      </c>
      <c r="L107" s="59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59" t="e">
        <f t="shared" ref="K108:K124" si="26">Q108</f>
        <v>#N/A</v>
      </c>
      <c r="L108" s="59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59" t="e">
        <f t="shared" si="26"/>
        <v>#N/A</v>
      </c>
      <c r="L109" s="59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59" t="e">
        <f t="shared" si="26"/>
        <v>#N/A</v>
      </c>
      <c r="L110" s="59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59" t="e">
        <f t="shared" si="26"/>
        <v>#N/A</v>
      </c>
      <c r="L111" s="59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59" t="e">
        <f t="shared" si="26"/>
        <v>#N/A</v>
      </c>
      <c r="L112" s="59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59" t="e">
        <f t="shared" si="26"/>
        <v>#N/A</v>
      </c>
      <c r="L113" s="59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59" t="e">
        <f t="shared" si="26"/>
        <v>#N/A</v>
      </c>
      <c r="L114" s="59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59" t="e">
        <f t="shared" si="26"/>
        <v>#N/A</v>
      </c>
      <c r="L115" s="59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59" t="e">
        <f t="shared" si="26"/>
        <v>#N/A</v>
      </c>
      <c r="L116" s="59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59" t="e">
        <f t="shared" si="26"/>
        <v>#N/A</v>
      </c>
      <c r="L117" s="59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59" t="e">
        <f t="shared" si="26"/>
        <v>#N/A</v>
      </c>
      <c r="L118" s="59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59" t="e">
        <f t="shared" si="26"/>
        <v>#N/A</v>
      </c>
      <c r="L119" s="59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59" t="e">
        <f t="shared" si="26"/>
        <v>#N/A</v>
      </c>
      <c r="L120" s="59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59" t="e">
        <f t="shared" si="26"/>
        <v>#N/A</v>
      </c>
      <c r="L121" s="59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59" t="e">
        <f t="shared" si="26"/>
        <v>#N/A</v>
      </c>
      <c r="L122" s="59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59" t="e">
        <f t="shared" si="26"/>
        <v>#N/A</v>
      </c>
      <c r="L123" s="59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59" t="e">
        <f t="shared" si="26"/>
        <v>#N/A</v>
      </c>
      <c r="L124" s="59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J3" sqref="J3:L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1" customWidth="1"/>
    <col min="16" max="16" width="11.4140625" style="68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3" t="s">
        <v>104</v>
      </c>
      <c r="K3" s="73" t="s">
        <v>101</v>
      </c>
      <c r="L3" s="73" t="s">
        <v>103</v>
      </c>
      <c r="M3" s="6"/>
      <c r="N3" s="7" t="s">
        <v>11</v>
      </c>
      <c r="O3" s="7" t="s">
        <v>100</v>
      </c>
      <c r="P3" s="69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32.423698406369354</v>
      </c>
      <c r="G4" s="56">
        <f>Input!G4</f>
        <v>0</v>
      </c>
      <c r="H4" s="14" t="str">
        <f>D4&amp;E4</f>
        <v>21</v>
      </c>
      <c r="I4" s="16">
        <f>F4*365*0.8</f>
        <v>9467.7199346598518</v>
      </c>
      <c r="J4" s="72">
        <f>K4-L4</f>
        <v>529.50277765476471</v>
      </c>
      <c r="K4" s="72">
        <f>I4/Q4*P4</f>
        <v>529.50277765476471</v>
      </c>
      <c r="L4" s="72">
        <f>O4</f>
        <v>0</v>
      </c>
      <c r="N4" s="8">
        <f>VLOOKUP(H4,'TOC Factors'!$F$6:$M$17,3,TRUE)</f>
        <v>7600</v>
      </c>
      <c r="O4" s="8">
        <f>IF(G4=1,Subsidy!$D$3,0)</f>
        <v>0</v>
      </c>
      <c r="P4" s="70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36.4751451278144</v>
      </c>
      <c r="G5" s="56">
        <f>Input!G5</f>
        <v>0</v>
      </c>
      <c r="H5" s="14" t="str">
        <f>D5&amp;E5</f>
        <v>21</v>
      </c>
      <c r="I5" s="16">
        <f>F5*365*0.8</f>
        <v>10650.742377321805</v>
      </c>
      <c r="J5" s="72">
        <f t="shared" ref="J5:J68" si="0">K5-L5</f>
        <v>595.66587433913378</v>
      </c>
      <c r="K5" s="72">
        <f>I5/Q5*P5</f>
        <v>595.66587433913378</v>
      </c>
      <c r="L5" s="72">
        <f>O5*-1</f>
        <v>0</v>
      </c>
      <c r="N5" s="8">
        <f>VLOOKUP(H5,'TOC Factors'!$F$6:$M$17,3,TRUE)</f>
        <v>7600</v>
      </c>
      <c r="O5" s="8">
        <f>IF(G5=1,Subsidy!$D$3,0)</f>
        <v>0</v>
      </c>
      <c r="P5" s="70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48.739213237171441</v>
      </c>
      <c r="G6" s="56">
        <f>Input!G6</f>
        <v>0</v>
      </c>
      <c r="H6" s="14" t="str">
        <f>D6&amp;E6</f>
        <v>21</v>
      </c>
      <c r="I6" s="16">
        <f>F6*365*0.8</f>
        <v>14231.850265254061</v>
      </c>
      <c r="J6" s="72">
        <f t="shared" si="0"/>
        <v>795.9471022195446</v>
      </c>
      <c r="K6" s="72">
        <f>I6/Q6*P6</f>
        <v>795.9471022195446</v>
      </c>
      <c r="L6" s="72">
        <f>O6</f>
        <v>0</v>
      </c>
      <c r="N6" s="8">
        <f>VLOOKUP(H6,'TOC Factors'!$F$6:$M$17,3,TRUE)</f>
        <v>7600</v>
      </c>
      <c r="O6" s="8">
        <f>IF(G6=1,Subsidy!$D$3,0)</f>
        <v>0</v>
      </c>
      <c r="P6" s="70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35.421514362907701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10343.08219396905</v>
      </c>
      <c r="J7" s="72">
        <f t="shared" si="0"/>
        <v>578.4593111134219</v>
      </c>
      <c r="K7" s="72">
        <f t="shared" ref="K7:K70" si="3">I7/Q7*P7</f>
        <v>578.4593111134219</v>
      </c>
      <c r="L7" s="72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0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38.942508311456677</v>
      </c>
      <c r="G8" s="56">
        <f>Input!G8</f>
        <v>0</v>
      </c>
      <c r="H8" s="14" t="str">
        <f t="shared" si="1"/>
        <v>21</v>
      </c>
      <c r="I8" s="16">
        <f t="shared" si="2"/>
        <v>11371.212426945351</v>
      </c>
      <c r="J8" s="72">
        <f t="shared" si="0"/>
        <v>635.95972493099123</v>
      </c>
      <c r="K8" s="72">
        <f t="shared" si="3"/>
        <v>635.95972493099123</v>
      </c>
      <c r="L8" s="72">
        <f t="shared" si="4"/>
        <v>0</v>
      </c>
      <c r="N8" s="8">
        <f>VLOOKUP(H8,'TOC Factors'!$F$6:$M$17,3,TRUE)</f>
        <v>7600</v>
      </c>
      <c r="O8" s="8">
        <f>IF(G8=1,Subsidy!$D$3,0)</f>
        <v>0</v>
      </c>
      <c r="P8" s="70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2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9.0971134972324172</v>
      </c>
      <c r="G9" s="56">
        <f>Input!G9</f>
        <v>0</v>
      </c>
      <c r="H9" s="14" t="str">
        <f t="shared" si="1"/>
        <v>21</v>
      </c>
      <c r="I9" s="16">
        <f t="shared" si="2"/>
        <v>2656.357141191866</v>
      </c>
      <c r="J9" s="72">
        <f t="shared" si="0"/>
        <v>148.56253611336851</v>
      </c>
      <c r="K9" s="72">
        <f t="shared" si="3"/>
        <v>148.56253611336851</v>
      </c>
      <c r="L9" s="72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0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38.559369851490601</v>
      </c>
      <c r="G10" s="56">
        <f>Input!G10</f>
        <v>0</v>
      </c>
      <c r="H10" s="14" t="str">
        <f t="shared" si="1"/>
        <v>21</v>
      </c>
      <c r="I10" s="16">
        <f t="shared" si="2"/>
        <v>11259.335996635256</v>
      </c>
      <c r="J10" s="72">
        <f t="shared" si="0"/>
        <v>629.7027928489141</v>
      </c>
      <c r="K10" s="72">
        <f t="shared" si="3"/>
        <v>629.7027928489141</v>
      </c>
      <c r="L10" s="72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0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37.569393419331426</v>
      </c>
      <c r="G11" s="56">
        <f>Input!G11</f>
        <v>0</v>
      </c>
      <c r="H11" s="14" t="str">
        <f t="shared" si="1"/>
        <v>21</v>
      </c>
      <c r="I11" s="16">
        <f t="shared" si="2"/>
        <v>10970.262878444777</v>
      </c>
      <c r="J11" s="72">
        <f t="shared" si="0"/>
        <v>613.53575156721797</v>
      </c>
      <c r="K11" s="72">
        <f t="shared" si="3"/>
        <v>613.53575156721797</v>
      </c>
      <c r="L11" s="72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0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53.693945251890923</v>
      </c>
      <c r="G12" s="56">
        <f>Input!G12</f>
        <v>0</v>
      </c>
      <c r="H12" s="14" t="str">
        <f t="shared" si="1"/>
        <v>21</v>
      </c>
      <c r="I12" s="16">
        <f t="shared" si="2"/>
        <v>15678.632013552151</v>
      </c>
      <c r="J12" s="72">
        <f t="shared" si="0"/>
        <v>876.86151029994994</v>
      </c>
      <c r="K12" s="72">
        <f t="shared" si="3"/>
        <v>876.86151029994994</v>
      </c>
      <c r="L12" s="72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0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39.445680656032366</v>
      </c>
      <c r="G13" s="56">
        <f>Input!G13</f>
        <v>0</v>
      </c>
      <c r="H13" s="14" t="str">
        <f t="shared" si="1"/>
        <v>21</v>
      </c>
      <c r="I13" s="16">
        <f t="shared" si="2"/>
        <v>11518.138751561451</v>
      </c>
      <c r="J13" s="72">
        <f t="shared" si="0"/>
        <v>644.17689839321258</v>
      </c>
      <c r="K13" s="72">
        <f t="shared" si="3"/>
        <v>644.17689839321258</v>
      </c>
      <c r="L13" s="72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0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3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47.330330672359494</v>
      </c>
      <c r="G14" s="56">
        <f>Input!G14</f>
        <v>0</v>
      </c>
      <c r="H14" s="14" t="str">
        <f t="shared" si="1"/>
        <v>21</v>
      </c>
      <c r="I14" s="16">
        <f t="shared" si="2"/>
        <v>13820.456556328973</v>
      </c>
      <c r="J14" s="72">
        <f t="shared" si="0"/>
        <v>772.9390165253244</v>
      </c>
      <c r="K14" s="72">
        <f t="shared" si="3"/>
        <v>772.9390165253244</v>
      </c>
      <c r="L14" s="72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0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3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12.436844155386048</v>
      </c>
      <c r="G15" s="56">
        <f>Input!G15</f>
        <v>0</v>
      </c>
      <c r="H15" s="14" t="str">
        <f t="shared" si="1"/>
        <v>21</v>
      </c>
      <c r="I15" s="16">
        <f t="shared" si="2"/>
        <v>3631.5584933727259</v>
      </c>
      <c r="J15" s="72">
        <f t="shared" si="0"/>
        <v>203.10278744273987</v>
      </c>
      <c r="K15" s="72">
        <f t="shared" si="3"/>
        <v>203.10278744273987</v>
      </c>
      <c r="L15" s="72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0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8.3544796151779259</v>
      </c>
      <c r="G16" s="56">
        <f>Input!G16</f>
        <v>0</v>
      </c>
      <c r="H16" s="14" t="str">
        <f t="shared" si="1"/>
        <v>21</v>
      </c>
      <c r="I16" s="16">
        <f t="shared" si="2"/>
        <v>2439.5080476319545</v>
      </c>
      <c r="J16" s="72">
        <f t="shared" si="0"/>
        <v>136.43478009984881</v>
      </c>
      <c r="K16" s="72">
        <f t="shared" si="3"/>
        <v>136.43478009984881</v>
      </c>
      <c r="L16" s="72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0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35.014732865063976</v>
      </c>
      <c r="G17" s="56">
        <f>Input!G17</f>
        <v>0</v>
      </c>
      <c r="H17" s="14" t="str">
        <f t="shared" si="1"/>
        <v>21</v>
      </c>
      <c r="I17" s="16">
        <f t="shared" si="2"/>
        <v>10224.301996598682</v>
      </c>
      <c r="J17" s="72">
        <f t="shared" si="0"/>
        <v>571.81627088071036</v>
      </c>
      <c r="K17" s="72">
        <f t="shared" si="3"/>
        <v>571.81627088071036</v>
      </c>
      <c r="L17" s="72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0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33.377907165841826</v>
      </c>
      <c r="G18" s="56">
        <f>Input!G18</f>
        <v>0</v>
      </c>
      <c r="H18" s="14" t="str">
        <f t="shared" si="1"/>
        <v>21</v>
      </c>
      <c r="I18" s="16">
        <f t="shared" si="2"/>
        <v>9746.3488924258127</v>
      </c>
      <c r="J18" s="72">
        <f t="shared" si="0"/>
        <v>545.08570660601367</v>
      </c>
      <c r="K18" s="72">
        <f t="shared" si="3"/>
        <v>545.08570660601367</v>
      </c>
      <c r="L18" s="72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0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43.294039744425774</v>
      </c>
      <c r="G19" s="56">
        <f>Input!G19</f>
        <v>0</v>
      </c>
      <c r="H19" s="14" t="str">
        <f t="shared" si="1"/>
        <v>21</v>
      </c>
      <c r="I19" s="16">
        <f t="shared" si="2"/>
        <v>12641.859605372327</v>
      </c>
      <c r="J19" s="72">
        <f t="shared" si="0"/>
        <v>707.0234250657212</v>
      </c>
      <c r="K19" s="72">
        <f t="shared" si="3"/>
        <v>707.0234250657212</v>
      </c>
      <c r="L19" s="72">
        <f t="shared" si="4"/>
        <v>0</v>
      </c>
      <c r="N19" s="8">
        <f>VLOOKUP(H19,'TOC Factors'!$F$6:$M$17,3,TRUE)</f>
        <v>7600</v>
      </c>
      <c r="O19" s="8">
        <f>IF(G19=1,Subsidy!$D$3,0)</f>
        <v>0</v>
      </c>
      <c r="P19" s="70">
        <f>IF(E19=1,Tax!$F$2,IF(E19=2,Tax!$F$3,"-"))</f>
        <v>0.6711260341147236</v>
      </c>
      <c r="Q19" s="9">
        <f>VLOOKUP(H19,'TOC Factors'!$F$6:$M$17,4,TRUE)</f>
        <v>12</v>
      </c>
      <c r="R19" s="10">
        <f>VLOOKUP(H19,'TOC Factors'!$F$6:$M$17,5,TRUE)</f>
        <v>0.15498058252427183</v>
      </c>
      <c r="S19" s="10">
        <f>VLOOKUP(H19,'TOC Factors'!$F$6:$M$17,6,TRUE)</f>
        <v>3.162507954728643</v>
      </c>
      <c r="T19" s="11">
        <f>VLOOKUP(H19,'TOC Factors'!$F$6:$M$17,7,TRUE)</f>
        <v>904</v>
      </c>
      <c r="U19" s="11">
        <f>VLOOKUP(H19,'TOC Factors'!$F$6:$M$17,8,TRUE)</f>
        <v>133</v>
      </c>
    </row>
    <row r="20" spans="2:21">
      <c r="B20" s="56">
        <f>Input!B20</f>
        <v>1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43.91663974187064</v>
      </c>
      <c r="G20" s="56">
        <f>Input!G20</f>
        <v>0</v>
      </c>
      <c r="H20" s="14" t="str">
        <f t="shared" si="1"/>
        <v>21</v>
      </c>
      <c r="I20" s="16">
        <f t="shared" si="2"/>
        <v>12823.658804626228</v>
      </c>
      <c r="J20" s="72">
        <f t="shared" si="0"/>
        <v>717.19093969909636</v>
      </c>
      <c r="K20" s="72">
        <f t="shared" si="3"/>
        <v>717.19093969909636</v>
      </c>
      <c r="L20" s="72">
        <f t="shared" si="4"/>
        <v>0</v>
      </c>
      <c r="N20" s="8">
        <f>VLOOKUP(H20,'TOC Factors'!$F$6:$M$17,3,TRUE)</f>
        <v>7600</v>
      </c>
      <c r="O20" s="8">
        <f>IF(G20=1,Subsidy!$D$3,0)</f>
        <v>0</v>
      </c>
      <c r="P20" s="70">
        <f>IF(E20=1,Tax!$F$2,IF(E20=2,Tax!$F$3,"-"))</f>
        <v>0.6711260341147236</v>
      </c>
      <c r="Q20" s="9">
        <f>VLOOKUP(H20,'TOC Factors'!$F$6:$M$17,4,TRUE)</f>
        <v>12</v>
      </c>
      <c r="R20" s="10">
        <f>VLOOKUP(H20,'TOC Factors'!$F$6:$M$17,5,TRUE)</f>
        <v>0.15498058252427183</v>
      </c>
      <c r="S20" s="10">
        <f>VLOOKUP(H20,'TOC Factors'!$F$6:$M$17,6,TRUE)</f>
        <v>3.162507954728643</v>
      </c>
      <c r="T20" s="11">
        <f>VLOOKUP(H20,'TOC Factors'!$F$6:$M$17,7,TRUE)</f>
        <v>904</v>
      </c>
      <c r="U20" s="11">
        <f>VLOOKUP(H20,'TOC Factors'!$F$6:$M$17,8,TRUE)</f>
        <v>133</v>
      </c>
    </row>
    <row r="21" spans="2:21">
      <c r="B21" s="56">
        <f>Input!B21</f>
        <v>1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8.9752609174014353</v>
      </c>
      <c r="G21" s="56">
        <f>Input!G21</f>
        <v>0</v>
      </c>
      <c r="H21" s="14" t="str">
        <f t="shared" si="1"/>
        <v>21</v>
      </c>
      <c r="I21" s="16">
        <f t="shared" si="2"/>
        <v>2620.7761878812194</v>
      </c>
      <c r="J21" s="72">
        <f t="shared" si="0"/>
        <v>146.57259410625221</v>
      </c>
      <c r="K21" s="72">
        <f t="shared" si="3"/>
        <v>146.57259410625221</v>
      </c>
      <c r="L21" s="72">
        <f t="shared" si="4"/>
        <v>0</v>
      </c>
      <c r="N21" s="8">
        <f>VLOOKUP(H21,'TOC Factors'!$F$6:$M$17,3,TRUE)</f>
        <v>7600</v>
      </c>
      <c r="O21" s="8">
        <f>IF(G21=1,Subsidy!$D$3,0)</f>
        <v>0</v>
      </c>
      <c r="P21" s="70">
        <f>IF(E21=1,Tax!$F$2,IF(E21=2,Tax!$F$3,"-"))</f>
        <v>0.6711260341147236</v>
      </c>
      <c r="Q21" s="9">
        <f>VLOOKUP(H21,'TOC Factors'!$F$6:$M$17,4,TRUE)</f>
        <v>12</v>
      </c>
      <c r="R21" s="10">
        <f>VLOOKUP(H21,'TOC Factors'!$F$6:$M$17,5,TRUE)</f>
        <v>0.15498058252427183</v>
      </c>
      <c r="S21" s="10">
        <f>VLOOKUP(H21,'TOC Factors'!$F$6:$M$17,6,TRUE)</f>
        <v>3.162507954728643</v>
      </c>
      <c r="T21" s="11">
        <f>VLOOKUP(H21,'TOC Factors'!$F$6:$M$17,7,TRUE)</f>
        <v>904</v>
      </c>
      <c r="U21" s="11">
        <f>VLOOKUP(H21,'TOC Factors'!$F$6:$M$17,8,TRUE)</f>
        <v>133</v>
      </c>
    </row>
    <row r="22" spans="2:2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24.280793668609409</v>
      </c>
      <c r="G22" s="56">
        <f>Input!G22</f>
        <v>0</v>
      </c>
      <c r="H22" s="14" t="str">
        <f t="shared" si="1"/>
        <v>21</v>
      </c>
      <c r="I22" s="16">
        <f t="shared" si="2"/>
        <v>7089.9917512339471</v>
      </c>
      <c r="J22" s="72">
        <f t="shared" si="0"/>
        <v>396.52317049264525</v>
      </c>
      <c r="K22" s="72">
        <f t="shared" si="3"/>
        <v>396.52317049264525</v>
      </c>
      <c r="L22" s="72">
        <f t="shared" si="4"/>
        <v>0</v>
      </c>
      <c r="N22" s="8">
        <f>VLOOKUP(H22,'TOC Factors'!$F$6:$M$17,3,TRUE)</f>
        <v>7600</v>
      </c>
      <c r="O22" s="8">
        <f>IF(G22=1,Subsidy!$D$3,0)</f>
        <v>0</v>
      </c>
      <c r="P22" s="70">
        <f>IF(E22=1,Tax!$F$2,IF(E22=2,Tax!$F$3,"-"))</f>
        <v>0.6711260341147236</v>
      </c>
      <c r="Q22" s="9">
        <f>VLOOKUP(H22,'TOC Factors'!$F$6:$M$17,4,TRUE)</f>
        <v>12</v>
      </c>
      <c r="R22" s="10">
        <f>VLOOKUP(H22,'TOC Factors'!$F$6:$M$17,5,TRUE)</f>
        <v>0.15498058252427183</v>
      </c>
      <c r="S22" s="10">
        <f>VLOOKUP(H22,'TOC Factors'!$F$6:$M$17,6,TRUE)</f>
        <v>3.162507954728643</v>
      </c>
      <c r="T22" s="11">
        <f>VLOOKUP(H22,'TOC Factors'!$F$6:$M$17,7,TRUE)</f>
        <v>904</v>
      </c>
      <c r="U22" s="11">
        <f>VLOOKUP(H22,'TOC Factors'!$F$6:$M$17,8,TRUE)</f>
        <v>133</v>
      </c>
    </row>
    <row r="23" spans="2:2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33.304553125247054</v>
      </c>
      <c r="G23" s="56">
        <f>Input!G23</f>
        <v>0</v>
      </c>
      <c r="H23" s="14" t="str">
        <f t="shared" si="1"/>
        <v>21</v>
      </c>
      <c r="I23" s="16">
        <f t="shared" si="2"/>
        <v>9724.9295125721401</v>
      </c>
      <c r="J23" s="72">
        <f t="shared" si="0"/>
        <v>543.88778131814774</v>
      </c>
      <c r="K23" s="72">
        <f t="shared" si="3"/>
        <v>543.88778131814774</v>
      </c>
      <c r="L23" s="72">
        <f t="shared" si="4"/>
        <v>0</v>
      </c>
      <c r="N23" s="8">
        <f>VLOOKUP(H23,'TOC Factors'!$F$6:$M$17,3,TRUE)</f>
        <v>7600</v>
      </c>
      <c r="O23" s="8">
        <f>IF(G23=1,Subsidy!$D$3,0)</f>
        <v>0</v>
      </c>
      <c r="P23" s="70">
        <f>IF(E23=1,Tax!$F$2,IF(E23=2,Tax!$F$3,"-"))</f>
        <v>0.6711260341147236</v>
      </c>
      <c r="Q23" s="9">
        <f>VLOOKUP(H23,'TOC Factors'!$F$6:$M$17,4,TRUE)</f>
        <v>12</v>
      </c>
      <c r="R23" s="10">
        <f>VLOOKUP(H23,'TOC Factors'!$F$6:$M$17,5,TRUE)</f>
        <v>0.15498058252427183</v>
      </c>
      <c r="S23" s="10">
        <f>VLOOKUP(H23,'TOC Factors'!$F$6:$M$17,6,TRUE)</f>
        <v>3.162507954728643</v>
      </c>
      <c r="T23" s="11">
        <f>VLOOKUP(H23,'TOC Factors'!$F$6:$M$17,7,TRUE)</f>
        <v>904</v>
      </c>
      <c r="U23" s="11">
        <f>VLOOKUP(H23,'TOC Factors'!$F$6:$M$17,8,TRUE)</f>
        <v>133</v>
      </c>
    </row>
    <row r="24" spans="2:21">
      <c r="B24" s="56">
        <f>Input!B24</f>
        <v>4</v>
      </c>
      <c r="C24" s="56">
        <f>Input!C24</f>
        <v>21</v>
      </c>
      <c r="D24" s="56">
        <f>Input!D24</f>
        <v>2</v>
      </c>
      <c r="E24" s="56">
        <f>Input!E24</f>
        <v>1</v>
      </c>
      <c r="F24" s="56">
        <f>Input!F24</f>
        <v>54.651791401806108</v>
      </c>
      <c r="G24" s="56">
        <f>Input!G24</f>
        <v>0</v>
      </c>
      <c r="H24" s="14" t="str">
        <f t="shared" si="1"/>
        <v>21</v>
      </c>
      <c r="I24" s="16">
        <f t="shared" si="2"/>
        <v>15958.323089327385</v>
      </c>
      <c r="J24" s="72">
        <f t="shared" si="0"/>
        <v>892.50384050514265</v>
      </c>
      <c r="K24" s="72">
        <f t="shared" si="3"/>
        <v>892.50384050514265</v>
      </c>
      <c r="L24" s="72">
        <f t="shared" si="4"/>
        <v>0</v>
      </c>
      <c r="N24" s="8">
        <f>VLOOKUP(H24,'TOC Factors'!$F$6:$M$17,3,TRUE)</f>
        <v>7600</v>
      </c>
      <c r="O24" s="8">
        <f>IF(G24=1,Subsidy!$D$3,0)</f>
        <v>0</v>
      </c>
      <c r="P24" s="70">
        <f>IF(E24=1,Tax!$F$2,IF(E24=2,Tax!$F$3,"-"))</f>
        <v>0.6711260341147236</v>
      </c>
      <c r="Q24" s="9">
        <f>VLOOKUP(H24,'TOC Factors'!$F$6:$M$17,4,TRUE)</f>
        <v>12</v>
      </c>
      <c r="R24" s="10">
        <f>VLOOKUP(H24,'TOC Factors'!$F$6:$M$17,5,TRUE)</f>
        <v>0.15498058252427183</v>
      </c>
      <c r="S24" s="10">
        <f>VLOOKUP(H24,'TOC Factors'!$F$6:$M$17,6,TRUE)</f>
        <v>3.162507954728643</v>
      </c>
      <c r="T24" s="11">
        <f>VLOOKUP(H24,'TOC Factors'!$F$6:$M$17,7,TRUE)</f>
        <v>904</v>
      </c>
      <c r="U24" s="11">
        <f>VLOOKUP(H24,'TOC Factors'!$F$6:$M$17,8,TRUE)</f>
        <v>133</v>
      </c>
    </row>
    <row r="25" spans="2:21">
      <c r="B25" s="56">
        <f>Input!B25</f>
        <v>4</v>
      </c>
      <c r="C25" s="56">
        <f>Input!C25</f>
        <v>22</v>
      </c>
      <c r="D25" s="56">
        <f>Input!D25</f>
        <v>2</v>
      </c>
      <c r="E25" s="56">
        <f>Input!E25</f>
        <v>1</v>
      </c>
      <c r="F25" s="56">
        <f>Input!F25</f>
        <v>23.060449175078233</v>
      </c>
      <c r="G25" s="56">
        <f>Input!G25</f>
        <v>0</v>
      </c>
      <c r="H25" s="14" t="str">
        <f t="shared" si="1"/>
        <v>21</v>
      </c>
      <c r="I25" s="16">
        <f t="shared" si="2"/>
        <v>6733.6511591228445</v>
      </c>
      <c r="J25" s="72">
        <f t="shared" si="0"/>
        <v>376.59404979451051</v>
      </c>
      <c r="K25" s="72">
        <f t="shared" si="3"/>
        <v>376.59404979451051</v>
      </c>
      <c r="L25" s="72">
        <f t="shared" si="4"/>
        <v>0</v>
      </c>
      <c r="N25" s="8">
        <f>VLOOKUP(H25,'TOC Factors'!$F$6:$M$17,3,TRUE)</f>
        <v>7600</v>
      </c>
      <c r="O25" s="8">
        <f>IF(G25=1,Subsidy!$D$3,0)</f>
        <v>0</v>
      </c>
      <c r="P25" s="70">
        <f>IF(E25=1,Tax!$F$2,IF(E25=2,Tax!$F$3,"-"))</f>
        <v>0.6711260341147236</v>
      </c>
      <c r="Q25" s="9">
        <f>VLOOKUP(H25,'TOC Factors'!$F$6:$M$17,4,TRUE)</f>
        <v>12</v>
      </c>
      <c r="R25" s="10">
        <f>VLOOKUP(H25,'TOC Factors'!$F$6:$M$17,5,TRUE)</f>
        <v>0.15498058252427183</v>
      </c>
      <c r="S25" s="10">
        <f>VLOOKUP(H25,'TOC Factors'!$F$6:$M$17,6,TRUE)</f>
        <v>3.162507954728643</v>
      </c>
      <c r="T25" s="11">
        <f>VLOOKUP(H25,'TOC Factors'!$F$6:$M$17,7,TRUE)</f>
        <v>904</v>
      </c>
      <c r="U25" s="11">
        <f>VLOOKUP(H25,'TOC Factors'!$F$6:$M$17,8,TRUE)</f>
        <v>133</v>
      </c>
    </row>
    <row r="26" spans="2:2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1</v>
      </c>
      <c r="F26" s="56">
        <f>Input!F26</f>
        <v>28.920285178293515</v>
      </c>
      <c r="G26" s="56">
        <f>Input!G26</f>
        <v>0</v>
      </c>
      <c r="H26" s="14" t="str">
        <f t="shared" si="1"/>
        <v>21</v>
      </c>
      <c r="I26" s="16">
        <f t="shared" si="2"/>
        <v>8444.7232720617067</v>
      </c>
      <c r="J26" s="72">
        <f t="shared" si="0"/>
        <v>472.28946989792377</v>
      </c>
      <c r="K26" s="72">
        <f t="shared" si="3"/>
        <v>472.28946989792377</v>
      </c>
      <c r="L26" s="72">
        <f t="shared" si="4"/>
        <v>0</v>
      </c>
      <c r="N26" s="8">
        <f>VLOOKUP(H26,'TOC Factors'!$F$6:$M$17,3,TRUE)</f>
        <v>7600</v>
      </c>
      <c r="O26" s="8">
        <f>IF(G26=1,Subsidy!$D$3,0)</f>
        <v>0</v>
      </c>
      <c r="P26" s="70">
        <f>IF(E26=1,Tax!$F$2,IF(E26=2,Tax!$F$3,"-"))</f>
        <v>0.6711260341147236</v>
      </c>
      <c r="Q26" s="9">
        <f>VLOOKUP(H26,'TOC Factors'!$F$6:$M$17,4,TRUE)</f>
        <v>12</v>
      </c>
      <c r="R26" s="10">
        <f>VLOOKUP(H26,'TOC Factors'!$F$6:$M$17,5,TRUE)</f>
        <v>0.15498058252427183</v>
      </c>
      <c r="S26" s="10">
        <f>VLOOKUP(H26,'TOC Factors'!$F$6:$M$17,6,TRUE)</f>
        <v>3.162507954728643</v>
      </c>
      <c r="T26" s="11">
        <f>VLOOKUP(H26,'TOC Factors'!$F$6:$M$17,7,TRUE)</f>
        <v>904</v>
      </c>
      <c r="U26" s="11">
        <f>VLOOKUP(H26,'TOC Factors'!$F$6:$M$17,8,TRUE)</f>
        <v>133</v>
      </c>
    </row>
    <row r="27" spans="2:2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1</v>
      </c>
      <c r="F27" s="56">
        <f>Input!F27</f>
        <v>3.1251246220333941</v>
      </c>
      <c r="G27" s="56">
        <f>Input!G27</f>
        <v>0</v>
      </c>
      <c r="H27" s="14" t="str">
        <f t="shared" si="1"/>
        <v>21</v>
      </c>
      <c r="I27" s="16">
        <f t="shared" si="2"/>
        <v>912.53638963375113</v>
      </c>
      <c r="J27" s="72">
        <f t="shared" si="0"/>
        <v>51.03557734668896</v>
      </c>
      <c r="K27" s="72">
        <f t="shared" si="3"/>
        <v>51.03557734668896</v>
      </c>
      <c r="L27" s="72">
        <f t="shared" si="4"/>
        <v>0</v>
      </c>
      <c r="N27" s="8">
        <f>VLOOKUP(H27,'TOC Factors'!$F$6:$M$17,3,TRUE)</f>
        <v>7600</v>
      </c>
      <c r="O27" s="8">
        <f>IF(G27=1,Subsidy!$D$3,0)</f>
        <v>0</v>
      </c>
      <c r="P27" s="70">
        <f>IF(E27=1,Tax!$F$2,IF(E27=2,Tax!$F$3,"-"))</f>
        <v>0.6711260341147236</v>
      </c>
      <c r="Q27" s="9">
        <f>VLOOKUP(H27,'TOC Factors'!$F$6:$M$17,4,TRUE)</f>
        <v>12</v>
      </c>
      <c r="R27" s="10">
        <f>VLOOKUP(H27,'TOC Factors'!$F$6:$M$17,5,TRUE)</f>
        <v>0.15498058252427183</v>
      </c>
      <c r="S27" s="10">
        <f>VLOOKUP(H27,'TOC Factors'!$F$6:$M$17,6,TRUE)</f>
        <v>3.162507954728643</v>
      </c>
      <c r="T27" s="11">
        <f>VLOOKUP(H27,'TOC Factors'!$F$6:$M$17,7,TRUE)</f>
        <v>904</v>
      </c>
      <c r="U27" s="11">
        <f>VLOOKUP(H27,'TOC Factors'!$F$6:$M$17,8,TRUE)</f>
        <v>133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2" t="e">
        <f t="shared" si="0"/>
        <v>#N/A</v>
      </c>
      <c r="K28" s="72" t="e">
        <f t="shared" si="3"/>
        <v>#N/A</v>
      </c>
      <c r="L28" s="72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0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2" t="e">
        <f t="shared" si="0"/>
        <v>#N/A</v>
      </c>
      <c r="K29" s="72" t="e">
        <f t="shared" si="3"/>
        <v>#N/A</v>
      </c>
      <c r="L29" s="72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0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2" t="e">
        <f t="shared" si="0"/>
        <v>#N/A</v>
      </c>
      <c r="K30" s="72" t="e">
        <f t="shared" si="3"/>
        <v>#N/A</v>
      </c>
      <c r="L30" s="72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0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2" t="e">
        <f t="shared" si="0"/>
        <v>#N/A</v>
      </c>
      <c r="K31" s="72" t="e">
        <f t="shared" si="3"/>
        <v>#N/A</v>
      </c>
      <c r="L31" s="72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0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2" t="e">
        <f t="shared" si="0"/>
        <v>#N/A</v>
      </c>
      <c r="K32" s="72" t="e">
        <f t="shared" si="3"/>
        <v>#N/A</v>
      </c>
      <c r="L32" s="72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0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2" t="e">
        <f t="shared" si="0"/>
        <v>#N/A</v>
      </c>
      <c r="K33" s="72" t="e">
        <f t="shared" si="3"/>
        <v>#N/A</v>
      </c>
      <c r="L33" s="72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0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2" t="e">
        <f t="shared" si="0"/>
        <v>#N/A</v>
      </c>
      <c r="K34" s="72" t="e">
        <f t="shared" si="3"/>
        <v>#N/A</v>
      </c>
      <c r="L34" s="72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0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2" t="e">
        <f t="shared" si="0"/>
        <v>#N/A</v>
      </c>
      <c r="K35" s="72" t="e">
        <f t="shared" si="3"/>
        <v>#N/A</v>
      </c>
      <c r="L35" s="72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0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2" t="e">
        <f t="shared" si="0"/>
        <v>#N/A</v>
      </c>
      <c r="K36" s="72" t="e">
        <f t="shared" si="3"/>
        <v>#N/A</v>
      </c>
      <c r="L36" s="72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0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2" t="e">
        <f t="shared" si="0"/>
        <v>#N/A</v>
      </c>
      <c r="K37" s="72" t="e">
        <f t="shared" si="3"/>
        <v>#N/A</v>
      </c>
      <c r="L37" s="72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0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2" t="e">
        <f t="shared" si="0"/>
        <v>#N/A</v>
      </c>
      <c r="K38" s="72" t="e">
        <f t="shared" si="3"/>
        <v>#N/A</v>
      </c>
      <c r="L38" s="72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0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2" t="e">
        <f t="shared" si="0"/>
        <v>#N/A</v>
      </c>
      <c r="K39" s="72" t="e">
        <f t="shared" si="3"/>
        <v>#N/A</v>
      </c>
      <c r="L39" s="72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0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2" t="e">
        <f t="shared" si="0"/>
        <v>#N/A</v>
      </c>
      <c r="K40" s="72" t="e">
        <f t="shared" si="3"/>
        <v>#N/A</v>
      </c>
      <c r="L40" s="72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0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2" t="e">
        <f t="shared" si="0"/>
        <v>#N/A</v>
      </c>
      <c r="K41" s="72" t="e">
        <f t="shared" si="3"/>
        <v>#N/A</v>
      </c>
      <c r="L41" s="72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0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2" t="e">
        <f t="shared" si="0"/>
        <v>#N/A</v>
      </c>
      <c r="K42" s="72" t="e">
        <f t="shared" si="3"/>
        <v>#N/A</v>
      </c>
      <c r="L42" s="72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0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2" t="e">
        <f t="shared" si="0"/>
        <v>#N/A</v>
      </c>
      <c r="K43" s="72" t="e">
        <f t="shared" si="3"/>
        <v>#N/A</v>
      </c>
      <c r="L43" s="72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0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2" t="e">
        <f t="shared" si="0"/>
        <v>#N/A</v>
      </c>
      <c r="K44" s="72" t="e">
        <f t="shared" si="3"/>
        <v>#N/A</v>
      </c>
      <c r="L44" s="72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0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2" t="e">
        <f t="shared" si="0"/>
        <v>#N/A</v>
      </c>
      <c r="K45" s="72" t="e">
        <f t="shared" si="3"/>
        <v>#N/A</v>
      </c>
      <c r="L45" s="72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0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2" t="e">
        <f t="shared" si="0"/>
        <v>#N/A</v>
      </c>
      <c r="K46" s="72" t="e">
        <f t="shared" si="3"/>
        <v>#N/A</v>
      </c>
      <c r="L46" s="72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0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2" t="e">
        <f t="shared" si="0"/>
        <v>#N/A</v>
      </c>
      <c r="K47" s="72" t="e">
        <f t="shared" si="3"/>
        <v>#N/A</v>
      </c>
      <c r="L47" s="72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0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2" t="e">
        <f t="shared" si="0"/>
        <v>#N/A</v>
      </c>
      <c r="K48" s="72" t="e">
        <f t="shared" si="3"/>
        <v>#N/A</v>
      </c>
      <c r="L48" s="72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0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2" t="e">
        <f t="shared" si="0"/>
        <v>#N/A</v>
      </c>
      <c r="K49" s="72" t="e">
        <f t="shared" si="3"/>
        <v>#N/A</v>
      </c>
      <c r="L49" s="72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0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2" t="e">
        <f t="shared" si="0"/>
        <v>#N/A</v>
      </c>
      <c r="K50" s="72" t="e">
        <f t="shared" si="3"/>
        <v>#N/A</v>
      </c>
      <c r="L50" s="72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0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2" t="e">
        <f t="shared" si="0"/>
        <v>#N/A</v>
      </c>
      <c r="K51" s="72" t="e">
        <f t="shared" si="3"/>
        <v>#N/A</v>
      </c>
      <c r="L51" s="72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0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2" t="e">
        <f t="shared" si="0"/>
        <v>#N/A</v>
      </c>
      <c r="K52" s="72" t="e">
        <f t="shared" si="3"/>
        <v>#N/A</v>
      </c>
      <c r="L52" s="72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0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2" t="e">
        <f t="shared" si="0"/>
        <v>#N/A</v>
      </c>
      <c r="K53" s="72" t="e">
        <f t="shared" si="3"/>
        <v>#N/A</v>
      </c>
      <c r="L53" s="72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0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2" t="e">
        <f t="shared" si="0"/>
        <v>#N/A</v>
      </c>
      <c r="K54" s="72" t="e">
        <f t="shared" si="3"/>
        <v>#N/A</v>
      </c>
      <c r="L54" s="72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0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2" t="e">
        <f t="shared" si="0"/>
        <v>#N/A</v>
      </c>
      <c r="K55" s="72" t="e">
        <f t="shared" si="3"/>
        <v>#N/A</v>
      </c>
      <c r="L55" s="72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0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2" t="e">
        <f t="shared" si="0"/>
        <v>#N/A</v>
      </c>
      <c r="K56" s="72" t="e">
        <f t="shared" si="3"/>
        <v>#N/A</v>
      </c>
      <c r="L56" s="72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0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2" t="e">
        <f t="shared" si="0"/>
        <v>#N/A</v>
      </c>
      <c r="K57" s="72" t="e">
        <f t="shared" si="3"/>
        <v>#N/A</v>
      </c>
      <c r="L57" s="72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0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2" t="e">
        <f t="shared" si="0"/>
        <v>#N/A</v>
      </c>
      <c r="K58" s="72" t="e">
        <f t="shared" si="3"/>
        <v>#N/A</v>
      </c>
      <c r="L58" s="72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0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2" t="e">
        <f t="shared" si="0"/>
        <v>#N/A</v>
      </c>
      <c r="K59" s="72" t="e">
        <f t="shared" si="3"/>
        <v>#N/A</v>
      </c>
      <c r="L59" s="72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0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2" t="e">
        <f t="shared" si="0"/>
        <v>#N/A</v>
      </c>
      <c r="K60" s="72" t="e">
        <f t="shared" si="3"/>
        <v>#N/A</v>
      </c>
      <c r="L60" s="72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0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2" t="e">
        <f t="shared" si="0"/>
        <v>#N/A</v>
      </c>
      <c r="K61" s="72" t="e">
        <f t="shared" si="3"/>
        <v>#N/A</v>
      </c>
      <c r="L61" s="72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0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2" t="e">
        <f t="shared" si="0"/>
        <v>#N/A</v>
      </c>
      <c r="K62" s="72" t="e">
        <f t="shared" si="3"/>
        <v>#N/A</v>
      </c>
      <c r="L62" s="72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0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2" t="e">
        <f t="shared" si="0"/>
        <v>#N/A</v>
      </c>
      <c r="K63" s="72" t="e">
        <f t="shared" si="3"/>
        <v>#N/A</v>
      </c>
      <c r="L63" s="72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0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2" t="e">
        <f t="shared" si="0"/>
        <v>#N/A</v>
      </c>
      <c r="K64" s="72" t="e">
        <f t="shared" si="3"/>
        <v>#N/A</v>
      </c>
      <c r="L64" s="72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0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2" t="e">
        <f t="shared" si="0"/>
        <v>#N/A</v>
      </c>
      <c r="K65" s="72" t="e">
        <f t="shared" si="3"/>
        <v>#N/A</v>
      </c>
      <c r="L65" s="72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0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2" t="e">
        <f t="shared" si="0"/>
        <v>#N/A</v>
      </c>
      <c r="K66" s="72" t="e">
        <f t="shared" si="3"/>
        <v>#N/A</v>
      </c>
      <c r="L66" s="72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0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2" t="e">
        <f t="shared" si="0"/>
        <v>#N/A</v>
      </c>
      <c r="K67" s="72" t="e">
        <f t="shared" si="3"/>
        <v>#N/A</v>
      </c>
      <c r="L67" s="72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0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2" t="e">
        <f t="shared" si="0"/>
        <v>#N/A</v>
      </c>
      <c r="K68" s="72" t="e">
        <f t="shared" si="3"/>
        <v>#N/A</v>
      </c>
      <c r="L68" s="72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0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2" t="e">
        <f t="shared" ref="J69:J124" si="5">K69-L69</f>
        <v>#N/A</v>
      </c>
      <c r="K69" s="72" t="e">
        <f t="shared" si="3"/>
        <v>#N/A</v>
      </c>
      <c r="L69" s="72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0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2" t="e">
        <f t="shared" si="5"/>
        <v>#N/A</v>
      </c>
      <c r="K70" s="72" t="e">
        <f t="shared" si="3"/>
        <v>#N/A</v>
      </c>
      <c r="L70" s="72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0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2" t="e">
        <f t="shared" si="5"/>
        <v>#N/A</v>
      </c>
      <c r="K71" s="72" t="e">
        <f t="shared" ref="K71:K124" si="8">I71/Q71*P71</f>
        <v>#N/A</v>
      </c>
      <c r="L71" s="72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0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2" t="e">
        <f t="shared" si="5"/>
        <v>#N/A</v>
      </c>
      <c r="K72" s="72" t="e">
        <f t="shared" si="8"/>
        <v>#N/A</v>
      </c>
      <c r="L72" s="72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0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2" t="e">
        <f t="shared" si="5"/>
        <v>#N/A</v>
      </c>
      <c r="K73" s="72" t="e">
        <f t="shared" si="8"/>
        <v>#N/A</v>
      </c>
      <c r="L73" s="72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0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2" t="e">
        <f t="shared" si="5"/>
        <v>#N/A</v>
      </c>
      <c r="K74" s="72" t="e">
        <f t="shared" si="8"/>
        <v>#N/A</v>
      </c>
      <c r="L74" s="72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0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2" t="e">
        <f t="shared" si="5"/>
        <v>#N/A</v>
      </c>
      <c r="K75" s="72" t="e">
        <f t="shared" si="8"/>
        <v>#N/A</v>
      </c>
      <c r="L75" s="72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0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2" t="e">
        <f t="shared" si="5"/>
        <v>#N/A</v>
      </c>
      <c r="K76" s="72" t="e">
        <f t="shared" si="8"/>
        <v>#N/A</v>
      </c>
      <c r="L76" s="72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0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2" t="e">
        <f t="shared" si="5"/>
        <v>#N/A</v>
      </c>
      <c r="K77" s="72" t="e">
        <f t="shared" si="8"/>
        <v>#N/A</v>
      </c>
      <c r="L77" s="72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0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2" t="e">
        <f t="shared" si="5"/>
        <v>#N/A</v>
      </c>
      <c r="K78" s="72" t="e">
        <f t="shared" si="8"/>
        <v>#N/A</v>
      </c>
      <c r="L78" s="72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0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2" t="e">
        <f t="shared" si="5"/>
        <v>#N/A</v>
      </c>
      <c r="K79" s="72" t="e">
        <f t="shared" si="8"/>
        <v>#N/A</v>
      </c>
      <c r="L79" s="72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0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2" t="e">
        <f t="shared" si="5"/>
        <v>#N/A</v>
      </c>
      <c r="K80" s="72" t="e">
        <f t="shared" si="8"/>
        <v>#N/A</v>
      </c>
      <c r="L80" s="72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0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2" t="e">
        <f t="shared" si="5"/>
        <v>#N/A</v>
      </c>
      <c r="K81" s="72" t="e">
        <f t="shared" si="8"/>
        <v>#N/A</v>
      </c>
      <c r="L81" s="72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0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2" t="e">
        <f t="shared" si="5"/>
        <v>#N/A</v>
      </c>
      <c r="K82" s="72" t="e">
        <f t="shared" si="8"/>
        <v>#N/A</v>
      </c>
      <c r="L82" s="72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0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2" t="e">
        <f t="shared" si="5"/>
        <v>#N/A</v>
      </c>
      <c r="K83" s="72" t="e">
        <f t="shared" si="8"/>
        <v>#N/A</v>
      </c>
      <c r="L83" s="72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0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2" t="e">
        <f t="shared" si="5"/>
        <v>#N/A</v>
      </c>
      <c r="K84" s="72" t="e">
        <f t="shared" si="8"/>
        <v>#N/A</v>
      </c>
      <c r="L84" s="72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0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2" t="e">
        <f t="shared" si="5"/>
        <v>#N/A</v>
      </c>
      <c r="K85" s="72" t="e">
        <f t="shared" si="8"/>
        <v>#N/A</v>
      </c>
      <c r="L85" s="72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0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2" t="e">
        <f t="shared" si="5"/>
        <v>#N/A</v>
      </c>
      <c r="K86" s="72" t="e">
        <f t="shared" si="8"/>
        <v>#N/A</v>
      </c>
      <c r="L86" s="72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0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2" t="e">
        <f t="shared" si="5"/>
        <v>#N/A</v>
      </c>
      <c r="K87" s="72" t="e">
        <f t="shared" si="8"/>
        <v>#N/A</v>
      </c>
      <c r="L87" s="72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0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2" t="e">
        <f t="shared" si="5"/>
        <v>#N/A</v>
      </c>
      <c r="K88" s="72" t="e">
        <f t="shared" si="8"/>
        <v>#N/A</v>
      </c>
      <c r="L88" s="72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0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2" t="e">
        <f t="shared" si="5"/>
        <v>#N/A</v>
      </c>
      <c r="K89" s="72" t="e">
        <f t="shared" si="8"/>
        <v>#N/A</v>
      </c>
      <c r="L89" s="72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0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2" t="e">
        <f t="shared" si="5"/>
        <v>#N/A</v>
      </c>
      <c r="K90" s="72" t="e">
        <f t="shared" si="8"/>
        <v>#N/A</v>
      </c>
      <c r="L90" s="72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0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2" t="e">
        <f t="shared" si="5"/>
        <v>#N/A</v>
      </c>
      <c r="K91" s="72" t="e">
        <f t="shared" si="8"/>
        <v>#N/A</v>
      </c>
      <c r="L91" s="72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0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2" t="e">
        <f t="shared" si="5"/>
        <v>#N/A</v>
      </c>
      <c r="K92" s="72" t="e">
        <f t="shared" si="8"/>
        <v>#N/A</v>
      </c>
      <c r="L92" s="72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0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2" t="e">
        <f t="shared" si="5"/>
        <v>#N/A</v>
      </c>
      <c r="K93" s="72" t="e">
        <f t="shared" si="8"/>
        <v>#N/A</v>
      </c>
      <c r="L93" s="72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0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2" t="e">
        <f t="shared" si="5"/>
        <v>#N/A</v>
      </c>
      <c r="K94" s="72" t="e">
        <f t="shared" si="8"/>
        <v>#N/A</v>
      </c>
      <c r="L94" s="72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0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2" t="e">
        <f t="shared" si="5"/>
        <v>#N/A</v>
      </c>
      <c r="K95" s="72" t="e">
        <f t="shared" si="8"/>
        <v>#N/A</v>
      </c>
      <c r="L95" s="72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0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2" t="e">
        <f t="shared" si="5"/>
        <v>#N/A</v>
      </c>
      <c r="K96" s="72" t="e">
        <f t="shared" si="8"/>
        <v>#N/A</v>
      </c>
      <c r="L96" s="72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0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2" t="e">
        <f t="shared" si="5"/>
        <v>#N/A</v>
      </c>
      <c r="K97" s="72" t="e">
        <f t="shared" si="8"/>
        <v>#N/A</v>
      </c>
      <c r="L97" s="72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0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2" t="e">
        <f t="shared" si="5"/>
        <v>#N/A</v>
      </c>
      <c r="K98" s="72" t="e">
        <f t="shared" si="8"/>
        <v>#N/A</v>
      </c>
      <c r="L98" s="72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0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2" t="e">
        <f t="shared" si="5"/>
        <v>#N/A</v>
      </c>
      <c r="K99" s="72" t="e">
        <f t="shared" si="8"/>
        <v>#N/A</v>
      </c>
      <c r="L99" s="72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0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2" t="e">
        <f t="shared" si="5"/>
        <v>#N/A</v>
      </c>
      <c r="K100" s="72" t="e">
        <f t="shared" si="8"/>
        <v>#N/A</v>
      </c>
      <c r="L100" s="72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0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2" t="e">
        <f t="shared" si="5"/>
        <v>#N/A</v>
      </c>
      <c r="K101" s="72" t="e">
        <f t="shared" si="8"/>
        <v>#N/A</v>
      </c>
      <c r="L101" s="72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0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2" t="e">
        <f t="shared" si="5"/>
        <v>#N/A</v>
      </c>
      <c r="K102" s="72" t="e">
        <f t="shared" si="8"/>
        <v>#N/A</v>
      </c>
      <c r="L102" s="72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0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2" t="e">
        <f t="shared" si="5"/>
        <v>#N/A</v>
      </c>
      <c r="K103" s="72" t="e">
        <f t="shared" si="8"/>
        <v>#N/A</v>
      </c>
      <c r="L103" s="72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0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2" t="e">
        <f t="shared" si="5"/>
        <v>#N/A</v>
      </c>
      <c r="K104" s="72" t="e">
        <f t="shared" si="8"/>
        <v>#N/A</v>
      </c>
      <c r="L104" s="72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0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2" t="e">
        <f t="shared" si="5"/>
        <v>#N/A</v>
      </c>
      <c r="K105" s="72" t="e">
        <f t="shared" si="8"/>
        <v>#N/A</v>
      </c>
      <c r="L105" s="72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0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2" t="e">
        <f t="shared" si="5"/>
        <v>#N/A</v>
      </c>
      <c r="K106" s="72" t="e">
        <f t="shared" si="8"/>
        <v>#N/A</v>
      </c>
      <c r="L106" s="72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0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2" t="e">
        <f t="shared" si="5"/>
        <v>#N/A</v>
      </c>
      <c r="K107" s="72" t="e">
        <f t="shared" si="8"/>
        <v>#N/A</v>
      </c>
      <c r="L107" s="72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0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2" t="e">
        <f t="shared" si="5"/>
        <v>#N/A</v>
      </c>
      <c r="K108" s="72" t="e">
        <f t="shared" si="8"/>
        <v>#N/A</v>
      </c>
      <c r="L108" s="72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0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2" t="e">
        <f t="shared" si="5"/>
        <v>#N/A</v>
      </c>
      <c r="K109" s="72" t="e">
        <f t="shared" si="8"/>
        <v>#N/A</v>
      </c>
      <c r="L109" s="72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0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2" t="e">
        <f t="shared" si="5"/>
        <v>#N/A</v>
      </c>
      <c r="K110" s="72" t="e">
        <f t="shared" si="8"/>
        <v>#N/A</v>
      </c>
      <c r="L110" s="72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0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2" t="e">
        <f t="shared" si="5"/>
        <v>#N/A</v>
      </c>
      <c r="K111" s="72" t="e">
        <f t="shared" si="8"/>
        <v>#N/A</v>
      </c>
      <c r="L111" s="72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0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2" t="e">
        <f t="shared" si="5"/>
        <v>#N/A</v>
      </c>
      <c r="K112" s="72" t="e">
        <f t="shared" si="8"/>
        <v>#N/A</v>
      </c>
      <c r="L112" s="72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0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2" t="e">
        <f t="shared" si="5"/>
        <v>#N/A</v>
      </c>
      <c r="K113" s="72" t="e">
        <f t="shared" si="8"/>
        <v>#N/A</v>
      </c>
      <c r="L113" s="72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0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2" t="e">
        <f t="shared" si="5"/>
        <v>#N/A</v>
      </c>
      <c r="K114" s="72" t="e">
        <f t="shared" si="8"/>
        <v>#N/A</v>
      </c>
      <c r="L114" s="72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0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2" t="e">
        <f t="shared" si="5"/>
        <v>#N/A</v>
      </c>
      <c r="K115" s="72" t="e">
        <f t="shared" si="8"/>
        <v>#N/A</v>
      </c>
      <c r="L115" s="72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0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2" t="e">
        <f t="shared" si="5"/>
        <v>#N/A</v>
      </c>
      <c r="K116" s="72" t="e">
        <f t="shared" si="8"/>
        <v>#N/A</v>
      </c>
      <c r="L116" s="72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0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2" t="e">
        <f t="shared" si="5"/>
        <v>#N/A</v>
      </c>
      <c r="K117" s="72" t="e">
        <f t="shared" si="8"/>
        <v>#N/A</v>
      </c>
      <c r="L117" s="72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0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2" t="e">
        <f t="shared" si="5"/>
        <v>#N/A</v>
      </c>
      <c r="K118" s="72" t="e">
        <f t="shared" si="8"/>
        <v>#N/A</v>
      </c>
      <c r="L118" s="72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0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2" t="e">
        <f t="shared" si="5"/>
        <v>#N/A</v>
      </c>
      <c r="K119" s="72" t="e">
        <f t="shared" si="8"/>
        <v>#N/A</v>
      </c>
      <c r="L119" s="72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0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2" t="e">
        <f t="shared" si="5"/>
        <v>#N/A</v>
      </c>
      <c r="K120" s="72" t="e">
        <f t="shared" si="8"/>
        <v>#N/A</v>
      </c>
      <c r="L120" s="72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0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2" t="e">
        <f t="shared" si="5"/>
        <v>#N/A</v>
      </c>
      <c r="K121" s="72" t="e">
        <f t="shared" si="8"/>
        <v>#N/A</v>
      </c>
      <c r="L121" s="72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0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2" t="e">
        <f t="shared" si="5"/>
        <v>#N/A</v>
      </c>
      <c r="K122" s="72" t="e">
        <f t="shared" si="8"/>
        <v>#N/A</v>
      </c>
      <c r="L122" s="72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0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2" t="e">
        <f t="shared" si="5"/>
        <v>#N/A</v>
      </c>
      <c r="K123" s="72" t="e">
        <f t="shared" si="8"/>
        <v>#N/A</v>
      </c>
      <c r="L123" s="72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0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2" t="e">
        <f t="shared" si="5"/>
        <v>#N/A</v>
      </c>
      <c r="K124" s="72" t="e">
        <f t="shared" si="8"/>
        <v>#N/A</v>
      </c>
      <c r="L124" s="72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0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G1" zoomScale="70" zoomScaleNormal="70" workbookViewId="0">
      <selection activeCell="M11" sqref="M11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1" t="s">
        <v>75</v>
      </c>
      <c r="K3" s="62" t="s">
        <v>74</v>
      </c>
      <c r="L3" s="62" t="s">
        <v>76</v>
      </c>
      <c r="M3" s="62" t="s">
        <v>77</v>
      </c>
      <c r="N3" s="62" t="s">
        <v>78</v>
      </c>
      <c r="O3" s="62" t="s">
        <v>79</v>
      </c>
      <c r="P3" s="62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32.423698406369354</v>
      </c>
      <c r="G4" s="56">
        <f>Input!G4</f>
        <v>0</v>
      </c>
      <c r="H4" s="14" t="str">
        <f>D4&amp;E4</f>
        <v>21</v>
      </c>
      <c r="I4" s="16">
        <f>F4*365*0.8</f>
        <v>9467.7199346598518</v>
      </c>
      <c r="J4" s="60">
        <f t="shared" ref="J4:P6" si="0">$I4*R4</f>
        <v>10.549753314231038</v>
      </c>
      <c r="K4" s="34">
        <f t="shared" si="0"/>
        <v>17.150091291867849</v>
      </c>
      <c r="L4" s="34">
        <f t="shared" si="0"/>
        <v>4.1436592242925876</v>
      </c>
      <c r="M4" s="34">
        <f t="shared" si="0"/>
        <v>0.93927372953758759</v>
      </c>
      <c r="N4" s="34">
        <f t="shared" si="0"/>
        <v>0.16437290266907784</v>
      </c>
      <c r="O4" s="34">
        <f t="shared" si="0"/>
        <v>0.96946467084415267</v>
      </c>
      <c r="P4" s="34">
        <f t="shared" si="0"/>
        <v>0.11958477737117922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36.4751451278144</v>
      </c>
      <c r="G5" s="56">
        <f>Input!G5</f>
        <v>0</v>
      </c>
      <c r="H5" s="14" t="str">
        <f>D5&amp;E5</f>
        <v>21</v>
      </c>
      <c r="I5" s="16">
        <f>F5*365*0.8</f>
        <v>10650.742377321805</v>
      </c>
      <c r="J5" s="60">
        <f t="shared" si="0"/>
        <v>11.867979351905971</v>
      </c>
      <c r="K5" s="34">
        <f t="shared" si="0"/>
        <v>19.29305105747164</v>
      </c>
      <c r="L5" s="34">
        <f t="shared" si="0"/>
        <v>4.6614229404684053</v>
      </c>
      <c r="M5" s="34">
        <f t="shared" si="0"/>
        <v>1.0566390413037179</v>
      </c>
      <c r="N5" s="34">
        <f t="shared" si="0"/>
        <v>0.18491183222815061</v>
      </c>
      <c r="O5" s="34">
        <f t="shared" si="0"/>
        <v>1.0906024390599085</v>
      </c>
      <c r="P5" s="34">
        <f t="shared" si="0"/>
        <v>0.13452728479716816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48.739213237171441</v>
      </c>
      <c r="G6" s="56">
        <f>Input!G6</f>
        <v>0</v>
      </c>
      <c r="H6" s="14" t="str">
        <f>D6&amp;E6</f>
        <v>21</v>
      </c>
      <c r="I6" s="16">
        <f>F6*365*0.8</f>
        <v>14231.850265254061</v>
      </c>
      <c r="J6" s="60">
        <f t="shared" si="0"/>
        <v>15.85835983105663</v>
      </c>
      <c r="K6" s="34">
        <f t="shared" si="0"/>
        <v>25.779969515972997</v>
      </c>
      <c r="L6" s="34">
        <f t="shared" si="0"/>
        <v>6.2287370177146668</v>
      </c>
      <c r="M6" s="34">
        <f t="shared" si="0"/>
        <v>1.4119136570494624</v>
      </c>
      <c r="N6" s="34">
        <f t="shared" si="0"/>
        <v>0.24708488998365588</v>
      </c>
      <c r="O6" s="34">
        <f t="shared" si="0"/>
        <v>1.4572965960260518</v>
      </c>
      <c r="P6" s="34">
        <f t="shared" si="0"/>
        <v>0.1797595046427099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35.421514362907701</v>
      </c>
      <c r="G7" s="56">
        <f>Input!G7</f>
        <v>0</v>
      </c>
      <c r="H7" s="14" t="str">
        <f>D7&amp;E7</f>
        <v>21</v>
      </c>
      <c r="I7" s="16">
        <f>F7*365*0.8</f>
        <v>10343.08219396905</v>
      </c>
      <c r="J7" s="60">
        <f t="shared" ref="J7:P7" si="1">$I7*R7</f>
        <v>11.525157736841027</v>
      </c>
      <c r="K7" s="34">
        <f t="shared" si="1"/>
        <v>18.73574684190687</v>
      </c>
      <c r="L7" s="34">
        <f t="shared" si="1"/>
        <v>4.5267718348700861</v>
      </c>
      <c r="M7" s="34">
        <f t="shared" si="1"/>
        <v>1.0261166843009446</v>
      </c>
      <c r="N7" s="34">
        <f t="shared" si="1"/>
        <v>0.17957041975266533</v>
      </c>
      <c r="O7" s="34">
        <f t="shared" si="1"/>
        <v>1.0590990062963319</v>
      </c>
      <c r="P7" s="34">
        <f t="shared" si="1"/>
        <v>0.13064129378918243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38.942508311456677</v>
      </c>
      <c r="G8" s="56">
        <f>Input!G8</f>
        <v>0</v>
      </c>
      <c r="H8" s="14" t="str">
        <f t="shared" ref="H8:H71" si="2">D8&amp;E8</f>
        <v>21</v>
      </c>
      <c r="I8" s="16">
        <f t="shared" ref="I8:I71" si="3">F8*365*0.8</f>
        <v>11371.212426945351</v>
      </c>
      <c r="J8" s="60">
        <f t="shared" ref="J8:J71" si="4">$I8*R8</f>
        <v>12.67078946313401</v>
      </c>
      <c r="K8" s="34">
        <f t="shared" ref="K8:K71" si="5">$I8*S8</f>
        <v>20.598130549616997</v>
      </c>
      <c r="L8" s="34">
        <f t="shared" ref="L8:L71" si="6">$I8*T8</f>
        <v>4.9767451497809265</v>
      </c>
      <c r="M8" s="34">
        <f t="shared" ref="M8:M71" si="7">$I8*U8</f>
        <v>1.1281154469431238</v>
      </c>
      <c r="N8" s="34">
        <f t="shared" ref="N8:N71" si="8">$I8*V8</f>
        <v>0.19742020321504666</v>
      </c>
      <c r="O8" s="34">
        <f t="shared" ref="O8:O71" si="9">$I8*W8</f>
        <v>1.1643763005948669</v>
      </c>
      <c r="P8" s="34">
        <f t="shared" ref="P8:P71" si="10">$I8*X8</f>
        <v>0.1436273903221981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2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9.0971134972324172</v>
      </c>
      <c r="G9" s="56">
        <f>Input!G9</f>
        <v>0</v>
      </c>
      <c r="H9" s="14" t="str">
        <f t="shared" si="2"/>
        <v>21</v>
      </c>
      <c r="I9" s="16">
        <f t="shared" si="3"/>
        <v>2656.357141191866</v>
      </c>
      <c r="J9" s="60">
        <f t="shared" si="4"/>
        <v>2.9599431275400305</v>
      </c>
      <c r="K9" s="34">
        <f t="shared" si="5"/>
        <v>4.8117992282882547</v>
      </c>
      <c r="L9" s="34">
        <f t="shared" si="6"/>
        <v>1.162586013008275</v>
      </c>
      <c r="M9" s="34">
        <f t="shared" si="7"/>
        <v>0.26353192703315087</v>
      </c>
      <c r="N9" s="34">
        <f t="shared" si="8"/>
        <v>4.6118087230801401E-2</v>
      </c>
      <c r="O9" s="34">
        <f t="shared" si="9"/>
        <v>0.27200259611635924</v>
      </c>
      <c r="P9" s="34">
        <f t="shared" si="10"/>
        <v>3.3551887839950563E-2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38.559369851490601</v>
      </c>
      <c r="G10" s="56">
        <f>Input!G10</f>
        <v>0</v>
      </c>
      <c r="H10" s="14" t="str">
        <f t="shared" si="2"/>
        <v>21</v>
      </c>
      <c r="I10" s="16">
        <f t="shared" si="3"/>
        <v>11259.335996635256</v>
      </c>
      <c r="J10" s="60">
        <f t="shared" si="4"/>
        <v>12.546127057655848</v>
      </c>
      <c r="K10" s="34">
        <f t="shared" si="5"/>
        <v>20.395474471229807</v>
      </c>
      <c r="L10" s="34">
        <f t="shared" si="6"/>
        <v>4.9277811113815373</v>
      </c>
      <c r="M10" s="34">
        <f t="shared" si="7"/>
        <v>1.1170164080330245</v>
      </c>
      <c r="N10" s="34">
        <f t="shared" si="8"/>
        <v>0.19547787140577927</v>
      </c>
      <c r="O10" s="34">
        <f t="shared" si="9"/>
        <v>1.1529205068626571</v>
      </c>
      <c r="P10" s="34">
        <f t="shared" si="10"/>
        <v>0.14221430268293053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37.569393419331426</v>
      </c>
      <c r="G11" s="56">
        <f>Input!G11</f>
        <v>0</v>
      </c>
      <c r="H11" s="14" t="str">
        <f t="shared" si="2"/>
        <v>21</v>
      </c>
      <c r="I11" s="16">
        <f t="shared" si="3"/>
        <v>10970.262878444777</v>
      </c>
      <c r="J11" s="60">
        <f t="shared" si="4"/>
        <v>12.224016759956735</v>
      </c>
      <c r="K11" s="34">
        <f t="shared" si="5"/>
        <v>19.871839382612269</v>
      </c>
      <c r="L11" s="34">
        <f t="shared" si="6"/>
        <v>4.801264853935014</v>
      </c>
      <c r="M11" s="34">
        <f t="shared" si="7"/>
        <v>1.0883380369251252</v>
      </c>
      <c r="N11" s="34">
        <f t="shared" si="8"/>
        <v>0.19045915646189687</v>
      </c>
      <c r="O11" s="34">
        <f t="shared" si="9"/>
        <v>1.1233203309691466</v>
      </c>
      <c r="P11" s="34">
        <f t="shared" si="10"/>
        <v>0.13856308098210157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53.693945251890923</v>
      </c>
      <c r="G12" s="56">
        <f>Input!G12</f>
        <v>0</v>
      </c>
      <c r="H12" s="14" t="str">
        <f t="shared" si="2"/>
        <v>21</v>
      </c>
      <c r="I12" s="16">
        <f t="shared" si="3"/>
        <v>15678.632013552151</v>
      </c>
      <c r="J12" s="60">
        <f t="shared" si="4"/>
        <v>17.470489324684824</v>
      </c>
      <c r="K12" s="34">
        <f t="shared" si="5"/>
        <v>28.400710225875699</v>
      </c>
      <c r="L12" s="34">
        <f t="shared" si="6"/>
        <v>6.8619381029017008</v>
      </c>
      <c r="M12" s="34">
        <f t="shared" si="7"/>
        <v>1.5554460067523774</v>
      </c>
      <c r="N12" s="34">
        <f t="shared" si="8"/>
        <v>0.27220305118166604</v>
      </c>
      <c r="O12" s="34">
        <f t="shared" si="9"/>
        <v>1.6054424855408462</v>
      </c>
      <c r="P12" s="34">
        <f t="shared" si="10"/>
        <v>0.19803350033216188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39.445680656032366</v>
      </c>
      <c r="G13" s="56">
        <f>Input!G13</f>
        <v>0</v>
      </c>
      <c r="H13" s="14" t="str">
        <f t="shared" si="2"/>
        <v>21</v>
      </c>
      <c r="I13" s="16">
        <f t="shared" si="3"/>
        <v>11518.138751561451</v>
      </c>
      <c r="J13" s="60">
        <f t="shared" si="4"/>
        <v>12.834507495644885</v>
      </c>
      <c r="K13" s="34">
        <f t="shared" si="5"/>
        <v>20.86427698167612</v>
      </c>
      <c r="L13" s="34">
        <f t="shared" si="6"/>
        <v>5.0410491875522743</v>
      </c>
      <c r="M13" s="34">
        <f t="shared" si="7"/>
        <v>1.1426917163978427</v>
      </c>
      <c r="N13" s="34">
        <f t="shared" si="8"/>
        <v>0.19997105036962248</v>
      </c>
      <c r="O13" s="34">
        <f t="shared" si="9"/>
        <v>1.1794210929963445</v>
      </c>
      <c r="P13" s="34">
        <f t="shared" si="10"/>
        <v>0.14548318579781841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3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47.330330672359494</v>
      </c>
      <c r="G14" s="56">
        <f>Input!G14</f>
        <v>0</v>
      </c>
      <c r="H14" s="14" t="str">
        <f t="shared" si="2"/>
        <v>21</v>
      </c>
      <c r="I14" s="16">
        <f t="shared" si="3"/>
        <v>13820.456556328973</v>
      </c>
      <c r="J14" s="60">
        <f t="shared" si="4"/>
        <v>15.399949340026176</v>
      </c>
      <c r="K14" s="34">
        <f t="shared" si="5"/>
        <v>25.034759506207443</v>
      </c>
      <c r="L14" s="34">
        <f t="shared" si="6"/>
        <v>6.0486857119548887</v>
      </c>
      <c r="M14" s="34">
        <f t="shared" si="7"/>
        <v>1.3711001025762488</v>
      </c>
      <c r="N14" s="34">
        <f t="shared" si="8"/>
        <v>0.23994251795084354</v>
      </c>
      <c r="O14" s="34">
        <f t="shared" si="9"/>
        <v>1.4151711773019136</v>
      </c>
      <c r="P14" s="34">
        <f t="shared" si="10"/>
        <v>0.17456327731097296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3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12.436844155386048</v>
      </c>
      <c r="G15" s="56">
        <f>Input!G15</f>
        <v>0</v>
      </c>
      <c r="H15" s="14" t="str">
        <f t="shared" si="2"/>
        <v>21</v>
      </c>
      <c r="I15" s="16">
        <f t="shared" si="3"/>
        <v>3631.5584933727259</v>
      </c>
      <c r="J15" s="60">
        <f t="shared" si="4"/>
        <v>4.0465969120007808</v>
      </c>
      <c r="K15" s="34">
        <f t="shared" si="5"/>
        <v>6.5783060887867206</v>
      </c>
      <c r="L15" s="34">
        <f t="shared" si="6"/>
        <v>1.5893943793725682</v>
      </c>
      <c r="M15" s="34">
        <f t="shared" si="7"/>
        <v>0.36027972031754563</v>
      </c>
      <c r="N15" s="34">
        <f t="shared" si="8"/>
        <v>6.3048951055570485E-2</v>
      </c>
      <c r="O15" s="34">
        <f t="shared" si="9"/>
        <v>0.37186013989918093</v>
      </c>
      <c r="P15" s="34">
        <f t="shared" si="10"/>
        <v>4.5869450822110198E-2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8.3544796151779259</v>
      </c>
      <c r="G16" s="56">
        <f>Input!G16</f>
        <v>0</v>
      </c>
      <c r="H16" s="14" t="str">
        <f t="shared" si="2"/>
        <v>21</v>
      </c>
      <c r="I16" s="16">
        <f t="shared" si="3"/>
        <v>2439.5080476319545</v>
      </c>
      <c r="J16" s="60">
        <f t="shared" si="4"/>
        <v>2.7183110916053019</v>
      </c>
      <c r="K16" s="34">
        <f t="shared" si="5"/>
        <v>4.4189927472371346</v>
      </c>
      <c r="L16" s="34">
        <f t="shared" si="6"/>
        <v>1.0676794512373078</v>
      </c>
      <c r="M16" s="34">
        <f t="shared" si="7"/>
        <v>0.24201875825961966</v>
      </c>
      <c r="N16" s="34">
        <f t="shared" si="8"/>
        <v>4.2353282695433439E-2</v>
      </c>
      <c r="O16" s="34">
        <f t="shared" si="9"/>
        <v>0.24979793263225022</v>
      </c>
      <c r="P16" s="34">
        <f t="shared" si="10"/>
        <v>3.0812912589787998E-2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35.014732865063976</v>
      </c>
      <c r="G17" s="56">
        <f>Input!G17</f>
        <v>0</v>
      </c>
      <c r="H17" s="14" t="str">
        <f t="shared" si="2"/>
        <v>21</v>
      </c>
      <c r="I17" s="16">
        <f t="shared" si="3"/>
        <v>10224.301996598682</v>
      </c>
      <c r="J17" s="60">
        <f t="shared" si="4"/>
        <v>11.39280255634127</v>
      </c>
      <c r="K17" s="34">
        <f t="shared" si="5"/>
        <v>18.52058508779642</v>
      </c>
      <c r="L17" s="34">
        <f t="shared" si="6"/>
        <v>4.4747862814428867</v>
      </c>
      <c r="M17" s="34">
        <f t="shared" si="7"/>
        <v>1.0143327363441779</v>
      </c>
      <c r="N17" s="34">
        <f t="shared" si="8"/>
        <v>0.1775082288602311</v>
      </c>
      <c r="O17" s="34">
        <f t="shared" si="9"/>
        <v>1.0469362885838118</v>
      </c>
      <c r="P17" s="34">
        <f t="shared" si="10"/>
        <v>0.12914100612154236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33.377907165841826</v>
      </c>
      <c r="G18" s="56">
        <f>Input!G18</f>
        <v>0</v>
      </c>
      <c r="H18" s="14" t="str">
        <f t="shared" si="2"/>
        <v>21</v>
      </c>
      <c r="I18" s="16">
        <f t="shared" si="3"/>
        <v>9746.3488924258127</v>
      </c>
      <c r="J18" s="60">
        <f t="shared" si="4"/>
        <v>10.860225824076966</v>
      </c>
      <c r="K18" s="34">
        <f t="shared" si="5"/>
        <v>17.654807537724558</v>
      </c>
      <c r="L18" s="34">
        <f t="shared" si="6"/>
        <v>4.2656044718252435</v>
      </c>
      <c r="M18" s="34">
        <f t="shared" si="7"/>
        <v>0.96691595619027193</v>
      </c>
      <c r="N18" s="34">
        <f t="shared" si="8"/>
        <v>0.16921029233329757</v>
      </c>
      <c r="O18" s="34">
        <f t="shared" si="9"/>
        <v>0.99799539763924461</v>
      </c>
      <c r="P18" s="34">
        <f t="shared" si="10"/>
        <v>0.1231040810803677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43.294039744425774</v>
      </c>
      <c r="G19" s="56">
        <f>Input!G19</f>
        <v>0</v>
      </c>
      <c r="H19" s="14" t="str">
        <f t="shared" si="2"/>
        <v>21</v>
      </c>
      <c r="I19" s="16">
        <f t="shared" si="3"/>
        <v>12641.859605372327</v>
      </c>
      <c r="J19" s="60">
        <f t="shared" si="4"/>
        <v>14.086654568390729</v>
      </c>
      <c r="K19" s="34">
        <f t="shared" si="5"/>
        <v>22.899816199400622</v>
      </c>
      <c r="L19" s="34">
        <f t="shared" si="6"/>
        <v>5.5328588643866432</v>
      </c>
      <c r="M19" s="34">
        <f t="shared" si="7"/>
        <v>1.2541738350708032</v>
      </c>
      <c r="N19" s="34">
        <f t="shared" si="8"/>
        <v>0.21948042113739055</v>
      </c>
      <c r="O19" s="34">
        <f t="shared" si="9"/>
        <v>1.2944865654837929</v>
      </c>
      <c r="P19" s="34">
        <f t="shared" si="10"/>
        <v>0.15967666733906902</v>
      </c>
      <c r="R19" s="33">
        <f>VLOOKUP(H19,'Emssions Factors'!$F$6:$M$18,2,TRUE)</f>
        <v>1.1142865850530738E-3</v>
      </c>
      <c r="S19" s="33">
        <f>VLOOKUP(H19,'Emssions Factors'!$F$6:$M$18,3,TRUE)</f>
        <v>1.8114278210833033E-3</v>
      </c>
      <c r="T19" s="33">
        <f>VLOOKUP(H19,'Emssions Factors'!$F$6:$M$18,4,TRUE)</f>
        <v>4.3766178688105201E-4</v>
      </c>
      <c r="U19" s="33">
        <f>VLOOKUP(H19,'Emssions Factors'!$F$6:$M$18,5,TRUE)</f>
        <v>9.9208017983194919E-5</v>
      </c>
      <c r="V19" s="33">
        <f>VLOOKUP(H19,'Emssions Factors'!$F$6:$M$18,6,TRUE)</f>
        <v>1.736140314705911E-5</v>
      </c>
      <c r="W19" s="33">
        <f>VLOOKUP(H19,'Emssions Factors'!$F$6:$M$18,7,TRUE)</f>
        <v>1.0239684713265473E-4</v>
      </c>
      <c r="X19" s="33">
        <f>VLOOKUP(H19,'Emssions Factors'!$F$6:$M$18,8,TRUE)</f>
        <v>1.2630789482206579E-5</v>
      </c>
    </row>
    <row r="20" spans="2:24">
      <c r="B20" s="56">
        <f>Input!B20</f>
        <v>1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43.91663974187064</v>
      </c>
      <c r="G20" s="56">
        <f>Input!G20</f>
        <v>0</v>
      </c>
      <c r="H20" s="14" t="str">
        <f t="shared" si="2"/>
        <v>21</v>
      </c>
      <c r="I20" s="16">
        <f t="shared" si="3"/>
        <v>12823.658804626228</v>
      </c>
      <c r="J20" s="60">
        <f t="shared" si="4"/>
        <v>14.289230977292743</v>
      </c>
      <c r="K20" s="34">
        <f t="shared" si="5"/>
        <v>23.229132326779805</v>
      </c>
      <c r="L20" s="34">
        <f t="shared" si="6"/>
        <v>5.6124254267856504</v>
      </c>
      <c r="M20" s="34">
        <f t="shared" si="7"/>
        <v>1.2722097732997146</v>
      </c>
      <c r="N20" s="34">
        <f t="shared" si="8"/>
        <v>0.22263671032745005</v>
      </c>
      <c r="O20" s="34">
        <f t="shared" si="9"/>
        <v>1.3131022302986337</v>
      </c>
      <c r="P20" s="34">
        <f t="shared" si="10"/>
        <v>0.16197293475287874</v>
      </c>
      <c r="R20" s="33">
        <f>VLOOKUP(H20,'Emssions Factors'!$F$6:$M$18,2,TRUE)</f>
        <v>1.1142865850530738E-3</v>
      </c>
      <c r="S20" s="33">
        <f>VLOOKUP(H20,'Emssions Factors'!$F$6:$M$18,3,TRUE)</f>
        <v>1.8114278210833033E-3</v>
      </c>
      <c r="T20" s="33">
        <f>VLOOKUP(H20,'Emssions Factors'!$F$6:$M$18,4,TRUE)</f>
        <v>4.3766178688105201E-4</v>
      </c>
      <c r="U20" s="33">
        <f>VLOOKUP(H20,'Emssions Factors'!$F$6:$M$18,5,TRUE)</f>
        <v>9.9208017983194919E-5</v>
      </c>
      <c r="V20" s="33">
        <f>VLOOKUP(H20,'Emssions Factors'!$F$6:$M$18,6,TRUE)</f>
        <v>1.736140314705911E-5</v>
      </c>
      <c r="W20" s="33">
        <f>VLOOKUP(H20,'Emssions Factors'!$F$6:$M$18,7,TRUE)</f>
        <v>1.0239684713265473E-4</v>
      </c>
      <c r="X20" s="33">
        <f>VLOOKUP(H20,'Emssions Factors'!$F$6:$M$18,8,TRUE)</f>
        <v>1.2630789482206579E-5</v>
      </c>
    </row>
    <row r="21" spans="2:24">
      <c r="B21" s="56">
        <f>Input!B21</f>
        <v>1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8.9752609174014353</v>
      </c>
      <c r="G21" s="56">
        <f>Input!G21</f>
        <v>0</v>
      </c>
      <c r="H21" s="14" t="str">
        <f t="shared" si="2"/>
        <v>21</v>
      </c>
      <c r="I21" s="16">
        <f t="shared" si="3"/>
        <v>2620.7761878812194</v>
      </c>
      <c r="J21" s="60">
        <f t="shared" si="4"/>
        <v>2.9202957485825771</v>
      </c>
      <c r="K21" s="34">
        <f t="shared" si="5"/>
        <v>4.7473468995606831</v>
      </c>
      <c r="L21" s="34">
        <f t="shared" si="6"/>
        <v>1.1470135894034061</v>
      </c>
      <c r="M21" s="34">
        <f t="shared" si="7"/>
        <v>0.26000201117724903</v>
      </c>
      <c r="N21" s="34">
        <f t="shared" si="8"/>
        <v>4.5500351956018578E-2</v>
      </c>
      <c r="O21" s="34">
        <f t="shared" si="9"/>
        <v>0.26835921867937484</v>
      </c>
      <c r="P21" s="34">
        <f t="shared" si="10"/>
        <v>3.310247230910756E-2</v>
      </c>
      <c r="R21" s="33">
        <f>VLOOKUP(H21,'Emssions Factors'!$F$6:$M$18,2,TRUE)</f>
        <v>1.1142865850530738E-3</v>
      </c>
      <c r="S21" s="33">
        <f>VLOOKUP(H21,'Emssions Factors'!$F$6:$M$18,3,TRUE)</f>
        <v>1.8114278210833033E-3</v>
      </c>
      <c r="T21" s="33">
        <f>VLOOKUP(H21,'Emssions Factors'!$F$6:$M$18,4,TRUE)</f>
        <v>4.3766178688105201E-4</v>
      </c>
      <c r="U21" s="33">
        <f>VLOOKUP(H21,'Emssions Factors'!$F$6:$M$18,5,TRUE)</f>
        <v>9.9208017983194919E-5</v>
      </c>
      <c r="V21" s="33">
        <f>VLOOKUP(H21,'Emssions Factors'!$F$6:$M$18,6,TRUE)</f>
        <v>1.736140314705911E-5</v>
      </c>
      <c r="W21" s="33">
        <f>VLOOKUP(H21,'Emssions Factors'!$F$6:$M$18,7,TRUE)</f>
        <v>1.0239684713265473E-4</v>
      </c>
      <c r="X21" s="33">
        <f>VLOOKUP(H21,'Emssions Factors'!$F$6:$M$18,8,TRUE)</f>
        <v>1.2630789482206579E-5</v>
      </c>
    </row>
    <row r="22" spans="2:24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24.280793668609409</v>
      </c>
      <c r="G22" s="56">
        <f>Input!G22</f>
        <v>0</v>
      </c>
      <c r="H22" s="14" t="str">
        <f t="shared" si="2"/>
        <v>21</v>
      </c>
      <c r="I22" s="16">
        <f t="shared" si="3"/>
        <v>7089.9917512339471</v>
      </c>
      <c r="J22" s="60">
        <f t="shared" si="4"/>
        <v>7.9002826965369373</v>
      </c>
      <c r="K22" s="34">
        <f t="shared" si="5"/>
        <v>12.843008309436303</v>
      </c>
      <c r="L22" s="34">
        <f t="shared" si="6"/>
        <v>3.1030184588169685</v>
      </c>
      <c r="M22" s="34">
        <f t="shared" si="7"/>
        <v>0.70338402915712106</v>
      </c>
      <c r="N22" s="34">
        <f t="shared" si="8"/>
        <v>0.12309220510249617</v>
      </c>
      <c r="O22" s="34">
        <f t="shared" si="9"/>
        <v>0.72599280152288548</v>
      </c>
      <c r="P22" s="34">
        <f t="shared" si="10"/>
        <v>8.9552193240417147E-2</v>
      </c>
      <c r="R22" s="33">
        <f>VLOOKUP(H22,'Emssions Factors'!$F$6:$M$18,2,TRUE)</f>
        <v>1.1142865850530738E-3</v>
      </c>
      <c r="S22" s="33">
        <f>VLOOKUP(H22,'Emssions Factors'!$F$6:$M$18,3,TRUE)</f>
        <v>1.8114278210833033E-3</v>
      </c>
      <c r="T22" s="33">
        <f>VLOOKUP(H22,'Emssions Factors'!$F$6:$M$18,4,TRUE)</f>
        <v>4.3766178688105201E-4</v>
      </c>
      <c r="U22" s="33">
        <f>VLOOKUP(H22,'Emssions Factors'!$F$6:$M$18,5,TRUE)</f>
        <v>9.9208017983194919E-5</v>
      </c>
      <c r="V22" s="33">
        <f>VLOOKUP(H22,'Emssions Factors'!$F$6:$M$18,6,TRUE)</f>
        <v>1.736140314705911E-5</v>
      </c>
      <c r="W22" s="33">
        <f>VLOOKUP(H22,'Emssions Factors'!$F$6:$M$18,7,TRUE)</f>
        <v>1.0239684713265473E-4</v>
      </c>
      <c r="X22" s="33">
        <f>VLOOKUP(H22,'Emssions Factors'!$F$6:$M$18,8,TRUE)</f>
        <v>1.2630789482206579E-5</v>
      </c>
    </row>
    <row r="23" spans="2:24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33.304553125247054</v>
      </c>
      <c r="G23" s="56">
        <f>Input!G23</f>
        <v>0</v>
      </c>
      <c r="H23" s="14" t="str">
        <f t="shared" si="2"/>
        <v>21</v>
      </c>
      <c r="I23" s="16">
        <f t="shared" si="3"/>
        <v>9724.9295125721401</v>
      </c>
      <c r="J23" s="60">
        <f t="shared" si="4"/>
        <v>10.836358496445865</v>
      </c>
      <c r="K23" s="34">
        <f t="shared" si="5"/>
        <v>17.616007877147261</v>
      </c>
      <c r="L23" s="34">
        <f t="shared" si="6"/>
        <v>4.2562300277646008</v>
      </c>
      <c r="M23" s="34">
        <f t="shared" si="7"/>
        <v>0.96479098196855984</v>
      </c>
      <c r="N23" s="34">
        <f t="shared" si="8"/>
        <v>0.16883842184449796</v>
      </c>
      <c r="O23" s="34">
        <f t="shared" si="9"/>
        <v>0.99580212067469187</v>
      </c>
      <c r="P23" s="34">
        <f t="shared" si="10"/>
        <v>0.12283353740259655</v>
      </c>
      <c r="R23" s="33">
        <f>VLOOKUP(H23,'Emssions Factors'!$F$6:$M$18,2,TRUE)</f>
        <v>1.1142865850530738E-3</v>
      </c>
      <c r="S23" s="33">
        <f>VLOOKUP(H23,'Emssions Factors'!$F$6:$M$18,3,TRUE)</f>
        <v>1.8114278210833033E-3</v>
      </c>
      <c r="T23" s="33">
        <f>VLOOKUP(H23,'Emssions Factors'!$F$6:$M$18,4,TRUE)</f>
        <v>4.3766178688105201E-4</v>
      </c>
      <c r="U23" s="33">
        <f>VLOOKUP(H23,'Emssions Factors'!$F$6:$M$18,5,TRUE)</f>
        <v>9.9208017983194919E-5</v>
      </c>
      <c r="V23" s="33">
        <f>VLOOKUP(H23,'Emssions Factors'!$F$6:$M$18,6,TRUE)</f>
        <v>1.736140314705911E-5</v>
      </c>
      <c r="W23" s="33">
        <f>VLOOKUP(H23,'Emssions Factors'!$F$6:$M$18,7,TRUE)</f>
        <v>1.0239684713265473E-4</v>
      </c>
      <c r="X23" s="33">
        <f>VLOOKUP(H23,'Emssions Factors'!$F$6:$M$18,8,TRUE)</f>
        <v>1.2630789482206579E-5</v>
      </c>
    </row>
    <row r="24" spans="2:24">
      <c r="B24" s="56">
        <f>Input!B24</f>
        <v>4</v>
      </c>
      <c r="C24" s="56">
        <f>Input!C24</f>
        <v>21</v>
      </c>
      <c r="D24" s="56">
        <f>Input!D24</f>
        <v>2</v>
      </c>
      <c r="E24" s="56">
        <f>Input!E24</f>
        <v>1</v>
      </c>
      <c r="F24" s="56">
        <f>Input!F24</f>
        <v>54.651791401806108</v>
      </c>
      <c r="G24" s="56">
        <f>Input!G24</f>
        <v>0</v>
      </c>
      <c r="H24" s="14" t="str">
        <f t="shared" si="2"/>
        <v>21</v>
      </c>
      <c r="I24" s="16">
        <f t="shared" si="3"/>
        <v>15958.323089327385</v>
      </c>
      <c r="J24" s="60">
        <f t="shared" si="4"/>
        <v>17.782145338380232</v>
      </c>
      <c r="K24" s="34">
        <f t="shared" si="5"/>
        <v>28.907350421843674</v>
      </c>
      <c r="L24" s="34">
        <f t="shared" si="6"/>
        <v>6.9843481989001734</v>
      </c>
      <c r="M24" s="34">
        <f t="shared" si="7"/>
        <v>1.583193604027626</v>
      </c>
      <c r="N24" s="34">
        <f t="shared" si="8"/>
        <v>0.27705888070483453</v>
      </c>
      <c r="O24" s="34">
        <f t="shared" si="9"/>
        <v>1.6340819698713707</v>
      </c>
      <c r="P24" s="34">
        <f t="shared" si="10"/>
        <v>0.20156621943033073</v>
      </c>
      <c r="R24" s="33">
        <f>VLOOKUP(H24,'Emssions Factors'!$F$6:$M$18,2,TRUE)</f>
        <v>1.1142865850530738E-3</v>
      </c>
      <c r="S24" s="33">
        <f>VLOOKUP(H24,'Emssions Factors'!$F$6:$M$18,3,TRUE)</f>
        <v>1.8114278210833033E-3</v>
      </c>
      <c r="T24" s="33">
        <f>VLOOKUP(H24,'Emssions Factors'!$F$6:$M$18,4,TRUE)</f>
        <v>4.3766178688105201E-4</v>
      </c>
      <c r="U24" s="33">
        <f>VLOOKUP(H24,'Emssions Factors'!$F$6:$M$18,5,TRUE)</f>
        <v>9.9208017983194919E-5</v>
      </c>
      <c r="V24" s="33">
        <f>VLOOKUP(H24,'Emssions Factors'!$F$6:$M$18,6,TRUE)</f>
        <v>1.736140314705911E-5</v>
      </c>
      <c r="W24" s="33">
        <f>VLOOKUP(H24,'Emssions Factors'!$F$6:$M$18,7,TRUE)</f>
        <v>1.0239684713265473E-4</v>
      </c>
      <c r="X24" s="33">
        <f>VLOOKUP(H24,'Emssions Factors'!$F$6:$M$18,8,TRUE)</f>
        <v>1.2630789482206579E-5</v>
      </c>
    </row>
    <row r="25" spans="2:24">
      <c r="B25" s="56">
        <f>Input!B25</f>
        <v>4</v>
      </c>
      <c r="C25" s="56">
        <f>Input!C25</f>
        <v>22</v>
      </c>
      <c r="D25" s="56">
        <f>Input!D25</f>
        <v>2</v>
      </c>
      <c r="E25" s="56">
        <f>Input!E25</f>
        <v>1</v>
      </c>
      <c r="F25" s="56">
        <f>Input!F25</f>
        <v>23.060449175078233</v>
      </c>
      <c r="G25" s="56">
        <f>Input!G25</f>
        <v>0</v>
      </c>
      <c r="H25" s="14" t="str">
        <f t="shared" si="2"/>
        <v>21</v>
      </c>
      <c r="I25" s="16">
        <f t="shared" si="3"/>
        <v>6733.6511591228445</v>
      </c>
      <c r="J25" s="60">
        <f t="shared" si="4"/>
        <v>7.5032171550376665</v>
      </c>
      <c r="K25" s="34">
        <f t="shared" si="5"/>
        <v>12.197523047104955</v>
      </c>
      <c r="L25" s="34">
        <f t="shared" si="6"/>
        <v>2.9470617985353713</v>
      </c>
      <c r="M25" s="34">
        <f t="shared" si="7"/>
        <v>0.66803218528682051</v>
      </c>
      <c r="N25" s="34">
        <f t="shared" si="8"/>
        <v>0.11690563242519358</v>
      </c>
      <c r="O25" s="34">
        <f t="shared" si="9"/>
        <v>0.68950464838532521</v>
      </c>
      <c r="P25" s="34">
        <f t="shared" si="10"/>
        <v>8.5051330237496961E-2</v>
      </c>
      <c r="R25" s="33">
        <f>VLOOKUP(H25,'Emssions Factors'!$F$6:$M$18,2,TRUE)</f>
        <v>1.1142865850530738E-3</v>
      </c>
      <c r="S25" s="33">
        <f>VLOOKUP(H25,'Emssions Factors'!$F$6:$M$18,3,TRUE)</f>
        <v>1.8114278210833033E-3</v>
      </c>
      <c r="T25" s="33">
        <f>VLOOKUP(H25,'Emssions Factors'!$F$6:$M$18,4,TRUE)</f>
        <v>4.3766178688105201E-4</v>
      </c>
      <c r="U25" s="33">
        <f>VLOOKUP(H25,'Emssions Factors'!$F$6:$M$18,5,TRUE)</f>
        <v>9.9208017983194919E-5</v>
      </c>
      <c r="V25" s="33">
        <f>VLOOKUP(H25,'Emssions Factors'!$F$6:$M$18,6,TRUE)</f>
        <v>1.736140314705911E-5</v>
      </c>
      <c r="W25" s="33">
        <f>VLOOKUP(H25,'Emssions Factors'!$F$6:$M$18,7,TRUE)</f>
        <v>1.0239684713265473E-4</v>
      </c>
      <c r="X25" s="33">
        <f>VLOOKUP(H25,'Emssions Factors'!$F$6:$M$18,8,TRUE)</f>
        <v>1.2630789482206579E-5</v>
      </c>
    </row>
    <row r="26" spans="2:24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1</v>
      </c>
      <c r="F26" s="56">
        <f>Input!F26</f>
        <v>28.920285178293515</v>
      </c>
      <c r="G26" s="56">
        <f>Input!G26</f>
        <v>0</v>
      </c>
      <c r="H26" s="14" t="str">
        <f t="shared" si="2"/>
        <v>21</v>
      </c>
      <c r="I26" s="16">
        <f t="shared" si="3"/>
        <v>8444.7232720617067</v>
      </c>
      <c r="J26" s="60">
        <f t="shared" si="4"/>
        <v>9.4098418565438582</v>
      </c>
      <c r="K26" s="34">
        <f t="shared" si="5"/>
        <v>15.297006676362201</v>
      </c>
      <c r="L26" s="34">
        <f t="shared" si="6"/>
        <v>3.6959326769665308</v>
      </c>
      <c r="M26" s="34">
        <f t="shared" si="7"/>
        <v>0.83778425823780245</v>
      </c>
      <c r="N26" s="34">
        <f t="shared" si="8"/>
        <v>0.14661224519161542</v>
      </c>
      <c r="O26" s="34">
        <f t="shared" si="9"/>
        <v>0.86471303796687438</v>
      </c>
      <c r="P26" s="34">
        <f t="shared" si="10"/>
        <v>0.10666352188490213</v>
      </c>
      <c r="R26" s="33">
        <f>VLOOKUP(H26,'Emssions Factors'!$F$6:$M$18,2,TRUE)</f>
        <v>1.1142865850530738E-3</v>
      </c>
      <c r="S26" s="33">
        <f>VLOOKUP(H26,'Emssions Factors'!$F$6:$M$18,3,TRUE)</f>
        <v>1.8114278210833033E-3</v>
      </c>
      <c r="T26" s="33">
        <f>VLOOKUP(H26,'Emssions Factors'!$F$6:$M$18,4,TRUE)</f>
        <v>4.3766178688105201E-4</v>
      </c>
      <c r="U26" s="33">
        <f>VLOOKUP(H26,'Emssions Factors'!$F$6:$M$18,5,TRUE)</f>
        <v>9.9208017983194919E-5</v>
      </c>
      <c r="V26" s="33">
        <f>VLOOKUP(H26,'Emssions Factors'!$F$6:$M$18,6,TRUE)</f>
        <v>1.736140314705911E-5</v>
      </c>
      <c r="W26" s="33">
        <f>VLOOKUP(H26,'Emssions Factors'!$F$6:$M$18,7,TRUE)</f>
        <v>1.0239684713265473E-4</v>
      </c>
      <c r="X26" s="33">
        <f>VLOOKUP(H26,'Emssions Factors'!$F$6:$M$18,8,TRUE)</f>
        <v>1.2630789482206579E-5</v>
      </c>
    </row>
    <row r="27" spans="2:24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1</v>
      </c>
      <c r="F27" s="56">
        <f>Input!F27</f>
        <v>3.1251246220333941</v>
      </c>
      <c r="G27" s="56">
        <f>Input!G27</f>
        <v>0</v>
      </c>
      <c r="H27" s="14" t="str">
        <f t="shared" si="2"/>
        <v>21</v>
      </c>
      <c r="I27" s="16">
        <f t="shared" si="3"/>
        <v>912.53638963375113</v>
      </c>
      <c r="J27" s="60">
        <f t="shared" si="4"/>
        <v>1.0168270573416538</v>
      </c>
      <c r="K27" s="34">
        <f t="shared" si="5"/>
        <v>1.6529938039334902</v>
      </c>
      <c r="L27" s="34">
        <f t="shared" si="6"/>
        <v>0.39938230688109144</v>
      </c>
      <c r="M27" s="34">
        <f t="shared" si="7"/>
        <v>9.0530926553104948E-2</v>
      </c>
      <c r="N27" s="34">
        <f t="shared" si="8"/>
        <v>1.5842912146793366E-2</v>
      </c>
      <c r="O27" s="34">
        <f t="shared" si="9"/>
        <v>9.3440849192311867E-2</v>
      </c>
      <c r="P27" s="34">
        <f t="shared" si="10"/>
        <v>1.1526055032316749E-2</v>
      </c>
      <c r="R27" s="33">
        <f>VLOOKUP(H27,'Emssions Factors'!$F$6:$M$18,2,TRUE)</f>
        <v>1.1142865850530738E-3</v>
      </c>
      <c r="S27" s="33">
        <f>VLOOKUP(H27,'Emssions Factors'!$F$6:$M$18,3,TRUE)</f>
        <v>1.8114278210833033E-3</v>
      </c>
      <c r="T27" s="33">
        <f>VLOOKUP(H27,'Emssions Factors'!$F$6:$M$18,4,TRUE)</f>
        <v>4.3766178688105201E-4</v>
      </c>
      <c r="U27" s="33">
        <f>VLOOKUP(H27,'Emssions Factors'!$F$6:$M$18,5,TRUE)</f>
        <v>9.9208017983194919E-5</v>
      </c>
      <c r="V27" s="33">
        <f>VLOOKUP(H27,'Emssions Factors'!$F$6:$M$18,6,TRUE)</f>
        <v>1.736140314705911E-5</v>
      </c>
      <c r="W27" s="33">
        <f>VLOOKUP(H27,'Emssions Factors'!$F$6:$M$18,7,TRUE)</f>
        <v>1.0239684713265473E-4</v>
      </c>
      <c r="X27" s="33">
        <f>VLOOKUP(H27,'Emssions Factors'!$F$6:$M$18,8,TRUE)</f>
        <v>1.2630789482206579E-5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0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0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0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0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0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0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0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0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0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0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0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0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0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0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0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0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0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0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0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0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0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0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0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0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0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0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0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0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0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0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0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0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0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0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0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0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0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0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0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0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0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0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0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0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0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0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0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0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0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0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0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0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0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0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0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0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0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0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0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0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0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0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0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0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0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0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0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0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0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0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0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0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0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0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0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0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0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0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0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0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0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0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0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0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0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0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0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0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0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0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0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0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0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0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0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0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0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3" t="s">
        <v>81</v>
      </c>
      <c r="R3" s="64" t="s">
        <v>82</v>
      </c>
      <c r="S3" s="64" t="s">
        <v>83</v>
      </c>
      <c r="T3" s="64" t="s">
        <v>84</v>
      </c>
      <c r="U3" s="64" t="s">
        <v>85</v>
      </c>
      <c r="V3" s="64" t="s">
        <v>86</v>
      </c>
      <c r="W3" s="64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32.423698406369354</v>
      </c>
      <c r="G4" s="56">
        <f>Input!G4</f>
        <v>0</v>
      </c>
      <c r="H4" s="14" t="str">
        <f>D4&amp;E4</f>
        <v>21</v>
      </c>
      <c r="I4" s="16">
        <f>F4*365*0.8</f>
        <v>9467.7199346598518</v>
      </c>
      <c r="J4" s="36">
        <f t="shared" ref="J4:P6" si="0">$I4*Y4</f>
        <v>10.549753314231038</v>
      </c>
      <c r="K4" s="34">
        <f t="shared" si="0"/>
        <v>17.150091291867849</v>
      </c>
      <c r="L4" s="34">
        <f t="shared" si="0"/>
        <v>4.1436592242925876</v>
      </c>
      <c r="M4" s="34">
        <f t="shared" si="0"/>
        <v>0.93927372953758759</v>
      </c>
      <c r="N4" s="34">
        <f t="shared" si="0"/>
        <v>0.16437290266907784</v>
      </c>
      <c r="O4" s="34">
        <f t="shared" si="0"/>
        <v>0.96946467084415267</v>
      </c>
      <c r="P4" s="34">
        <f t="shared" si="0"/>
        <v>0.11958477737117922</v>
      </c>
      <c r="Q4" s="37">
        <f>J4*'Externality Factors'!B$17</f>
        <v>429.98680336891181</v>
      </c>
      <c r="R4" s="37">
        <f>K4*'Externality Factors'!C$17</f>
        <v>0</v>
      </c>
      <c r="S4" s="37">
        <f>L4*'Externality Factors'!D$17</f>
        <v>95.92033462381157</v>
      </c>
      <c r="T4" s="37">
        <f>M4*'Externality Factors'!E$17</f>
        <v>31.793761521909239</v>
      </c>
      <c r="U4" s="37">
        <f>N4*'Externality Factors'!F$17</f>
        <v>50.177359005507675</v>
      </c>
      <c r="V4" s="37">
        <f>O4*'Externality Factors'!G$17</f>
        <v>55.088077172219997</v>
      </c>
      <c r="W4" s="37">
        <f>P4*'Externality Factors'!H$17</f>
        <v>81.847006596992784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36.4751451278144</v>
      </c>
      <c r="G5" s="56">
        <f>Input!G5</f>
        <v>0</v>
      </c>
      <c r="H5" s="14" t="str">
        <f>D5&amp;E5</f>
        <v>21</v>
      </c>
      <c r="I5" s="16">
        <f>F5*365*0.8</f>
        <v>10650.742377321805</v>
      </c>
      <c r="J5" s="36">
        <f t="shared" si="0"/>
        <v>11.867979351905971</v>
      </c>
      <c r="K5" s="34">
        <f t="shared" si="0"/>
        <v>19.29305105747164</v>
      </c>
      <c r="L5" s="34">
        <f t="shared" si="0"/>
        <v>4.6614229404684053</v>
      </c>
      <c r="M5" s="34">
        <f t="shared" si="0"/>
        <v>1.0566390413037179</v>
      </c>
      <c r="N5" s="34">
        <f t="shared" si="0"/>
        <v>0.18491183222815061</v>
      </c>
      <c r="O5" s="34">
        <f t="shared" si="0"/>
        <v>1.0906024390599085</v>
      </c>
      <c r="P5" s="34">
        <f t="shared" si="0"/>
        <v>0.13452728479716816</v>
      </c>
      <c r="Q5" s="37">
        <f>J5*'Externality Factors'!B$17</f>
        <v>483.71505493787521</v>
      </c>
      <c r="R5" s="37">
        <f>K5*'Externality Factors'!C$17</f>
        <v>0</v>
      </c>
      <c r="S5" s="37">
        <f>L5*'Externality Factors'!D$17</f>
        <v>107.90589285227119</v>
      </c>
      <c r="T5" s="37">
        <f>M5*'Externality Factors'!E$17</f>
        <v>35.7664955779058</v>
      </c>
      <c r="U5" s="37">
        <f>N5*'Externality Factors'!F$17</f>
        <v>56.447183443354653</v>
      </c>
      <c r="V5" s="37">
        <f>O5*'Externality Factors'!G$17</f>
        <v>61.971511839446592</v>
      </c>
      <c r="W5" s="37">
        <f>P5*'Externality Factors'!H$17</f>
        <v>92.074056650984716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48.739213237171441</v>
      </c>
      <c r="G6" s="56">
        <f>Input!G6</f>
        <v>0</v>
      </c>
      <c r="H6" s="14" t="str">
        <f>D6&amp;E6</f>
        <v>21</v>
      </c>
      <c r="I6" s="16">
        <f>F6*365*0.8</f>
        <v>14231.850265254061</v>
      </c>
      <c r="J6" s="36">
        <f t="shared" si="0"/>
        <v>15.85835983105663</v>
      </c>
      <c r="K6" s="34">
        <f t="shared" si="0"/>
        <v>25.779969515972997</v>
      </c>
      <c r="L6" s="34">
        <f t="shared" si="0"/>
        <v>6.2287370177146668</v>
      </c>
      <c r="M6" s="34">
        <f t="shared" si="0"/>
        <v>1.4119136570494624</v>
      </c>
      <c r="N6" s="34">
        <f t="shared" si="0"/>
        <v>0.24708488998365588</v>
      </c>
      <c r="O6" s="34">
        <f t="shared" si="0"/>
        <v>1.4572965960260518</v>
      </c>
      <c r="P6" s="34">
        <f t="shared" si="0"/>
        <v>0.1797595046427099</v>
      </c>
      <c r="Q6" s="37">
        <f>J6*'Externality Factors'!B$17</f>
        <v>646.35496654046813</v>
      </c>
      <c r="R6" s="37">
        <f>K6*'Externality Factors'!C$17</f>
        <v>0</v>
      </c>
      <c r="S6" s="37">
        <f>L6*'Externality Factors'!D$17</f>
        <v>144.18718014267034</v>
      </c>
      <c r="T6" s="37">
        <f>M6*'Externality Factors'!E$17</f>
        <v>47.792293865023886</v>
      </c>
      <c r="U6" s="37">
        <f>N6*'Externality Factors'!F$17</f>
        <v>75.426466456618812</v>
      </c>
      <c r="V6" s="37">
        <f>O6*'Externality Factors'!G$17</f>
        <v>82.80824434251312</v>
      </c>
      <c r="W6" s="37">
        <f>P6*'Externality Factors'!H$17</f>
        <v>123.03219260673153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35.421514362907701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10343.08219396905</v>
      </c>
      <c r="J7" s="36">
        <f t="shared" ref="J7:J70" si="3">$I7*Y7</f>
        <v>11.525157736841027</v>
      </c>
      <c r="K7" s="34">
        <f t="shared" ref="K7:K70" si="4">$I7*Z7</f>
        <v>18.73574684190687</v>
      </c>
      <c r="L7" s="34">
        <f t="shared" ref="L7:L70" si="5">$I7*AA7</f>
        <v>4.5267718348700861</v>
      </c>
      <c r="M7" s="34">
        <f t="shared" ref="M7:M70" si="6">$I7*AB7</f>
        <v>1.0261166843009446</v>
      </c>
      <c r="N7" s="34">
        <f t="shared" ref="N7:N70" si="7">$I7*AC7</f>
        <v>0.17957041975266533</v>
      </c>
      <c r="O7" s="34">
        <f t="shared" ref="O7:O70" si="8">$I7*AD7</f>
        <v>1.0590990062963319</v>
      </c>
      <c r="P7" s="34">
        <f t="shared" ref="P7:P70" si="9">$I7*AE7</f>
        <v>0.13064129378918243</v>
      </c>
      <c r="Q7" s="37">
        <f>J7*'Externality Factors'!B$17</f>
        <v>469.74233292278353</v>
      </c>
      <c r="R7" s="37">
        <f>K7*'Externality Factors'!C$17</f>
        <v>0</v>
      </c>
      <c r="S7" s="37">
        <f>L7*'Externality Factors'!D$17</f>
        <v>104.78889446815286</v>
      </c>
      <c r="T7" s="37">
        <f>M7*'Externality Factors'!E$17</f>
        <v>34.733335052794018</v>
      </c>
      <c r="U7" s="37">
        <f>N7*'Externality Factors'!F$17</f>
        <v>54.816635055957086</v>
      </c>
      <c r="V7" s="37">
        <f>O7*'Externality Factors'!G$17</f>
        <v>60.181386229445131</v>
      </c>
      <c r="W7" s="37">
        <f>P7*'Externality Factors'!H$17</f>
        <v>89.41438090748062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38.942508311456677</v>
      </c>
      <c r="G8" s="56">
        <f>Input!G8</f>
        <v>0</v>
      </c>
      <c r="H8" s="14" t="str">
        <f t="shared" si="1"/>
        <v>21</v>
      </c>
      <c r="I8" s="16">
        <f t="shared" si="2"/>
        <v>11371.212426945351</v>
      </c>
      <c r="J8" s="36">
        <f t="shared" si="3"/>
        <v>12.67078946313401</v>
      </c>
      <c r="K8" s="34">
        <f t="shared" si="4"/>
        <v>20.598130549616997</v>
      </c>
      <c r="L8" s="34">
        <f t="shared" si="5"/>
        <v>4.9767451497809265</v>
      </c>
      <c r="M8" s="34">
        <f t="shared" si="6"/>
        <v>1.1281154469431238</v>
      </c>
      <c r="N8" s="34">
        <f t="shared" si="7"/>
        <v>0.19742020321504666</v>
      </c>
      <c r="O8" s="34">
        <f t="shared" si="8"/>
        <v>1.1643763005948669</v>
      </c>
      <c r="P8" s="34">
        <f t="shared" si="9"/>
        <v>0.1436273903221981</v>
      </c>
      <c r="Q8" s="37">
        <f>J8*'Externality Factors'!B$17</f>
        <v>516.43598623903961</v>
      </c>
      <c r="R8" s="37">
        <f>K8*'Externality Factors'!C$17</f>
        <v>0</v>
      </c>
      <c r="S8" s="37">
        <f>L8*'Externality Factors'!D$17</f>
        <v>115.20519286571286</v>
      </c>
      <c r="T8" s="37">
        <f>M8*'Externality Factors'!E$17</f>
        <v>38.185922124053633</v>
      </c>
      <c r="U8" s="37">
        <f>N8*'Externality Factors'!F$17</f>
        <v>60.265556249285716</v>
      </c>
      <c r="V8" s="37">
        <f>O8*'Externality Factors'!G$17</f>
        <v>66.163578141348765</v>
      </c>
      <c r="W8" s="37">
        <f>P8*'Externality Factors'!H$17</f>
        <v>98.302411240203199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2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9.0971134972324172</v>
      </c>
      <c r="G9" s="56">
        <f>Input!G9</f>
        <v>0</v>
      </c>
      <c r="H9" s="14" t="str">
        <f t="shared" si="1"/>
        <v>21</v>
      </c>
      <c r="I9" s="16">
        <f t="shared" si="2"/>
        <v>2656.357141191866</v>
      </c>
      <c r="J9" s="36">
        <f t="shared" si="3"/>
        <v>2.9599431275400305</v>
      </c>
      <c r="K9" s="34">
        <f t="shared" si="4"/>
        <v>4.8117992282882547</v>
      </c>
      <c r="L9" s="34">
        <f t="shared" si="5"/>
        <v>1.162586013008275</v>
      </c>
      <c r="M9" s="34">
        <f t="shared" si="6"/>
        <v>0.26353192703315087</v>
      </c>
      <c r="N9" s="34">
        <f t="shared" si="7"/>
        <v>4.6118087230801401E-2</v>
      </c>
      <c r="O9" s="34">
        <f t="shared" si="8"/>
        <v>0.27200259611635924</v>
      </c>
      <c r="P9" s="34">
        <f t="shared" si="9"/>
        <v>3.3551887839950563E-2</v>
      </c>
      <c r="Q9" s="37">
        <f>J9*'Externality Factors'!B$17</f>
        <v>120.64135014871535</v>
      </c>
      <c r="R9" s="37">
        <f>K9*'Externality Factors'!C$17</f>
        <v>0</v>
      </c>
      <c r="S9" s="37">
        <f>L9*'Externality Factors'!D$17</f>
        <v>26.912357739976752</v>
      </c>
      <c r="T9" s="37">
        <f>M9*'Externality Factors'!E$17</f>
        <v>8.9203721748143394</v>
      </c>
      <c r="U9" s="37">
        <f>N9*'Externality Factors'!F$17</f>
        <v>14.078256099705486</v>
      </c>
      <c r="V9" s="37">
        <f>O9*'Externality Factors'!G$17</f>
        <v>15.456055755858452</v>
      </c>
      <c r="W9" s="37">
        <f>P9*'Externality Factors'!H$17</f>
        <v>22.963805642705747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38.559369851490601</v>
      </c>
      <c r="G10" s="56">
        <f>Input!G10</f>
        <v>0</v>
      </c>
      <c r="H10" s="14" t="str">
        <f t="shared" si="1"/>
        <v>21</v>
      </c>
      <c r="I10" s="16">
        <f t="shared" si="2"/>
        <v>11259.335996635256</v>
      </c>
      <c r="J10" s="36">
        <f t="shared" si="3"/>
        <v>12.546127057655848</v>
      </c>
      <c r="K10" s="34">
        <f t="shared" si="4"/>
        <v>20.395474471229807</v>
      </c>
      <c r="L10" s="34">
        <f t="shared" si="5"/>
        <v>4.9277811113815373</v>
      </c>
      <c r="M10" s="34">
        <f t="shared" si="6"/>
        <v>1.1170164080330245</v>
      </c>
      <c r="N10" s="34">
        <f t="shared" si="7"/>
        <v>0.19547787140577927</v>
      </c>
      <c r="O10" s="34">
        <f t="shared" si="8"/>
        <v>1.1529205068626571</v>
      </c>
      <c r="P10" s="34">
        <f t="shared" si="9"/>
        <v>0.14221430268293053</v>
      </c>
      <c r="Q10" s="37">
        <f>J10*'Externality Factors'!B$17</f>
        <v>511.35499641536984</v>
      </c>
      <c r="R10" s="37">
        <f>K10*'Externality Factors'!C$17</f>
        <v>0</v>
      </c>
      <c r="S10" s="37">
        <f>L10*'Externality Factors'!D$17</f>
        <v>114.07173890785164</v>
      </c>
      <c r="T10" s="37">
        <f>M10*'Externality Factors'!E$17</f>
        <v>37.810227387649348</v>
      </c>
      <c r="U10" s="37">
        <f>N10*'Externality Factors'!F$17</f>
        <v>59.672629562959322</v>
      </c>
      <c r="V10" s="37">
        <f>O10*'Externality Factors'!G$17</f>
        <v>65.512623374075503</v>
      </c>
      <c r="W10" s="37">
        <f>P10*'Externality Factors'!H$17</f>
        <v>97.335256424383516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37.569393419331426</v>
      </c>
      <c r="G11" s="56">
        <f>Input!G11</f>
        <v>0</v>
      </c>
      <c r="H11" s="14" t="str">
        <f t="shared" si="1"/>
        <v>21</v>
      </c>
      <c r="I11" s="16">
        <f t="shared" si="2"/>
        <v>10970.262878444777</v>
      </c>
      <c r="J11" s="36">
        <f t="shared" si="3"/>
        <v>12.224016759956735</v>
      </c>
      <c r="K11" s="34">
        <f t="shared" si="4"/>
        <v>19.871839382612269</v>
      </c>
      <c r="L11" s="34">
        <f t="shared" si="5"/>
        <v>4.801264853935014</v>
      </c>
      <c r="M11" s="34">
        <f t="shared" si="6"/>
        <v>1.0883380369251252</v>
      </c>
      <c r="N11" s="34">
        <f t="shared" si="7"/>
        <v>0.19045915646189687</v>
      </c>
      <c r="O11" s="34">
        <f t="shared" si="8"/>
        <v>1.1233203309691466</v>
      </c>
      <c r="P11" s="34">
        <f t="shared" si="9"/>
        <v>0.13856308098210157</v>
      </c>
      <c r="Q11" s="37">
        <f>J11*'Externality Factors'!B$17</f>
        <v>498.22642619060287</v>
      </c>
      <c r="R11" s="37">
        <f>K11*'Externality Factors'!C$17</f>
        <v>0</v>
      </c>
      <c r="S11" s="37">
        <f>L11*'Externality Factors'!D$17</f>
        <v>111.14305170344124</v>
      </c>
      <c r="T11" s="37">
        <f>M11*'Externality Factors'!E$17</f>
        <v>36.839484500706007</v>
      </c>
      <c r="U11" s="37">
        <f>N11*'Externality Factors'!F$17</f>
        <v>58.140589564903927</v>
      </c>
      <c r="V11" s="37">
        <f>O11*'Externality Factors'!G$17</f>
        <v>63.830646894712778</v>
      </c>
      <c r="W11" s="37">
        <f>P11*'Externality Factors'!H$17</f>
        <v>94.836263047431729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53.693945251890923</v>
      </c>
      <c r="G12" s="56">
        <f>Input!G12</f>
        <v>0</v>
      </c>
      <c r="H12" s="14" t="str">
        <f t="shared" si="1"/>
        <v>21</v>
      </c>
      <c r="I12" s="16">
        <f t="shared" si="2"/>
        <v>15678.632013552151</v>
      </c>
      <c r="J12" s="36">
        <f t="shared" si="3"/>
        <v>17.470489324684824</v>
      </c>
      <c r="K12" s="34">
        <f t="shared" si="4"/>
        <v>28.400710225875699</v>
      </c>
      <c r="L12" s="34">
        <f t="shared" si="5"/>
        <v>6.8619381029017008</v>
      </c>
      <c r="M12" s="34">
        <f t="shared" si="6"/>
        <v>1.5554460067523774</v>
      </c>
      <c r="N12" s="34">
        <f t="shared" si="7"/>
        <v>0.27220305118166604</v>
      </c>
      <c r="O12" s="34">
        <f t="shared" si="8"/>
        <v>1.6054424855408462</v>
      </c>
      <c r="P12" s="34">
        <f t="shared" si="9"/>
        <v>0.19803350033216188</v>
      </c>
      <c r="Q12" s="37">
        <f>J12*'Externality Factors'!B$17</f>
        <v>712.06213399118462</v>
      </c>
      <c r="R12" s="37">
        <f>K12*'Externality Factors'!C$17</f>
        <v>0</v>
      </c>
      <c r="S12" s="37">
        <f>L12*'Externality Factors'!D$17</f>
        <v>158.84496368317613</v>
      </c>
      <c r="T12" s="37">
        <f>M12*'Externality Factors'!E$17</f>
        <v>52.650763929315346</v>
      </c>
      <c r="U12" s="37">
        <f>N12*'Externality Factors'!F$17</f>
        <v>83.094171847988477</v>
      </c>
      <c r="V12" s="37">
        <f>O12*'Externality Factors'!G$17</f>
        <v>91.226366673089643</v>
      </c>
      <c r="W12" s="37">
        <f>P12*'Externality Factors'!H$17</f>
        <v>135.53940195751352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39.445680656032366</v>
      </c>
      <c r="G13" s="56">
        <f>Input!G13</f>
        <v>0</v>
      </c>
      <c r="H13" s="14" t="str">
        <f t="shared" si="1"/>
        <v>21</v>
      </c>
      <c r="I13" s="16">
        <f t="shared" si="2"/>
        <v>11518.138751561451</v>
      </c>
      <c r="J13" s="36">
        <f t="shared" si="3"/>
        <v>12.834507495644885</v>
      </c>
      <c r="K13" s="34">
        <f t="shared" si="4"/>
        <v>20.86427698167612</v>
      </c>
      <c r="L13" s="34">
        <f t="shared" si="5"/>
        <v>5.0410491875522743</v>
      </c>
      <c r="M13" s="34">
        <f t="shared" si="6"/>
        <v>1.1426917163978427</v>
      </c>
      <c r="N13" s="34">
        <f t="shared" si="7"/>
        <v>0.19997105036962248</v>
      </c>
      <c r="O13" s="34">
        <f t="shared" si="8"/>
        <v>1.1794210929963445</v>
      </c>
      <c r="P13" s="34">
        <f t="shared" si="9"/>
        <v>0.14548318579781841</v>
      </c>
      <c r="Q13" s="37">
        <f>J13*'Externality Factors'!B$17</f>
        <v>523.1088051530362</v>
      </c>
      <c r="R13" s="37">
        <f>K13*'Externality Factors'!C$17</f>
        <v>0</v>
      </c>
      <c r="S13" s="37">
        <f>L13*'Externality Factors'!D$17</f>
        <v>116.69374790530902</v>
      </c>
      <c r="T13" s="37">
        <f>M13*'Externality Factors'!E$17</f>
        <v>38.679318692432666</v>
      </c>
      <c r="U13" s="37">
        <f>N13*'Externality Factors'!F$17</f>
        <v>61.044241612657395</v>
      </c>
      <c r="V13" s="37">
        <f>O13*'Externality Factors'!G$17</f>
        <v>67.018471269255087</v>
      </c>
      <c r="W13" s="37">
        <f>P13*'Externality Factors'!H$17</f>
        <v>99.572567090092932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3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47.330330672359494</v>
      </c>
      <c r="G14" s="56">
        <f>Input!G14</f>
        <v>0</v>
      </c>
      <c r="H14" s="14" t="str">
        <f t="shared" si="1"/>
        <v>21</v>
      </c>
      <c r="I14" s="16">
        <f t="shared" si="2"/>
        <v>13820.456556328973</v>
      </c>
      <c r="J14" s="36">
        <f t="shared" si="3"/>
        <v>15.399949340026176</v>
      </c>
      <c r="K14" s="34">
        <f t="shared" si="4"/>
        <v>25.034759506207443</v>
      </c>
      <c r="L14" s="34">
        <f t="shared" si="5"/>
        <v>6.0486857119548887</v>
      </c>
      <c r="M14" s="34">
        <f t="shared" si="6"/>
        <v>1.3711001025762488</v>
      </c>
      <c r="N14" s="34">
        <f t="shared" si="7"/>
        <v>0.23994251795084354</v>
      </c>
      <c r="O14" s="34">
        <f t="shared" si="8"/>
        <v>1.4151711773019136</v>
      </c>
      <c r="P14" s="34">
        <f t="shared" si="9"/>
        <v>0.17456327731097296</v>
      </c>
      <c r="Q14" s="37">
        <f>J14*'Externality Factors'!B$17</f>
        <v>627.6710735812776</v>
      </c>
      <c r="R14" s="37">
        <f>K14*'Externality Factors'!C$17</f>
        <v>0</v>
      </c>
      <c r="S14" s="37">
        <f>L14*'Externality Factors'!D$17</f>
        <v>140.01922603180094</v>
      </c>
      <c r="T14" s="37">
        <f>M14*'Externality Factors'!E$17</f>
        <v>46.410783473562567</v>
      </c>
      <c r="U14" s="37">
        <f>N14*'Externality Factors'!F$17</f>
        <v>73.246147439178088</v>
      </c>
      <c r="V14" s="37">
        <f>O14*'Externality Factors'!G$17</f>
        <v>80.41454358437538</v>
      </c>
      <c r="W14" s="37">
        <f>P14*'Externality Factors'!H$17</f>
        <v>119.47575622704022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3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12.436844155386048</v>
      </c>
      <c r="G15" s="56">
        <f>Input!G15</f>
        <v>0</v>
      </c>
      <c r="H15" s="14" t="str">
        <f t="shared" si="1"/>
        <v>21</v>
      </c>
      <c r="I15" s="16">
        <f t="shared" si="2"/>
        <v>3631.5584933727259</v>
      </c>
      <c r="J15" s="36">
        <f t="shared" si="3"/>
        <v>4.0465969120007808</v>
      </c>
      <c r="K15" s="34">
        <f t="shared" si="4"/>
        <v>6.5783060887867206</v>
      </c>
      <c r="L15" s="34">
        <f t="shared" si="5"/>
        <v>1.5893943793725682</v>
      </c>
      <c r="M15" s="34">
        <f t="shared" si="6"/>
        <v>0.36027972031754563</v>
      </c>
      <c r="N15" s="34">
        <f t="shared" si="7"/>
        <v>6.3048951055570485E-2</v>
      </c>
      <c r="O15" s="34">
        <f t="shared" si="8"/>
        <v>0.37186013989918093</v>
      </c>
      <c r="P15" s="34">
        <f t="shared" si="9"/>
        <v>4.5869450822110198E-2</v>
      </c>
      <c r="Q15" s="37">
        <f>J15*'Externality Factors'!B$17</f>
        <v>164.93118074776055</v>
      </c>
      <c r="R15" s="37">
        <f>K15*'Externality Factors'!C$17</f>
        <v>0</v>
      </c>
      <c r="S15" s="37">
        <f>L15*'Externality Factors'!D$17</f>
        <v>36.792417635320739</v>
      </c>
      <c r="T15" s="37">
        <f>M15*'Externality Factors'!E$17</f>
        <v>12.195217590718123</v>
      </c>
      <c r="U15" s="37">
        <f>N15*'Externality Factors'!F$17</f>
        <v>19.24666292719299</v>
      </c>
      <c r="V15" s="37">
        <f>O15*'Externality Factors'!G$17</f>
        <v>21.130280143371724</v>
      </c>
      <c r="W15" s="37">
        <f>P15*'Externality Factors'!H$17</f>
        <v>31.394273807817424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8.3544796151779259</v>
      </c>
      <c r="G16" s="56">
        <f>Input!G16</f>
        <v>0</v>
      </c>
      <c r="H16" s="14" t="str">
        <f t="shared" si="1"/>
        <v>21</v>
      </c>
      <c r="I16" s="16">
        <f t="shared" si="2"/>
        <v>2439.5080476319545</v>
      </c>
      <c r="J16" s="36">
        <f t="shared" si="3"/>
        <v>2.7183110916053019</v>
      </c>
      <c r="K16" s="34">
        <f t="shared" si="4"/>
        <v>4.4189927472371346</v>
      </c>
      <c r="L16" s="34">
        <f t="shared" si="5"/>
        <v>1.0676794512373078</v>
      </c>
      <c r="M16" s="34">
        <f t="shared" si="6"/>
        <v>0.24201875825961966</v>
      </c>
      <c r="N16" s="34">
        <f t="shared" si="7"/>
        <v>4.2353282695433439E-2</v>
      </c>
      <c r="O16" s="34">
        <f t="shared" si="8"/>
        <v>0.24979793263225022</v>
      </c>
      <c r="P16" s="34">
        <f t="shared" si="9"/>
        <v>3.0812912589787998E-2</v>
      </c>
      <c r="Q16" s="37">
        <f>J16*'Externality Factors'!B$17</f>
        <v>110.79291259492511</v>
      </c>
      <c r="R16" s="37">
        <f>K16*'Externality Factors'!C$17</f>
        <v>0</v>
      </c>
      <c r="S16" s="37">
        <f>L16*'Externality Factors'!D$17</f>
        <v>24.715393976717291</v>
      </c>
      <c r="T16" s="37">
        <f>M16*'Externality Factors'!E$17</f>
        <v>8.1921663961826212</v>
      </c>
      <c r="U16" s="37">
        <f>N16*'Externality Factors'!F$17</f>
        <v>12.928991557379803</v>
      </c>
      <c r="V16" s="37">
        <f>O16*'Externality Factors'!G$17</f>
        <v>14.194315898406327</v>
      </c>
      <c r="W16" s="37">
        <f>P16*'Externality Factors'!H$17</f>
        <v>21.089178032928686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35.014732865063976</v>
      </c>
      <c r="G17" s="56">
        <f>Input!G17</f>
        <v>0</v>
      </c>
      <c r="H17" s="14" t="str">
        <f t="shared" si="1"/>
        <v>21</v>
      </c>
      <c r="I17" s="16">
        <f t="shared" si="2"/>
        <v>10224.301996598682</v>
      </c>
      <c r="J17" s="36">
        <f t="shared" si="3"/>
        <v>11.39280255634127</v>
      </c>
      <c r="K17" s="34">
        <f t="shared" si="4"/>
        <v>18.52058508779642</v>
      </c>
      <c r="L17" s="34">
        <f t="shared" si="5"/>
        <v>4.4747862814428867</v>
      </c>
      <c r="M17" s="34">
        <f t="shared" si="6"/>
        <v>1.0143327363441779</v>
      </c>
      <c r="N17" s="34">
        <f t="shared" si="7"/>
        <v>0.1775082288602311</v>
      </c>
      <c r="O17" s="34">
        <f t="shared" si="8"/>
        <v>1.0469362885838118</v>
      </c>
      <c r="P17" s="34">
        <f t="shared" si="9"/>
        <v>0.12914100612154236</v>
      </c>
      <c r="Q17" s="37">
        <f>J17*'Externality Factors'!B$17</f>
        <v>464.34780100556452</v>
      </c>
      <c r="R17" s="37">
        <f>K17*'Externality Factors'!C$17</f>
        <v>0</v>
      </c>
      <c r="S17" s="37">
        <f>L17*'Externality Factors'!D$17</f>
        <v>103.5854963578287</v>
      </c>
      <c r="T17" s="37">
        <f>M17*'Externality Factors'!E$17</f>
        <v>34.334456622212898</v>
      </c>
      <c r="U17" s="37">
        <f>N17*'Externality Factors'!F$17</f>
        <v>54.187119539303588</v>
      </c>
      <c r="V17" s="37">
        <f>O17*'Externality Factors'!G$17</f>
        <v>59.490261785077479</v>
      </c>
      <c r="W17" s="37">
        <f>P17*'Externality Factors'!H$17</f>
        <v>88.387544069798651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33.377907165841826</v>
      </c>
      <c r="G18" s="56">
        <f>Input!G18</f>
        <v>0</v>
      </c>
      <c r="H18" s="14" t="str">
        <f t="shared" si="1"/>
        <v>21</v>
      </c>
      <c r="I18" s="16">
        <f t="shared" si="2"/>
        <v>9746.3488924258127</v>
      </c>
      <c r="J18" s="36">
        <f t="shared" si="3"/>
        <v>10.860225824076966</v>
      </c>
      <c r="K18" s="34">
        <f t="shared" si="4"/>
        <v>17.654807537724558</v>
      </c>
      <c r="L18" s="34">
        <f t="shared" si="5"/>
        <v>4.2656044718252435</v>
      </c>
      <c r="M18" s="34">
        <f t="shared" si="6"/>
        <v>0.96691595619027193</v>
      </c>
      <c r="N18" s="34">
        <f t="shared" si="7"/>
        <v>0.16921029233329757</v>
      </c>
      <c r="O18" s="34">
        <f t="shared" si="8"/>
        <v>0.99799539763924461</v>
      </c>
      <c r="P18" s="34">
        <f t="shared" si="9"/>
        <v>0.1231040810803677</v>
      </c>
      <c r="Q18" s="37">
        <f>J18*'Externality Factors'!B$17</f>
        <v>442.64104068292465</v>
      </c>
      <c r="R18" s="37">
        <f>K18*'Externality Factors'!C$17</f>
        <v>0</v>
      </c>
      <c r="S18" s="37">
        <f>L18*'Externality Factors'!D$17</f>
        <v>98.743208879624149</v>
      </c>
      <c r="T18" s="37">
        <f>M18*'Externality Factors'!E$17</f>
        <v>32.729431640738895</v>
      </c>
      <c r="U18" s="37">
        <f>N18*'Externality Factors'!F$17</f>
        <v>51.654046670504101</v>
      </c>
      <c r="V18" s="37">
        <f>O18*'Externality Factors'!G$17</f>
        <v>56.709284140080932</v>
      </c>
      <c r="W18" s="37">
        <f>P18*'Externality Factors'!H$17</f>
        <v>84.255711787024708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43.294039744425774</v>
      </c>
      <c r="G19" s="56">
        <f>Input!G19</f>
        <v>0</v>
      </c>
      <c r="H19" s="14" t="str">
        <f t="shared" si="1"/>
        <v>21</v>
      </c>
      <c r="I19" s="16">
        <f t="shared" si="2"/>
        <v>12641.859605372327</v>
      </c>
      <c r="J19" s="36">
        <f t="shared" si="3"/>
        <v>14.086654568390729</v>
      </c>
      <c r="K19" s="34">
        <f t="shared" si="4"/>
        <v>22.899816199400622</v>
      </c>
      <c r="L19" s="34">
        <f t="shared" si="5"/>
        <v>5.5328588643866432</v>
      </c>
      <c r="M19" s="34">
        <f t="shared" si="6"/>
        <v>1.2541738350708032</v>
      </c>
      <c r="N19" s="34">
        <f t="shared" si="7"/>
        <v>0.21948042113739055</v>
      </c>
      <c r="O19" s="34">
        <f t="shared" si="8"/>
        <v>1.2944865654837929</v>
      </c>
      <c r="P19" s="34">
        <f t="shared" si="9"/>
        <v>0.15967666733906902</v>
      </c>
      <c r="Q19" s="37">
        <f>J19*'Externality Factors'!B$17</f>
        <v>574.14381053382021</v>
      </c>
      <c r="R19" s="37">
        <f>K19*'Externality Factors'!C$17</f>
        <v>0</v>
      </c>
      <c r="S19" s="37">
        <f>L19*'Externality Factors'!D$17</f>
        <v>128.07850379850993</v>
      </c>
      <c r="T19" s="37">
        <f>M19*'Externality Factors'!E$17</f>
        <v>42.452910759987077</v>
      </c>
      <c r="U19" s="37">
        <f>N19*'Externality Factors'!F$17</f>
        <v>66.999777379745936</v>
      </c>
      <c r="V19" s="37">
        <f>O19*'Externality Factors'!G$17</f>
        <v>73.556858710158039</v>
      </c>
      <c r="W19" s="37">
        <f>P19*'Externality Factors'!H$17</f>
        <v>109.28696387937032</v>
      </c>
      <c r="Y19" s="33">
        <f>VLOOKUP(H19,'Emssions Factors'!$F$6:$M$18,2,TRUE)</f>
        <v>1.1142865850530738E-3</v>
      </c>
      <c r="Z19" s="33">
        <f>VLOOKUP(H19,'Emssions Factors'!$F$6:$M$18,3,TRUE)</f>
        <v>1.8114278210833033E-3</v>
      </c>
      <c r="AA19" s="33">
        <f>VLOOKUP(H19,'Emssions Factors'!$F$6:$M$18,4,TRUE)</f>
        <v>4.3766178688105201E-4</v>
      </c>
      <c r="AB19" s="33">
        <f>VLOOKUP(H19,'Emssions Factors'!$F$6:$M$18,5,TRUE)</f>
        <v>9.9208017983194919E-5</v>
      </c>
      <c r="AC19" s="33">
        <f>VLOOKUP(H19,'Emssions Factors'!$F$6:$M$18,6,TRUE)</f>
        <v>1.736140314705911E-5</v>
      </c>
      <c r="AD19" s="33">
        <f>VLOOKUP(H19,'Emssions Factors'!$F$6:$M$18,7,TRUE)</f>
        <v>1.0239684713265473E-4</v>
      </c>
      <c r="AE19" s="33">
        <f>VLOOKUP(H19,'Emssions Factors'!$F$6:$M$18,8,TRUE)</f>
        <v>1.2630789482206579E-5</v>
      </c>
    </row>
    <row r="20" spans="2:31">
      <c r="B20" s="56">
        <f>Input!B20</f>
        <v>1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43.91663974187064</v>
      </c>
      <c r="G20" s="56">
        <f>Input!G20</f>
        <v>0</v>
      </c>
      <c r="H20" s="14" t="str">
        <f t="shared" si="1"/>
        <v>21</v>
      </c>
      <c r="I20" s="16">
        <f t="shared" si="2"/>
        <v>12823.658804626228</v>
      </c>
      <c r="J20" s="36">
        <f t="shared" si="3"/>
        <v>14.289230977292743</v>
      </c>
      <c r="K20" s="34">
        <f t="shared" si="4"/>
        <v>23.229132326779805</v>
      </c>
      <c r="L20" s="34">
        <f t="shared" si="5"/>
        <v>5.6124254267856504</v>
      </c>
      <c r="M20" s="34">
        <f t="shared" si="6"/>
        <v>1.2722097732997146</v>
      </c>
      <c r="N20" s="34">
        <f t="shared" si="7"/>
        <v>0.22263671032745005</v>
      </c>
      <c r="O20" s="34">
        <f t="shared" si="8"/>
        <v>1.3131022302986337</v>
      </c>
      <c r="P20" s="34">
        <f t="shared" si="9"/>
        <v>0.16197293475287874</v>
      </c>
      <c r="Q20" s="37">
        <f>J20*'Externality Factors'!B$17</f>
        <v>582.40041899728351</v>
      </c>
      <c r="R20" s="37">
        <f>K20*'Externality Factors'!C$17</f>
        <v>0</v>
      </c>
      <c r="S20" s="37">
        <f>L20*'Externality Factors'!D$17</f>
        <v>129.9203664800344</v>
      </c>
      <c r="T20" s="37">
        <f>M20*'Externality Factors'!E$17</f>
        <v>43.063414706644039</v>
      </c>
      <c r="U20" s="37">
        <f>N20*'Externality Factors'!F$17</f>
        <v>67.963283245026318</v>
      </c>
      <c r="V20" s="37">
        <f>O20*'Externality Factors'!G$17</f>
        <v>74.614660206977078</v>
      </c>
      <c r="W20" s="37">
        <f>P20*'Externality Factors'!H$17</f>
        <v>110.85859045507726</v>
      </c>
      <c r="Y20" s="33">
        <f>VLOOKUP(H20,'Emssions Factors'!$F$6:$M$18,2,TRUE)</f>
        <v>1.1142865850530738E-3</v>
      </c>
      <c r="Z20" s="33">
        <f>VLOOKUP(H20,'Emssions Factors'!$F$6:$M$18,3,TRUE)</f>
        <v>1.8114278210833033E-3</v>
      </c>
      <c r="AA20" s="33">
        <f>VLOOKUP(H20,'Emssions Factors'!$F$6:$M$18,4,TRUE)</f>
        <v>4.3766178688105201E-4</v>
      </c>
      <c r="AB20" s="33">
        <f>VLOOKUP(H20,'Emssions Factors'!$F$6:$M$18,5,TRUE)</f>
        <v>9.9208017983194919E-5</v>
      </c>
      <c r="AC20" s="33">
        <f>VLOOKUP(H20,'Emssions Factors'!$F$6:$M$18,6,TRUE)</f>
        <v>1.736140314705911E-5</v>
      </c>
      <c r="AD20" s="33">
        <f>VLOOKUP(H20,'Emssions Factors'!$F$6:$M$18,7,TRUE)</f>
        <v>1.0239684713265473E-4</v>
      </c>
      <c r="AE20" s="33">
        <f>VLOOKUP(H20,'Emssions Factors'!$F$6:$M$18,8,TRUE)</f>
        <v>1.2630789482206579E-5</v>
      </c>
    </row>
    <row r="21" spans="2:31">
      <c r="B21" s="56">
        <f>Input!B21</f>
        <v>1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8.9752609174014353</v>
      </c>
      <c r="G21" s="56">
        <f>Input!G21</f>
        <v>0</v>
      </c>
      <c r="H21" s="14" t="str">
        <f t="shared" si="1"/>
        <v>21</v>
      </c>
      <c r="I21" s="16">
        <f t="shared" si="2"/>
        <v>2620.7761878812194</v>
      </c>
      <c r="J21" s="36">
        <f t="shared" si="3"/>
        <v>2.9202957485825771</v>
      </c>
      <c r="K21" s="34">
        <f t="shared" si="4"/>
        <v>4.7473468995606831</v>
      </c>
      <c r="L21" s="34">
        <f t="shared" si="5"/>
        <v>1.1470135894034061</v>
      </c>
      <c r="M21" s="34">
        <f t="shared" si="6"/>
        <v>0.26000201117724903</v>
      </c>
      <c r="N21" s="34">
        <f t="shared" si="7"/>
        <v>4.5500351956018578E-2</v>
      </c>
      <c r="O21" s="34">
        <f t="shared" si="8"/>
        <v>0.26835921867937484</v>
      </c>
      <c r="P21" s="34">
        <f t="shared" si="9"/>
        <v>3.310247230910756E-2</v>
      </c>
      <c r="Q21" s="37">
        <f>J21*'Externality Factors'!B$17</f>
        <v>119.02540243580772</v>
      </c>
      <c r="R21" s="37">
        <f>K21*'Externality Factors'!C$17</f>
        <v>0</v>
      </c>
      <c r="S21" s="37">
        <f>L21*'Externality Factors'!D$17</f>
        <v>26.551876338821529</v>
      </c>
      <c r="T21" s="37">
        <f>M21*'Externality Factors'!E$17</f>
        <v>8.8008869817490538</v>
      </c>
      <c r="U21" s="37">
        <f>N21*'Externality Factors'!F$17</f>
        <v>13.889682897250415</v>
      </c>
      <c r="V21" s="37">
        <f>O21*'Externality Factors'!G$17</f>
        <v>15.249027420064268</v>
      </c>
      <c r="W21" s="37">
        <f>P21*'Externality Factors'!H$17</f>
        <v>22.65621368387702</v>
      </c>
      <c r="Y21" s="33">
        <f>VLOOKUP(H21,'Emssions Factors'!$F$6:$M$18,2,TRUE)</f>
        <v>1.1142865850530738E-3</v>
      </c>
      <c r="Z21" s="33">
        <f>VLOOKUP(H21,'Emssions Factors'!$F$6:$M$18,3,TRUE)</f>
        <v>1.8114278210833033E-3</v>
      </c>
      <c r="AA21" s="33">
        <f>VLOOKUP(H21,'Emssions Factors'!$F$6:$M$18,4,TRUE)</f>
        <v>4.3766178688105201E-4</v>
      </c>
      <c r="AB21" s="33">
        <f>VLOOKUP(H21,'Emssions Factors'!$F$6:$M$18,5,TRUE)</f>
        <v>9.9208017983194919E-5</v>
      </c>
      <c r="AC21" s="33">
        <f>VLOOKUP(H21,'Emssions Factors'!$F$6:$M$18,6,TRUE)</f>
        <v>1.736140314705911E-5</v>
      </c>
      <c r="AD21" s="33">
        <f>VLOOKUP(H21,'Emssions Factors'!$F$6:$M$18,7,TRUE)</f>
        <v>1.0239684713265473E-4</v>
      </c>
      <c r="AE21" s="33">
        <f>VLOOKUP(H21,'Emssions Factors'!$F$6:$M$18,8,TRUE)</f>
        <v>1.2630789482206579E-5</v>
      </c>
    </row>
    <row r="22" spans="2:3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24.280793668609409</v>
      </c>
      <c r="G22" s="56">
        <f>Input!G22</f>
        <v>0</v>
      </c>
      <c r="H22" s="14" t="str">
        <f t="shared" si="1"/>
        <v>21</v>
      </c>
      <c r="I22" s="16">
        <f t="shared" si="2"/>
        <v>7089.9917512339471</v>
      </c>
      <c r="J22" s="36">
        <f t="shared" si="3"/>
        <v>7.9002826965369373</v>
      </c>
      <c r="K22" s="34">
        <f t="shared" si="4"/>
        <v>12.843008309436303</v>
      </c>
      <c r="L22" s="34">
        <f t="shared" si="5"/>
        <v>3.1030184588169685</v>
      </c>
      <c r="M22" s="34">
        <f t="shared" si="6"/>
        <v>0.70338402915712106</v>
      </c>
      <c r="N22" s="34">
        <f t="shared" si="7"/>
        <v>0.12309220510249617</v>
      </c>
      <c r="O22" s="34">
        <f t="shared" si="8"/>
        <v>0.72599280152288548</v>
      </c>
      <c r="P22" s="34">
        <f t="shared" si="9"/>
        <v>8.9552193240417147E-2</v>
      </c>
      <c r="Q22" s="37">
        <f>J22*'Externality Factors'!B$17</f>
        <v>321.99969053420938</v>
      </c>
      <c r="R22" s="37">
        <f>K22*'Externality Factors'!C$17</f>
        <v>0</v>
      </c>
      <c r="S22" s="37">
        <f>L22*'Externality Factors'!D$17</f>
        <v>71.830851139647393</v>
      </c>
      <c r="T22" s="37">
        <f>M22*'Externality Factors'!E$17</f>
        <v>23.809059465924555</v>
      </c>
      <c r="U22" s="37">
        <f>N22*'Externality Factors'!F$17</f>
        <v>37.575790570798617</v>
      </c>
      <c r="V22" s="37">
        <f>O22*'Externality Factors'!G$17</f>
        <v>41.253228384222489</v>
      </c>
      <c r="W22" s="37">
        <f>P22*'Externality Factors'!H$17</f>
        <v>61.291906144318965</v>
      </c>
      <c r="Y22" s="33">
        <f>VLOOKUP(H22,'Emssions Factors'!$F$6:$M$18,2,TRUE)</f>
        <v>1.1142865850530738E-3</v>
      </c>
      <c r="Z22" s="33">
        <f>VLOOKUP(H22,'Emssions Factors'!$F$6:$M$18,3,TRUE)</f>
        <v>1.8114278210833033E-3</v>
      </c>
      <c r="AA22" s="33">
        <f>VLOOKUP(H22,'Emssions Factors'!$F$6:$M$18,4,TRUE)</f>
        <v>4.3766178688105201E-4</v>
      </c>
      <c r="AB22" s="33">
        <f>VLOOKUP(H22,'Emssions Factors'!$F$6:$M$18,5,TRUE)</f>
        <v>9.9208017983194919E-5</v>
      </c>
      <c r="AC22" s="33">
        <f>VLOOKUP(H22,'Emssions Factors'!$F$6:$M$18,6,TRUE)</f>
        <v>1.736140314705911E-5</v>
      </c>
      <c r="AD22" s="33">
        <f>VLOOKUP(H22,'Emssions Factors'!$F$6:$M$18,7,TRUE)</f>
        <v>1.0239684713265473E-4</v>
      </c>
      <c r="AE22" s="33">
        <f>VLOOKUP(H22,'Emssions Factors'!$F$6:$M$18,8,TRUE)</f>
        <v>1.2630789482206579E-5</v>
      </c>
    </row>
    <row r="23" spans="2:3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33.304553125247054</v>
      </c>
      <c r="G23" s="56">
        <f>Input!G23</f>
        <v>0</v>
      </c>
      <c r="H23" s="14" t="str">
        <f t="shared" si="1"/>
        <v>21</v>
      </c>
      <c r="I23" s="16">
        <f t="shared" si="2"/>
        <v>9724.9295125721401</v>
      </c>
      <c r="J23" s="36">
        <f t="shared" si="3"/>
        <v>10.836358496445865</v>
      </c>
      <c r="K23" s="34">
        <f t="shared" si="4"/>
        <v>17.616007877147261</v>
      </c>
      <c r="L23" s="34">
        <f t="shared" si="5"/>
        <v>4.2562300277646008</v>
      </c>
      <c r="M23" s="34">
        <f t="shared" si="6"/>
        <v>0.96479098196855984</v>
      </c>
      <c r="N23" s="34">
        <f t="shared" si="7"/>
        <v>0.16883842184449796</v>
      </c>
      <c r="O23" s="34">
        <f t="shared" si="8"/>
        <v>0.99580212067469187</v>
      </c>
      <c r="P23" s="34">
        <f t="shared" si="9"/>
        <v>0.12283353740259655</v>
      </c>
      <c r="Q23" s="37">
        <f>J23*'Externality Factors'!B$17</f>
        <v>441.66825623883608</v>
      </c>
      <c r="R23" s="37">
        <f>K23*'Externality Factors'!C$17</f>
        <v>0</v>
      </c>
      <c r="S23" s="37">
        <f>L23*'Externality Factors'!D$17</f>
        <v>98.526202663008306</v>
      </c>
      <c r="T23" s="37">
        <f>M23*'Externality Factors'!E$17</f>
        <v>32.657502743420984</v>
      </c>
      <c r="U23" s="37">
        <f>N23*'Externality Factors'!F$17</f>
        <v>51.540527478976422</v>
      </c>
      <c r="V23" s="37">
        <f>O23*'Externality Factors'!G$17</f>
        <v>56.584655141916279</v>
      </c>
      <c r="W23" s="37">
        <f>P23*'Externality Factors'!H$17</f>
        <v>84.070544488426322</v>
      </c>
      <c r="Y23" s="33">
        <f>VLOOKUP(H23,'Emssions Factors'!$F$6:$M$18,2,TRUE)</f>
        <v>1.1142865850530738E-3</v>
      </c>
      <c r="Z23" s="33">
        <f>VLOOKUP(H23,'Emssions Factors'!$F$6:$M$18,3,TRUE)</f>
        <v>1.8114278210833033E-3</v>
      </c>
      <c r="AA23" s="33">
        <f>VLOOKUP(H23,'Emssions Factors'!$F$6:$M$18,4,TRUE)</f>
        <v>4.3766178688105201E-4</v>
      </c>
      <c r="AB23" s="33">
        <f>VLOOKUP(H23,'Emssions Factors'!$F$6:$M$18,5,TRUE)</f>
        <v>9.9208017983194919E-5</v>
      </c>
      <c r="AC23" s="33">
        <f>VLOOKUP(H23,'Emssions Factors'!$F$6:$M$18,6,TRUE)</f>
        <v>1.736140314705911E-5</v>
      </c>
      <c r="AD23" s="33">
        <f>VLOOKUP(H23,'Emssions Factors'!$F$6:$M$18,7,TRUE)</f>
        <v>1.0239684713265473E-4</v>
      </c>
      <c r="AE23" s="33">
        <f>VLOOKUP(H23,'Emssions Factors'!$F$6:$M$18,8,TRUE)</f>
        <v>1.2630789482206579E-5</v>
      </c>
    </row>
    <row r="24" spans="2:31">
      <c r="B24" s="56">
        <f>Input!B24</f>
        <v>4</v>
      </c>
      <c r="C24" s="56">
        <f>Input!C24</f>
        <v>21</v>
      </c>
      <c r="D24" s="56">
        <f>Input!D24</f>
        <v>2</v>
      </c>
      <c r="E24" s="56">
        <f>Input!E24</f>
        <v>1</v>
      </c>
      <c r="F24" s="56">
        <f>Input!F24</f>
        <v>54.651791401806108</v>
      </c>
      <c r="G24" s="56">
        <f>Input!G24</f>
        <v>0</v>
      </c>
      <c r="H24" s="14" t="str">
        <f t="shared" si="1"/>
        <v>21</v>
      </c>
      <c r="I24" s="16">
        <f t="shared" si="2"/>
        <v>15958.323089327385</v>
      </c>
      <c r="J24" s="36">
        <f t="shared" si="3"/>
        <v>17.782145338380232</v>
      </c>
      <c r="K24" s="34">
        <f t="shared" si="4"/>
        <v>28.907350421843674</v>
      </c>
      <c r="L24" s="34">
        <f t="shared" si="5"/>
        <v>6.9843481989001734</v>
      </c>
      <c r="M24" s="34">
        <f t="shared" si="6"/>
        <v>1.583193604027626</v>
      </c>
      <c r="N24" s="34">
        <f t="shared" si="7"/>
        <v>0.27705888070483453</v>
      </c>
      <c r="O24" s="34">
        <f t="shared" si="8"/>
        <v>1.6340819698713707</v>
      </c>
      <c r="P24" s="34">
        <f t="shared" si="9"/>
        <v>0.20156621943033073</v>
      </c>
      <c r="Q24" s="37">
        <f>J24*'Externality Factors'!B$17</f>
        <v>724.76460855035907</v>
      </c>
      <c r="R24" s="37">
        <f>K24*'Externality Factors'!C$17</f>
        <v>0</v>
      </c>
      <c r="S24" s="37">
        <f>L24*'Externality Factors'!D$17</f>
        <v>161.67859857782918</v>
      </c>
      <c r="T24" s="37">
        <f>M24*'Externality Factors'!E$17</f>
        <v>53.590000770326057</v>
      </c>
      <c r="U24" s="37">
        <f>N24*'Externality Factors'!F$17</f>
        <v>84.57648856380446</v>
      </c>
      <c r="V24" s="37">
        <f>O24*'Externality Factors'!G$17</f>
        <v>92.853753591272792</v>
      </c>
      <c r="W24" s="37">
        <f>P24*'Externality Factors'!H$17</f>
        <v>137.9572889970627</v>
      </c>
      <c r="Y24" s="33">
        <f>VLOOKUP(H24,'Emssions Factors'!$F$6:$M$18,2,TRUE)</f>
        <v>1.1142865850530738E-3</v>
      </c>
      <c r="Z24" s="33">
        <f>VLOOKUP(H24,'Emssions Factors'!$F$6:$M$18,3,TRUE)</f>
        <v>1.8114278210833033E-3</v>
      </c>
      <c r="AA24" s="33">
        <f>VLOOKUP(H24,'Emssions Factors'!$F$6:$M$18,4,TRUE)</f>
        <v>4.3766178688105201E-4</v>
      </c>
      <c r="AB24" s="33">
        <f>VLOOKUP(H24,'Emssions Factors'!$F$6:$M$18,5,TRUE)</f>
        <v>9.9208017983194919E-5</v>
      </c>
      <c r="AC24" s="33">
        <f>VLOOKUP(H24,'Emssions Factors'!$F$6:$M$18,6,TRUE)</f>
        <v>1.736140314705911E-5</v>
      </c>
      <c r="AD24" s="33">
        <f>VLOOKUP(H24,'Emssions Factors'!$F$6:$M$18,7,TRUE)</f>
        <v>1.0239684713265473E-4</v>
      </c>
      <c r="AE24" s="33">
        <f>VLOOKUP(H24,'Emssions Factors'!$F$6:$M$18,8,TRUE)</f>
        <v>1.2630789482206579E-5</v>
      </c>
    </row>
    <row r="25" spans="2:31">
      <c r="B25" s="56">
        <f>Input!B25</f>
        <v>4</v>
      </c>
      <c r="C25" s="56">
        <f>Input!C25</f>
        <v>22</v>
      </c>
      <c r="D25" s="56">
        <f>Input!D25</f>
        <v>2</v>
      </c>
      <c r="E25" s="56">
        <f>Input!E25</f>
        <v>1</v>
      </c>
      <c r="F25" s="56">
        <f>Input!F25</f>
        <v>23.060449175078233</v>
      </c>
      <c r="G25" s="56">
        <f>Input!G25</f>
        <v>0</v>
      </c>
      <c r="H25" s="14" t="str">
        <f t="shared" si="1"/>
        <v>21</v>
      </c>
      <c r="I25" s="16">
        <f t="shared" si="2"/>
        <v>6733.6511591228445</v>
      </c>
      <c r="J25" s="36">
        <f t="shared" si="3"/>
        <v>7.5032171550376665</v>
      </c>
      <c r="K25" s="34">
        <f t="shared" si="4"/>
        <v>12.197523047104955</v>
      </c>
      <c r="L25" s="34">
        <f t="shared" si="5"/>
        <v>2.9470617985353713</v>
      </c>
      <c r="M25" s="34">
        <f t="shared" si="6"/>
        <v>0.66803218528682051</v>
      </c>
      <c r="N25" s="34">
        <f t="shared" si="7"/>
        <v>0.11690563242519358</v>
      </c>
      <c r="O25" s="34">
        <f t="shared" si="8"/>
        <v>0.68950464838532521</v>
      </c>
      <c r="P25" s="34">
        <f t="shared" si="9"/>
        <v>8.5051330237496961E-2</v>
      </c>
      <c r="Q25" s="37">
        <f>J25*'Externality Factors'!B$17</f>
        <v>305.81609478255251</v>
      </c>
      <c r="R25" s="37">
        <f>K25*'Externality Factors'!C$17</f>
        <v>0</v>
      </c>
      <c r="S25" s="37">
        <f>L25*'Externality Factors'!D$17</f>
        <v>68.220656808674917</v>
      </c>
      <c r="T25" s="37">
        <f>M25*'Externality Factors'!E$17</f>
        <v>22.612424174181175</v>
      </c>
      <c r="U25" s="37">
        <f>N25*'Externality Factors'!F$17</f>
        <v>35.687244020838136</v>
      </c>
      <c r="V25" s="37">
        <f>O25*'Externality Factors'!G$17</f>
        <v>39.179855051119532</v>
      </c>
      <c r="W25" s="37">
        <f>P25*'Externality Factors'!H$17</f>
        <v>58.211395631273078</v>
      </c>
      <c r="Y25" s="33">
        <f>VLOOKUP(H25,'Emssions Factors'!$F$6:$M$18,2,TRUE)</f>
        <v>1.1142865850530738E-3</v>
      </c>
      <c r="Z25" s="33">
        <f>VLOOKUP(H25,'Emssions Factors'!$F$6:$M$18,3,TRUE)</f>
        <v>1.8114278210833033E-3</v>
      </c>
      <c r="AA25" s="33">
        <f>VLOOKUP(H25,'Emssions Factors'!$F$6:$M$18,4,TRUE)</f>
        <v>4.3766178688105201E-4</v>
      </c>
      <c r="AB25" s="33">
        <f>VLOOKUP(H25,'Emssions Factors'!$F$6:$M$18,5,TRUE)</f>
        <v>9.9208017983194919E-5</v>
      </c>
      <c r="AC25" s="33">
        <f>VLOOKUP(H25,'Emssions Factors'!$F$6:$M$18,6,TRUE)</f>
        <v>1.736140314705911E-5</v>
      </c>
      <c r="AD25" s="33">
        <f>VLOOKUP(H25,'Emssions Factors'!$F$6:$M$18,7,TRUE)</f>
        <v>1.0239684713265473E-4</v>
      </c>
      <c r="AE25" s="33">
        <f>VLOOKUP(H25,'Emssions Factors'!$F$6:$M$18,8,TRUE)</f>
        <v>1.2630789482206579E-5</v>
      </c>
    </row>
    <row r="26" spans="2:3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1</v>
      </c>
      <c r="F26" s="56">
        <f>Input!F26</f>
        <v>28.920285178293515</v>
      </c>
      <c r="G26" s="56">
        <f>Input!G26</f>
        <v>0</v>
      </c>
      <c r="H26" s="14" t="str">
        <f t="shared" si="1"/>
        <v>21</v>
      </c>
      <c r="I26" s="16">
        <f t="shared" si="2"/>
        <v>8444.7232720617067</v>
      </c>
      <c r="J26" s="36">
        <f t="shared" si="3"/>
        <v>9.4098418565438582</v>
      </c>
      <c r="K26" s="34">
        <f t="shared" si="4"/>
        <v>15.297006676362201</v>
      </c>
      <c r="L26" s="34">
        <f t="shared" si="5"/>
        <v>3.6959326769665308</v>
      </c>
      <c r="M26" s="34">
        <f t="shared" si="6"/>
        <v>0.83778425823780245</v>
      </c>
      <c r="N26" s="34">
        <f t="shared" si="7"/>
        <v>0.14661224519161542</v>
      </c>
      <c r="O26" s="34">
        <f t="shared" si="8"/>
        <v>0.86471303796687438</v>
      </c>
      <c r="P26" s="34">
        <f t="shared" si="9"/>
        <v>0.10666352188490213</v>
      </c>
      <c r="Q26" s="37">
        <f>J26*'Externality Factors'!B$17</f>
        <v>383.52629673760259</v>
      </c>
      <c r="R26" s="37">
        <f>K26*'Externality Factors'!C$17</f>
        <v>0</v>
      </c>
      <c r="S26" s="37">
        <f>L26*'Externality Factors'!D$17</f>
        <v>85.556045980647141</v>
      </c>
      <c r="T26" s="37">
        <f>M26*'Externality Factors'!E$17</f>
        <v>28.358413607858061</v>
      </c>
      <c r="U26" s="37">
        <f>N26*'Externality Factors'!F$17</f>
        <v>44.755644891140228</v>
      </c>
      <c r="V26" s="37">
        <f>O26*'Externality Factors'!G$17</f>
        <v>49.135755020207078</v>
      </c>
      <c r="W26" s="37">
        <f>P26*'Externality Factors'!H$17</f>
        <v>73.003355203603718</v>
      </c>
      <c r="Y26" s="33">
        <f>VLOOKUP(H26,'Emssions Factors'!$F$6:$M$18,2,TRUE)</f>
        <v>1.1142865850530738E-3</v>
      </c>
      <c r="Z26" s="33">
        <f>VLOOKUP(H26,'Emssions Factors'!$F$6:$M$18,3,TRUE)</f>
        <v>1.8114278210833033E-3</v>
      </c>
      <c r="AA26" s="33">
        <f>VLOOKUP(H26,'Emssions Factors'!$F$6:$M$18,4,TRUE)</f>
        <v>4.3766178688105201E-4</v>
      </c>
      <c r="AB26" s="33">
        <f>VLOOKUP(H26,'Emssions Factors'!$F$6:$M$18,5,TRUE)</f>
        <v>9.9208017983194919E-5</v>
      </c>
      <c r="AC26" s="33">
        <f>VLOOKUP(H26,'Emssions Factors'!$F$6:$M$18,6,TRUE)</f>
        <v>1.736140314705911E-5</v>
      </c>
      <c r="AD26" s="33">
        <f>VLOOKUP(H26,'Emssions Factors'!$F$6:$M$18,7,TRUE)</f>
        <v>1.0239684713265473E-4</v>
      </c>
      <c r="AE26" s="33">
        <f>VLOOKUP(H26,'Emssions Factors'!$F$6:$M$18,8,TRUE)</f>
        <v>1.2630789482206579E-5</v>
      </c>
    </row>
    <row r="27" spans="2:3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1</v>
      </c>
      <c r="F27" s="56">
        <f>Input!F27</f>
        <v>3.1251246220333941</v>
      </c>
      <c r="G27" s="56">
        <f>Input!G27</f>
        <v>0</v>
      </c>
      <c r="H27" s="14" t="str">
        <f t="shared" si="1"/>
        <v>21</v>
      </c>
      <c r="I27" s="16">
        <f t="shared" si="2"/>
        <v>912.53638963375113</v>
      </c>
      <c r="J27" s="36">
        <f t="shared" si="3"/>
        <v>1.0168270573416538</v>
      </c>
      <c r="K27" s="34">
        <f t="shared" si="4"/>
        <v>1.6529938039334902</v>
      </c>
      <c r="L27" s="34">
        <f t="shared" si="5"/>
        <v>0.39938230688109144</v>
      </c>
      <c r="M27" s="34">
        <f t="shared" si="6"/>
        <v>9.0530926553104948E-2</v>
      </c>
      <c r="N27" s="34">
        <f t="shared" si="7"/>
        <v>1.5842912146793366E-2</v>
      </c>
      <c r="O27" s="34">
        <f t="shared" si="8"/>
        <v>9.3440849192311867E-2</v>
      </c>
      <c r="P27" s="34">
        <f t="shared" si="9"/>
        <v>1.1526055032316749E-2</v>
      </c>
      <c r="Q27" s="37">
        <f>J27*'Externality Factors'!B$17</f>
        <v>41.443833134521363</v>
      </c>
      <c r="R27" s="37">
        <f>K27*'Externality Factors'!C$17</f>
        <v>0</v>
      </c>
      <c r="S27" s="37">
        <f>L27*'Externality Factors'!D$17</f>
        <v>9.2451822037571745</v>
      </c>
      <c r="T27" s="37">
        <f>M27*'Externality Factors'!E$17</f>
        <v>3.0644088072216396</v>
      </c>
      <c r="U27" s="37">
        <f>N27*'Externality Factors'!F$17</f>
        <v>4.8362928291337992</v>
      </c>
      <c r="V27" s="37">
        <f>O27*'Externality Factors'!G$17</f>
        <v>5.3096073185026205</v>
      </c>
      <c r="W27" s="37">
        <f>P27*'Externality Factors'!H$17</f>
        <v>7.8887390435924365</v>
      </c>
      <c r="Y27" s="33">
        <f>VLOOKUP(H27,'Emssions Factors'!$F$6:$M$18,2,TRUE)</f>
        <v>1.1142865850530738E-3</v>
      </c>
      <c r="Z27" s="33">
        <f>VLOOKUP(H27,'Emssions Factors'!$F$6:$M$18,3,TRUE)</f>
        <v>1.8114278210833033E-3</v>
      </c>
      <c r="AA27" s="33">
        <f>VLOOKUP(H27,'Emssions Factors'!$F$6:$M$18,4,TRUE)</f>
        <v>4.3766178688105201E-4</v>
      </c>
      <c r="AB27" s="33">
        <f>VLOOKUP(H27,'Emssions Factors'!$F$6:$M$18,5,TRUE)</f>
        <v>9.9208017983194919E-5</v>
      </c>
      <c r="AC27" s="33">
        <f>VLOOKUP(H27,'Emssions Factors'!$F$6:$M$18,6,TRUE)</f>
        <v>1.736140314705911E-5</v>
      </c>
      <c r="AD27" s="33">
        <f>VLOOKUP(H27,'Emssions Factors'!$F$6:$M$18,7,TRUE)</f>
        <v>1.0239684713265473E-4</v>
      </c>
      <c r="AE27" s="33">
        <f>VLOOKUP(H27,'Emssions Factors'!$F$6:$M$18,8,TRUE)</f>
        <v>1.2630789482206579E-5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tabSelected="1" zoomScale="70" zoomScaleNormal="70" workbookViewId="0">
      <selection activeCell="H6" sqref="H6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7" t="s">
        <v>21</v>
      </c>
      <c r="C5" s="97" t="s">
        <v>15</v>
      </c>
      <c r="D5" s="97" t="s">
        <v>22</v>
      </c>
      <c r="E5" s="97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7"/>
      <c r="C6" s="97"/>
      <c r="D6" s="97"/>
      <c r="E6" s="97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2022-03-31T05:04:30Z</dcterms:modified>
</cp:coreProperties>
</file>