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072BD4AB-0E27-4C53-B896-6989DFBCACCF}" xr6:coauthVersionLast="47" xr6:coauthVersionMax="47" xr10:uidLastSave="{00000000-0000-0000-0000-000000000000}"/>
  <bookViews>
    <workbookView xWindow="6090" yWindow="1550" windowWidth="19450" windowHeight="11900" activeTab="1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8" l="1"/>
  <c r="Q28" i="8"/>
  <c r="P28" i="8"/>
  <c r="R27" i="8"/>
  <c r="Q27" i="8"/>
  <c r="P27" i="8"/>
  <c r="S26" i="8"/>
  <c r="R26" i="8"/>
  <c r="Q26" i="8"/>
  <c r="S25" i="8"/>
  <c r="R25" i="8"/>
  <c r="Q25" i="8"/>
  <c r="S24" i="8"/>
  <c r="R24" i="8"/>
  <c r="Q24" i="8"/>
  <c r="S23" i="8"/>
  <c r="Q23" i="8"/>
  <c r="P23" i="8"/>
  <c r="S22" i="8"/>
  <c r="Q22" i="8"/>
  <c r="P22" i="8"/>
  <c r="S21" i="8"/>
  <c r="R21" i="8"/>
  <c r="P21" i="8"/>
  <c r="S20" i="8"/>
  <c r="R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S15" i="8"/>
  <c r="R15" i="8"/>
  <c r="Q15" i="8"/>
  <c r="S14" i="8"/>
  <c r="R14" i="8"/>
  <c r="Q14" i="8"/>
  <c r="S13" i="8"/>
  <c r="R13" i="8"/>
  <c r="Q13" i="8"/>
  <c r="S12" i="8"/>
  <c r="Q12" i="8"/>
  <c r="P12" i="8"/>
  <c r="S11" i="8"/>
  <c r="Q11" i="8"/>
  <c r="P11" i="8"/>
  <c r="S10" i="8"/>
  <c r="Q10" i="8"/>
  <c r="P10" i="8"/>
  <c r="S9" i="8"/>
  <c r="Q9" i="8"/>
  <c r="P9" i="8"/>
  <c r="S8" i="8"/>
  <c r="R8" i="8"/>
  <c r="P8" i="8"/>
  <c r="S7" i="8"/>
  <c r="R7" i="8"/>
  <c r="P7" i="8"/>
  <c r="S6" i="8"/>
  <c r="R6" i="8"/>
  <c r="P6" i="8"/>
  <c r="S5" i="8"/>
  <c r="R5" i="8"/>
  <c r="P5" i="8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V28" i="8"/>
  <c r="V27" i="8"/>
  <c r="V26" i="8"/>
  <c r="V25" i="8"/>
  <c r="V24" i="8"/>
  <c r="V23" i="8"/>
  <c r="V22" i="8"/>
  <c r="V21" i="8"/>
  <c r="V20" i="8"/>
  <c r="U5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H28" i="8"/>
  <c r="G28" i="8"/>
  <c r="F28" i="8"/>
  <c r="U28" i="8" s="1"/>
  <c r="E28" i="8"/>
  <c r="D28" i="8"/>
  <c r="C28" i="8"/>
  <c r="B28" i="8"/>
  <c r="H27" i="8"/>
  <c r="G27" i="8"/>
  <c r="F27" i="8"/>
  <c r="U27" i="8" s="1"/>
  <c r="E27" i="8"/>
  <c r="D27" i="8"/>
  <c r="C27" i="8"/>
  <c r="B27" i="8"/>
  <c r="H26" i="8"/>
  <c r="G26" i="8"/>
  <c r="F26" i="8"/>
  <c r="P26" i="8" s="1"/>
  <c r="E26" i="8"/>
  <c r="D26" i="8"/>
  <c r="C26" i="8"/>
  <c r="B26" i="8"/>
  <c r="H25" i="8"/>
  <c r="G25" i="8"/>
  <c r="F25" i="8"/>
  <c r="U25" i="8" s="1"/>
  <c r="E25" i="8"/>
  <c r="D25" i="8"/>
  <c r="C25" i="8"/>
  <c r="B25" i="8"/>
  <c r="S28" i="8" l="1"/>
  <c r="P25" i="8"/>
  <c r="S27" i="8"/>
  <c r="U26" i="8"/>
  <c r="Q13" i="13" l="1"/>
  <c r="Q5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H18" i="13" s="1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H14" i="13" s="1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H6" i="13" s="1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I28" i="8" s="1"/>
  <c r="H27" i="1"/>
  <c r="I26" i="1"/>
  <c r="I27" i="8" s="1"/>
  <c r="H26" i="1"/>
  <c r="I25" i="1"/>
  <c r="I26" i="8" s="1"/>
  <c r="H25" i="1"/>
  <c r="I24" i="1"/>
  <c r="I25" i="8" s="1"/>
  <c r="H24" i="1"/>
  <c r="I23" i="1"/>
  <c r="I24" i="8" s="1"/>
  <c r="H23" i="1"/>
  <c r="G21" i="13" s="1"/>
  <c r="I22" i="1"/>
  <c r="I23" i="8" s="1"/>
  <c r="H22" i="1"/>
  <c r="H23" i="8" s="1"/>
  <c r="I21" i="1"/>
  <c r="I22" i="8" s="1"/>
  <c r="H21" i="1"/>
  <c r="G19" i="13" s="1"/>
  <c r="I20" i="1"/>
  <c r="I21" i="8" s="1"/>
  <c r="H20" i="1"/>
  <c r="H21" i="8" s="1"/>
  <c r="I19" i="1"/>
  <c r="I20" i="8" s="1"/>
  <c r="H19" i="1"/>
  <c r="H20" i="8" s="1"/>
  <c r="I18" i="1"/>
  <c r="I19" i="8" s="1"/>
  <c r="H18" i="1"/>
  <c r="H19" i="8" s="1"/>
  <c r="I17" i="1"/>
  <c r="I18" i="8" s="1"/>
  <c r="H17" i="1"/>
  <c r="H18" i="8" s="1"/>
  <c r="I16" i="1"/>
  <c r="I17" i="8" s="1"/>
  <c r="H16" i="1"/>
  <c r="H17" i="8" s="1"/>
  <c r="I15" i="1"/>
  <c r="I16" i="8" s="1"/>
  <c r="H15" i="1"/>
  <c r="H16" i="8" s="1"/>
  <c r="I14" i="1"/>
  <c r="I15" i="8" s="1"/>
  <c r="H14" i="1"/>
  <c r="H15" i="8" s="1"/>
  <c r="I13" i="1"/>
  <c r="I14" i="8" s="1"/>
  <c r="H13" i="1"/>
  <c r="G11" i="13" s="1"/>
  <c r="I12" i="1"/>
  <c r="I13" i="8" s="1"/>
  <c r="H12" i="1"/>
  <c r="H13" i="8" s="1"/>
  <c r="I11" i="1"/>
  <c r="I12" i="8" s="1"/>
  <c r="H11" i="1"/>
  <c r="H12" i="8" s="1"/>
  <c r="I10" i="1"/>
  <c r="I11" i="8" s="1"/>
  <c r="H10" i="1"/>
  <c r="H11" i="8" s="1"/>
  <c r="I9" i="1"/>
  <c r="I10" i="8" s="1"/>
  <c r="H9" i="1"/>
  <c r="H10" i="8" s="1"/>
  <c r="I8" i="1"/>
  <c r="I9" i="8" s="1"/>
  <c r="H8" i="1"/>
  <c r="H9" i="8" s="1"/>
  <c r="F24" i="8"/>
  <c r="P24" i="8" s="1"/>
  <c r="D24" i="8"/>
  <c r="C24" i="8"/>
  <c r="B24" i="8"/>
  <c r="F23" i="8"/>
  <c r="R23" i="8" s="1"/>
  <c r="D23" i="8"/>
  <c r="C23" i="8"/>
  <c r="B23" i="8"/>
  <c r="F22" i="8"/>
  <c r="R22" i="8" s="1"/>
  <c r="D22" i="8"/>
  <c r="C22" i="8"/>
  <c r="B22" i="8"/>
  <c r="F21" i="8"/>
  <c r="Q21" i="8" s="1"/>
  <c r="D21" i="8"/>
  <c r="C21" i="8"/>
  <c r="B21" i="8"/>
  <c r="F20" i="8"/>
  <c r="Q20" i="8" s="1"/>
  <c r="D20" i="8"/>
  <c r="C20" i="8"/>
  <c r="B20" i="8"/>
  <c r="F19" i="8"/>
  <c r="S19" i="8" s="1"/>
  <c r="D19" i="8"/>
  <c r="C19" i="8"/>
  <c r="B19" i="8"/>
  <c r="F18" i="8"/>
  <c r="S18" i="8" s="1"/>
  <c r="D18" i="8"/>
  <c r="C18" i="8"/>
  <c r="B18" i="8"/>
  <c r="F17" i="8"/>
  <c r="S17" i="8" s="1"/>
  <c r="D17" i="8"/>
  <c r="C17" i="8"/>
  <c r="B17" i="8"/>
  <c r="F16" i="8"/>
  <c r="S16" i="8" s="1"/>
  <c r="D16" i="8"/>
  <c r="C16" i="8"/>
  <c r="B16" i="8"/>
  <c r="F15" i="8"/>
  <c r="P15" i="8" s="1"/>
  <c r="D15" i="8"/>
  <c r="C15" i="8"/>
  <c r="B15" i="8"/>
  <c r="F14" i="8"/>
  <c r="P14" i="8" s="1"/>
  <c r="D14" i="8"/>
  <c r="C14" i="8"/>
  <c r="B14" i="8"/>
  <c r="F13" i="8"/>
  <c r="P13" i="8" s="1"/>
  <c r="D13" i="8"/>
  <c r="C13" i="8"/>
  <c r="B13" i="8"/>
  <c r="F12" i="8"/>
  <c r="R12" i="8" s="1"/>
  <c r="D12" i="8"/>
  <c r="C12" i="8"/>
  <c r="B12" i="8"/>
  <c r="F11" i="8"/>
  <c r="R11" i="8" s="1"/>
  <c r="D11" i="8"/>
  <c r="C11" i="8"/>
  <c r="B11" i="8"/>
  <c r="F10" i="8"/>
  <c r="R10" i="8" s="1"/>
  <c r="C10" i="8"/>
  <c r="B10" i="8"/>
  <c r="F8" i="8"/>
  <c r="Q8" i="8" s="1"/>
  <c r="E8" i="8"/>
  <c r="C8" i="8"/>
  <c r="B8" i="8"/>
  <c r="F9" i="8"/>
  <c r="R9" i="8" s="1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G11" i="12"/>
  <c r="O11" i="12" s="1"/>
  <c r="F11" i="12"/>
  <c r="I11" i="12" s="1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I8" i="8" s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R4" i="6"/>
  <c r="L4" i="6" s="1"/>
  <c r="K2" i="13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Q7" i="8" s="1"/>
  <c r="E7" i="8"/>
  <c r="D7" i="8"/>
  <c r="C7" i="8"/>
  <c r="B7" i="8"/>
  <c r="F6" i="8"/>
  <c r="Q6" i="8" s="1"/>
  <c r="E6" i="8"/>
  <c r="D6" i="8"/>
  <c r="C6" i="8"/>
  <c r="B6" i="8"/>
  <c r="F5" i="8"/>
  <c r="Q5" i="8" s="1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8" s="1"/>
  <c r="I5" i="1"/>
  <c r="I6" i="8" s="1"/>
  <c r="I6" i="1"/>
  <c r="I7" i="8" s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Q4" i="8" l="1"/>
  <c r="S4" i="8"/>
  <c r="R4" i="8"/>
  <c r="P4" i="8"/>
  <c r="V8" i="8"/>
  <c r="V10" i="8"/>
  <c r="V12" i="8"/>
  <c r="V14" i="8"/>
  <c r="V16" i="8"/>
  <c r="V18" i="8"/>
  <c r="U20" i="8"/>
  <c r="U22" i="8"/>
  <c r="U24" i="8"/>
  <c r="V7" i="8"/>
  <c r="V9" i="8"/>
  <c r="V6" i="8"/>
  <c r="V5" i="8"/>
  <c r="F4" i="8"/>
  <c r="V11" i="8"/>
  <c r="V13" i="8"/>
  <c r="V15" i="8"/>
  <c r="V17" i="8"/>
  <c r="V19" i="8"/>
  <c r="U21" i="8"/>
  <c r="U23" i="8"/>
  <c r="H7" i="7"/>
  <c r="V7" i="7" s="1"/>
  <c r="H18" i="7"/>
  <c r="H22" i="7"/>
  <c r="G4" i="13"/>
  <c r="G12" i="13"/>
  <c r="H22" i="12"/>
  <c r="U22" i="12" s="1"/>
  <c r="G20" i="13"/>
  <c r="H22" i="8"/>
  <c r="H40" i="6"/>
  <c r="H35" i="6"/>
  <c r="H56" i="9"/>
  <c r="H84" i="6"/>
  <c r="W84" i="6" s="1"/>
  <c r="H115" i="6"/>
  <c r="AB7" i="9"/>
  <c r="M7" i="9" s="1"/>
  <c r="T7" i="9" s="1"/>
  <c r="V5" i="13" s="1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V16" i="7" s="1"/>
  <c r="N16" i="7" s="1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J7" i="9" s="1"/>
  <c r="Q7" i="9" s="1"/>
  <c r="S5" i="13" s="1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Q22" i="12"/>
  <c r="K22" i="12" s="1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R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J18" i="7" s="1"/>
  <c r="X18" i="7"/>
  <c r="P18" i="7" s="1"/>
  <c r="U18" i="7"/>
  <c r="M18" i="7" s="1"/>
  <c r="S18" i="7"/>
  <c r="K18" i="7" s="1"/>
  <c r="W18" i="7"/>
  <c r="O18" i="7" s="1"/>
  <c r="V18" i="7"/>
  <c r="X22" i="7"/>
  <c r="V22" i="7"/>
  <c r="U22" i="7"/>
  <c r="M22" i="7" s="1"/>
  <c r="W22" i="7"/>
  <c r="O22" i="7" s="1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U70" i="6"/>
  <c r="M70" i="6" s="1"/>
  <c r="S81" i="6"/>
  <c r="T90" i="6"/>
  <c r="N90" i="6" s="1"/>
  <c r="W90" i="6"/>
  <c r="O90" i="6" s="1"/>
  <c r="V90" i="6"/>
  <c r="S16" i="7"/>
  <c r="K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K21" i="7" s="1"/>
  <c r="R21" i="7"/>
  <c r="J21" i="7" s="1"/>
  <c r="X21" i="7"/>
  <c r="P21" i="7" s="1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K15" i="6" s="1"/>
  <c r="J13" i="13" s="1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H10" i="6"/>
  <c r="H80" i="6"/>
  <c r="H116" i="6"/>
  <c r="K92" i="6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L7" i="9"/>
  <c r="S7" i="9" s="1"/>
  <c r="U5" i="13" s="1"/>
  <c r="K7" i="9"/>
  <c r="R7" i="9" s="1"/>
  <c r="T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P22" i="7"/>
  <c r="K22" i="7"/>
  <c r="N22" i="7"/>
  <c r="K30" i="7"/>
  <c r="J30" i="7"/>
  <c r="N30" i="7"/>
  <c r="L21" i="7"/>
  <c r="N18" i="7"/>
  <c r="H50" i="7"/>
  <c r="K12" i="7"/>
  <c r="H27" i="7"/>
  <c r="H36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U4" i="8" l="1"/>
  <c r="V4" i="8"/>
  <c r="R22" i="12"/>
  <c r="N22" i="12"/>
  <c r="S22" i="12"/>
  <c r="T22" i="12"/>
  <c r="U15" i="12"/>
  <c r="T16" i="6"/>
  <c r="N16" i="6" s="1"/>
  <c r="M14" i="13" s="1"/>
  <c r="W16" i="7"/>
  <c r="O16" i="7" s="1"/>
  <c r="Q16" i="6"/>
  <c r="K16" i="6" s="1"/>
  <c r="J14" i="13" s="1"/>
  <c r="X4" i="12"/>
  <c r="W4" i="12"/>
  <c r="X16" i="7"/>
  <c r="P16" i="7" s="1"/>
  <c r="V16" i="6"/>
  <c r="R16" i="7"/>
  <c r="J16" i="7" s="1"/>
  <c r="Q15" i="12"/>
  <c r="K15" i="12" s="1"/>
  <c r="P13" i="13" s="1"/>
  <c r="T16" i="7"/>
  <c r="L16" i="7" s="1"/>
  <c r="S15" i="12"/>
  <c r="U16" i="7"/>
  <c r="M16" i="7" s="1"/>
  <c r="T15" i="12"/>
  <c r="AB75" i="9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M4" i="7" s="1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O6" i="7" s="1"/>
  <c r="U6" i="7"/>
  <c r="M6" i="7" s="1"/>
  <c r="V6" i="7"/>
  <c r="AB5" i="9"/>
  <c r="AA5" i="9"/>
  <c r="L5" i="9" s="1"/>
  <c r="S5" i="9" s="1"/>
  <c r="U3" i="13" s="1"/>
  <c r="Z5" i="9"/>
  <c r="Y5" i="9"/>
  <c r="AC5" i="9"/>
  <c r="AE5" i="9"/>
  <c r="P5" i="9" s="1"/>
  <c r="W5" i="9" s="1"/>
  <c r="Y3" i="13" s="1"/>
  <c r="AD5" i="9"/>
  <c r="O5" i="9" s="1"/>
  <c r="V5" i="9" s="1"/>
  <c r="X3" i="13" s="1"/>
  <c r="R5" i="13"/>
  <c r="S5" i="7"/>
  <c r="K5" i="7" s="1"/>
  <c r="R5" i="7"/>
  <c r="J5" i="7" s="1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K5" i="6" s="1"/>
  <c r="J3" i="13" s="1"/>
  <c r="AC6" i="9"/>
  <c r="N6" i="9" s="1"/>
  <c r="U6" i="9" s="1"/>
  <c r="W4" i="13" s="1"/>
  <c r="AB6" i="9"/>
  <c r="M6" i="9" s="1"/>
  <c r="T6" i="9" s="1"/>
  <c r="V4" i="13" s="1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N6" i="6" s="1"/>
  <c r="M4" i="13" s="1"/>
  <c r="S6" i="6"/>
  <c r="V4" i="6"/>
  <c r="U4" i="6"/>
  <c r="T4" i="6"/>
  <c r="S4" i="6"/>
  <c r="Q4" i="6"/>
  <c r="W4" i="6"/>
  <c r="O4" i="6" s="1"/>
  <c r="N2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K19" i="12" s="1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K26" i="6" s="1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P27" i="7" s="1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J20" i="7" s="1"/>
  <c r="U20" i="7"/>
  <c r="M20" i="7" s="1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N21" i="6" s="1"/>
  <c r="M19" i="13" s="1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O11" i="7" s="1"/>
  <c r="X11" i="7"/>
  <c r="P11" i="7" s="1"/>
  <c r="T11" i="7"/>
  <c r="L11" i="7" s="1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N22" i="6" s="1"/>
  <c r="M20" i="13" s="1"/>
  <c r="S22" i="6"/>
  <c r="Q22" i="6"/>
  <c r="K22" i="6" s="1"/>
  <c r="J20" i="13" s="1"/>
  <c r="U22" i="6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O22" i="9" s="1"/>
  <c r="V22" i="9" s="1"/>
  <c r="X20" i="13" s="1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M22" i="9" s="1"/>
  <c r="T22" i="9" s="1"/>
  <c r="V20" i="13" s="1"/>
  <c r="U86" i="12"/>
  <c r="T86" i="12"/>
  <c r="R86" i="12"/>
  <c r="S86" i="12"/>
  <c r="Q86" i="12"/>
  <c r="K86" i="12" s="1"/>
  <c r="N86" i="12"/>
  <c r="AC13" i="9"/>
  <c r="AB13" i="9"/>
  <c r="M13" i="9" s="1"/>
  <c r="T13" i="9" s="1"/>
  <c r="V11" i="13" s="1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L17" i="7" s="1"/>
  <c r="R17" i="7"/>
  <c r="J17" i="7" s="1"/>
  <c r="U17" i="7"/>
  <c r="M17" i="7" s="1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L10" i="7" s="1"/>
  <c r="R10" i="7"/>
  <c r="J10" i="7" s="1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L26" i="7" s="1"/>
  <c r="S26" i="7"/>
  <c r="K26" i="7" s="1"/>
  <c r="W26" i="7"/>
  <c r="O26" i="7" s="1"/>
  <c r="U26" i="7"/>
  <c r="M26" i="7" s="1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J21" i="9" s="1"/>
  <c r="Q21" i="9" s="1"/>
  <c r="S19" i="13" s="1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K9" i="7" s="1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K18" i="12" s="1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L25" i="7" s="1"/>
  <c r="R25" i="7"/>
  <c r="J25" i="7" s="1"/>
  <c r="X25" i="7"/>
  <c r="V25" i="7"/>
  <c r="N25" i="7" s="1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K25" i="9" s="1"/>
  <c r="R25" i="9" s="1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O24" i="6" s="1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L24" i="7" s="1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N26" i="9" s="1"/>
  <c r="U26" i="9" s="1"/>
  <c r="AB26" i="9"/>
  <c r="M26" i="9" s="1"/>
  <c r="T26" i="9" s="1"/>
  <c r="AA26" i="9"/>
  <c r="L26" i="9" s="1"/>
  <c r="S26" i="9" s="1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K27" i="9" s="1"/>
  <c r="R27" i="9" s="1"/>
  <c r="AE27" i="9"/>
  <c r="P27" i="9" s="1"/>
  <c r="W27" i="9" s="1"/>
  <c r="AD27" i="9"/>
  <c r="O27" i="9" s="1"/>
  <c r="V27" i="9" s="1"/>
  <c r="Y27" i="9"/>
  <c r="J27" i="9" s="1"/>
  <c r="Q27" i="9" s="1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M14" i="7" s="1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L93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O15" i="6"/>
  <c r="K91" i="6"/>
  <c r="M41" i="7"/>
  <c r="P53" i="9"/>
  <c r="W53" i="9" s="1"/>
  <c r="K22" i="9"/>
  <c r="R22" i="9" s="1"/>
  <c r="T20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K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O25" i="7"/>
  <c r="P25" i="7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O101" i="6"/>
  <c r="N121" i="6"/>
  <c r="N50" i="6"/>
  <c r="K50" i="6"/>
  <c r="K42" i="6"/>
  <c r="O93" i="6"/>
  <c r="O40" i="6"/>
  <c r="K80" i="6"/>
  <c r="N80" i="6"/>
  <c r="M80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N17" i="7"/>
  <c r="K17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P20" i="7"/>
  <c r="L20" i="7"/>
  <c r="N20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O8" i="6"/>
  <c r="N6" i="13" s="1"/>
  <c r="J115" i="6"/>
  <c r="Y4" i="12"/>
  <c r="K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J6" i="7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J5" i="9"/>
  <c r="Q5" i="9" s="1"/>
  <c r="S3" i="13" s="1"/>
  <c r="O6" i="6"/>
  <c r="N4" i="13" s="1"/>
  <c r="P6" i="7"/>
  <c r="L6" i="7"/>
  <c r="K6" i="7"/>
  <c r="N6" i="7"/>
  <c r="P4" i="9"/>
  <c r="W4" i="9" s="1"/>
  <c r="Y2" i="13" s="1"/>
  <c r="O4" i="9"/>
  <c r="V4" i="9" s="1"/>
  <c r="X2" i="13" s="1"/>
  <c r="J4" i="9"/>
  <c r="Q4" i="9" s="1"/>
  <c r="S2" i="13" s="1"/>
  <c r="L6" i="9"/>
  <c r="S6" i="9" s="1"/>
  <c r="U4" i="13" s="1"/>
  <c r="K6" i="9"/>
  <c r="R6" i="9" s="1"/>
  <c r="T4" i="13" s="1"/>
  <c r="L23" i="8" l="1"/>
  <c r="M26" i="8"/>
  <c r="M27" i="8"/>
  <c r="M28" i="8"/>
  <c r="M25" i="8"/>
  <c r="L12" i="8"/>
  <c r="J15" i="12"/>
  <c r="O13" i="13" s="1"/>
  <c r="M27" i="6"/>
  <c r="M23" i="6"/>
  <c r="L21" i="13" s="1"/>
  <c r="O16" i="6"/>
  <c r="J16" i="6" s="1"/>
  <c r="M12" i="6"/>
  <c r="L10" i="13" s="1"/>
  <c r="M17" i="6"/>
  <c r="L15" i="13" s="1"/>
  <c r="O11" i="6"/>
  <c r="N9" i="13" s="1"/>
  <c r="M22" i="6"/>
  <c r="L20" i="13" s="1"/>
  <c r="M25" i="6"/>
  <c r="L16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L28" i="8" s="1"/>
  <c r="J63" i="12"/>
  <c r="J106" i="12"/>
  <c r="J90" i="12"/>
  <c r="J41" i="12"/>
  <c r="J120" i="12"/>
  <c r="J55" i="12"/>
  <c r="J123" i="12"/>
  <c r="J68" i="6"/>
  <c r="J70" i="6"/>
  <c r="J105" i="6"/>
  <c r="J25" i="12"/>
  <c r="L26" i="8" s="1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24" i="6" s="1"/>
  <c r="K25" i="8" s="1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L27" i="8" s="1"/>
  <c r="J84" i="6"/>
  <c r="J88" i="12"/>
  <c r="J64" i="12"/>
  <c r="J29" i="12"/>
  <c r="J59" i="12"/>
  <c r="M96" i="6"/>
  <c r="J51" i="12"/>
  <c r="M97" i="6"/>
  <c r="J86" i="12"/>
  <c r="J58" i="12"/>
  <c r="O27" i="6"/>
  <c r="J27" i="6" s="1"/>
  <c r="K28" i="8" s="1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L25" i="8" s="1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M22" i="8"/>
  <c r="M52" i="6"/>
  <c r="J39" i="6"/>
  <c r="O17" i="6"/>
  <c r="J8" i="6"/>
  <c r="M6" i="8"/>
  <c r="M18" i="8"/>
  <c r="M23" i="8"/>
  <c r="M5" i="8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J25" i="8" l="1"/>
  <c r="J28" i="8"/>
  <c r="M4" i="8"/>
  <c r="L18" i="8"/>
  <c r="J9" i="6"/>
  <c r="L8" i="8"/>
  <c r="L19" i="8"/>
  <c r="L24" i="8"/>
  <c r="L10" i="8"/>
  <c r="J29" i="6"/>
  <c r="J51" i="6"/>
  <c r="J85" i="6"/>
  <c r="J122" i="6"/>
  <c r="J83" i="6"/>
  <c r="J25" i="6"/>
  <c r="K26" i="8" s="1"/>
  <c r="J26" i="8" s="1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K10" i="8"/>
  <c r="I7" i="13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J9" i="8" s="1"/>
  <c r="I6" i="13"/>
  <c r="L15" i="8"/>
  <c r="J20" i="6"/>
  <c r="J98" i="6"/>
  <c r="J111" i="6"/>
  <c r="J114" i="6"/>
  <c r="J46" i="6"/>
  <c r="J95" i="6"/>
  <c r="J113" i="6"/>
  <c r="J86" i="6"/>
  <c r="J66" i="6"/>
  <c r="J106" i="6"/>
  <c r="J54" i="6"/>
  <c r="J32" i="6"/>
  <c r="J26" i="6"/>
  <c r="K27" i="8" s="1"/>
  <c r="J27" i="8" s="1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L4" i="8" l="1"/>
  <c r="J10" i="8"/>
  <c r="K7" i="8"/>
  <c r="J7" i="8" s="1"/>
  <c r="K19" i="8"/>
  <c r="J19" i="8" s="1"/>
  <c r="I16" i="13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J6" i="8" s="1"/>
  <c r="I3" i="13"/>
  <c r="K21" i="8"/>
  <c r="J21" i="8" s="1"/>
  <c r="I18" i="13"/>
  <c r="K15" i="8"/>
  <c r="J15" i="8" s="1"/>
  <c r="I12" i="13"/>
  <c r="K13" i="8"/>
  <c r="J13" i="8" s="1"/>
  <c r="I10" i="13"/>
  <c r="K5" i="8"/>
  <c r="I2" i="13"/>
  <c r="K14" i="8"/>
  <c r="J14" i="8" s="1"/>
  <c r="I11" i="13"/>
  <c r="K18" i="8"/>
  <c r="J18" i="8" s="1"/>
  <c r="I15" i="13"/>
  <c r="K11" i="8"/>
  <c r="J11" i="8" s="1"/>
  <c r="I8" i="13"/>
  <c r="K24" i="8"/>
  <c r="J24" i="8" s="1"/>
  <c r="I21" i="13"/>
  <c r="J5" i="8" l="1"/>
  <c r="J4" i="8" s="1"/>
  <c r="K4" i="8"/>
  <c r="E59" i="3" l="1"/>
  <c r="J59" i="3"/>
  <c r="E37" i="3"/>
  <c r="E62" i="3"/>
  <c r="J62" i="3"/>
  <c r="E40" i="3"/>
  <c r="E60" i="3"/>
  <c r="J60" i="3"/>
  <c r="E56" i="3"/>
  <c r="J56" i="3"/>
  <c r="E57" i="3"/>
  <c r="J57" i="3"/>
  <c r="E38" i="3"/>
  <c r="E36" i="3"/>
  <c r="E42" i="3"/>
  <c r="J36" i="3"/>
  <c r="J46" i="3"/>
  <c r="E46" i="3"/>
  <c r="E58" i="3"/>
  <c r="J58" i="3"/>
  <c r="E41" i="3"/>
  <c r="E39" i="3"/>
  <c r="J42" i="3"/>
  <c r="J52" i="3"/>
  <c r="E52" i="3"/>
  <c r="J37" i="3"/>
  <c r="J47" i="3"/>
  <c r="E47" i="3"/>
  <c r="J38" i="3"/>
  <c r="J48" i="3"/>
  <c r="E48" i="3"/>
  <c r="E51" i="3"/>
  <c r="J39" i="3"/>
  <c r="J49" i="3"/>
  <c r="E49" i="3"/>
  <c r="J40" i="3"/>
  <c r="J50" i="3"/>
  <c r="E50" i="3"/>
  <c r="J41" i="3"/>
  <c r="J51" i="3"/>
  <c r="J61" i="3"/>
  <c r="E61" i="3"/>
</calcChain>
</file>

<file path=xl/sharedStrings.xml><?xml version="1.0" encoding="utf-8"?>
<sst xmlns="http://schemas.openxmlformats.org/spreadsheetml/2006/main" count="483" uniqueCount="114">
  <si>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</si>
  <si>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</si>
  <si>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</si>
  <si>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</si>
  <si>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</si>
  <si>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</si>
  <si>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</si>
  <si>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</si>
  <si>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</si>
  <si>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</si>
  <si>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</si>
  <si>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</si>
  <si>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</si>
  <si>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</si>
  <si>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</si>
  <si>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</si>
  <si>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</si>
  <si>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</si>
  <si>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</si>
  <si>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</si>
  <si>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</si>
  <si>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</si>
  <si>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</si>
  <si>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</si>
  <si>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</si>
  <si>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</si>
  <si>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</si>
  <si>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</si>
  <si>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</si>
  <si>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</si>
  <si>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</si>
  <si>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</si>
  <si>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</si>
  <si>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</si>
  <si>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</si>
  <si>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</si>
  <si>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</si>
  <si>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</si>
  <si>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</si>
  <si>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</si>
  <si>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</si>
  <si>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</si>
  <si>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</si>
  <si>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</si>
  <si>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</si>
  <si>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</si>
  <si>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</si>
  <si>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</si>
  <si>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</si>
  <si>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</si>
  <si>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</si>
  <si>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</si>
  <si>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</si>
  <si>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</si>
  <si>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</si>
  <si>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</si>
  <si>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</si>
  <si>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</si>
  <si>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</si>
  <si>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</si>
  <si>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</si>
  <si>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</si>
  <si>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</si>
  <si>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</si>
  <si>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</si>
  <si>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</si>
  <si>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</si>
  <si>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</si>
  <si>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</si>
  <si>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</si>
  <si>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</si>
  <si>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</si>
  <si>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</si>
  <si>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</si>
  <si>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</si>
  <si>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</si>
  <si>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</si>
  <si>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</si>
  <si>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</si>
  <si>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</si>
  <si>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</si>
  <si>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</si>
  <si>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</si>
  <si>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</si>
  <si>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</si>
  <si>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</si>
  <si>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</si>
  <si>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</si>
  <si>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</si>
  <si>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</si>
  <si>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</si>
  <si>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</si>
  <si>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</si>
  <si>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</si>
  <si>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</si>
  <si>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</si>
  <si>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</si>
  <si>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</si>
  <si>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</si>
  <si>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</si>
  <si>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</si>
  <si>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</si>
  <si>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</si>
  <si>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</si>
  <si>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</si>
  <si>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</si>
  <si>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</si>
  <si>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</si>
  <si>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</si>
  <si>
    <t>USPS</t>
    <phoneticPr fontId="2"/>
  </si>
  <si>
    <t>UPS</t>
    <phoneticPr fontId="2"/>
  </si>
  <si>
    <t>Amazon</t>
    <phoneticPr fontId="2"/>
  </si>
  <si>
    <t>FedEx</t>
    <phoneticPr fontId="2"/>
  </si>
  <si>
    <t>ICEV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</si>
</sst>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L124"/>
  <sheetViews>
    <sheetView zoomScale="85" zoomScaleNormal="85" workbookViewId="0">
      <selection activeCell="F12" sqref="F12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12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12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12">
      <c r="B4" s="18">
        <v>2</v>
      </c>
      <c r="C4" s="18">
        <v>1</v>
      </c>
      <c r="D4" s="18">
        <v>2</v>
      </c>
      <c r="E4" s="18">
        <v>1</v>
      </c>
      <c r="F4" s="18">
        <v>35.031075201988813</v>
      </c>
      <c r="G4" s="18">
        <v>0</v>
      </c>
      <c r="H4" s="14" t="str">
        <f>D4&amp;E4</f>
        <v>21</v>
      </c>
      <c r="I4" s="16">
        <f>F4*365*0.8</f>
        <v>10229.073958980734</v>
      </c>
      <c r="L4">
        <f>F4/5*3</f>
        <v>21.018645121193288</v>
      </c>
    </row>
    <row r="5" spans="2:12">
      <c r="B5" s="18">
        <v>2</v>
      </c>
      <c r="C5" s="18">
        <v>2</v>
      </c>
      <c r="D5" s="18">
        <v>2</v>
      </c>
      <c r="E5" s="18">
        <v>1</v>
      </c>
      <c r="F5" s="18">
        <v>46.888129272840274</v>
      </c>
      <c r="G5" s="18">
        <v>0</v>
      </c>
      <c r="H5" s="14" t="str">
        <f>D5&amp;E5</f>
        <v>21</v>
      </c>
      <c r="I5" s="16">
        <f>F5*365*0.8</f>
        <v>13691.33374766936</v>
      </c>
      <c r="L5">
        <f t="shared" ref="L5:L27" si="0">F5/5*3</f>
        <v>28.132877563704167</v>
      </c>
    </row>
    <row r="6" spans="2:12">
      <c r="B6" s="18">
        <v>2</v>
      </c>
      <c r="C6" s="18">
        <v>3</v>
      </c>
      <c r="D6" s="18">
        <v>2</v>
      </c>
      <c r="E6" s="18">
        <v>1</v>
      </c>
      <c r="F6" s="18">
        <v>43.474829086389065</v>
      </c>
      <c r="G6" s="18">
        <v>0</v>
      </c>
      <c r="H6" s="14" t="str">
        <f>D6&amp;E6</f>
        <v>21</v>
      </c>
      <c r="I6" s="16">
        <f>F6*365*0.8</f>
        <v>12694.650093225608</v>
      </c>
      <c r="L6">
        <f t="shared" si="0"/>
        <v>26.084897451833442</v>
      </c>
    </row>
    <row r="7" spans="2:12">
      <c r="B7" s="18">
        <v>2</v>
      </c>
      <c r="C7" s="18">
        <v>4</v>
      </c>
      <c r="D7" s="18">
        <v>2</v>
      </c>
      <c r="E7" s="18">
        <v>1</v>
      </c>
      <c r="F7" s="18">
        <v>35.098197638284645</v>
      </c>
      <c r="G7" s="18">
        <v>0</v>
      </c>
      <c r="H7" s="14" t="str">
        <f>D7&amp;E7</f>
        <v>21</v>
      </c>
      <c r="I7" s="16">
        <f>F7*365*0.8</f>
        <v>10248.673710379117</v>
      </c>
      <c r="L7">
        <f t="shared" si="0"/>
        <v>21.05891858297079</v>
      </c>
    </row>
    <row r="8" spans="2:12">
      <c r="B8" s="18">
        <v>3</v>
      </c>
      <c r="C8" s="18">
        <v>5</v>
      </c>
      <c r="D8" s="18">
        <v>2</v>
      </c>
      <c r="E8" s="18">
        <v>1</v>
      </c>
      <c r="F8" s="18">
        <v>38.403356121814795</v>
      </c>
      <c r="G8" s="18">
        <v>0</v>
      </c>
      <c r="H8" s="14" t="str">
        <f t="shared" ref="H8:H71" si="1">D8&amp;E8</f>
        <v>21</v>
      </c>
      <c r="I8" s="16">
        <f t="shared" ref="I8:I71" si="2">F8*365*0.8</f>
        <v>11213.77998756992</v>
      </c>
      <c r="L8">
        <f t="shared" si="0"/>
        <v>23.042013673088874</v>
      </c>
    </row>
    <row r="9" spans="2:12">
      <c r="B9" s="18">
        <v>3</v>
      </c>
      <c r="C9" s="18">
        <v>6</v>
      </c>
      <c r="D9" s="18">
        <v>2</v>
      </c>
      <c r="E9" s="18">
        <v>1</v>
      </c>
      <c r="F9" s="18">
        <v>50.602858918582974</v>
      </c>
      <c r="G9" s="18">
        <v>0</v>
      </c>
      <c r="H9" s="14" t="str">
        <f t="shared" si="1"/>
        <v>21</v>
      </c>
      <c r="I9" s="16">
        <f t="shared" si="2"/>
        <v>14776.034804226229</v>
      </c>
      <c r="L9">
        <f t="shared" si="0"/>
        <v>30.361715351149787</v>
      </c>
    </row>
    <row r="10" spans="2:12">
      <c r="B10" s="18">
        <v>3</v>
      </c>
      <c r="C10" s="18">
        <v>7</v>
      </c>
      <c r="D10" s="18">
        <v>2</v>
      </c>
      <c r="E10" s="18">
        <v>1</v>
      </c>
      <c r="F10" s="18">
        <v>46.263517712865138</v>
      </c>
      <c r="G10" s="18">
        <v>0</v>
      </c>
      <c r="H10" s="14" t="str">
        <f t="shared" si="1"/>
        <v>21</v>
      </c>
      <c r="I10" s="16">
        <f t="shared" si="2"/>
        <v>13508.947172156621</v>
      </c>
      <c r="L10">
        <f t="shared" si="0"/>
        <v>27.758110627719081</v>
      </c>
    </row>
    <row r="11" spans="2:12">
      <c r="B11" s="18">
        <v>3</v>
      </c>
      <c r="C11" s="18">
        <v>8</v>
      </c>
      <c r="D11" s="18">
        <v>2</v>
      </c>
      <c r="E11" s="18">
        <v>1</v>
      </c>
      <c r="F11" s="18">
        <v>37.288999378495959</v>
      </c>
      <c r="G11" s="18">
        <v>0</v>
      </c>
      <c r="H11" s="14" t="str">
        <f t="shared" si="1"/>
        <v>21</v>
      </c>
      <c r="I11" s="16">
        <f t="shared" si="2"/>
        <v>10888.387818520821</v>
      </c>
      <c r="L11">
        <f t="shared" si="0"/>
        <v>22.373399627097577</v>
      </c>
    </row>
    <row r="12" spans="2:12">
      <c r="B12" s="18">
        <v>1</v>
      </c>
      <c r="C12" s="18">
        <v>9</v>
      </c>
      <c r="D12" s="18">
        <v>2</v>
      </c>
      <c r="E12" s="18">
        <v>1</v>
      </c>
      <c r="F12" s="18">
        <v>19.630205096333128</v>
      </c>
      <c r="G12" s="18">
        <v>0</v>
      </c>
      <c r="H12" s="14" t="str">
        <f t="shared" si="1"/>
        <v>21</v>
      </c>
      <c r="I12" s="16">
        <f t="shared" si="2"/>
        <v>5732.0198881292745</v>
      </c>
      <c r="L12">
        <f t="shared" si="0"/>
        <v>11.778123057799878</v>
      </c>
    </row>
    <row r="13" spans="2:12">
      <c r="B13" s="18">
        <v>1</v>
      </c>
      <c r="C13" s="18">
        <v>10</v>
      </c>
      <c r="D13" s="18">
        <v>2</v>
      </c>
      <c r="E13" s="18">
        <v>1</v>
      </c>
      <c r="F13" s="18">
        <v>37.052827843380982</v>
      </c>
      <c r="G13" s="18">
        <v>0</v>
      </c>
      <c r="H13" s="14" t="str">
        <f t="shared" si="1"/>
        <v>21</v>
      </c>
      <c r="I13" s="16">
        <f t="shared" si="2"/>
        <v>10819.425730267249</v>
      </c>
      <c r="L13">
        <f t="shared" si="0"/>
        <v>22.231696706028586</v>
      </c>
    </row>
    <row r="14" spans="2:12">
      <c r="B14" s="18">
        <v>1</v>
      </c>
      <c r="C14" s="18">
        <v>11</v>
      </c>
      <c r="D14" s="18">
        <v>2</v>
      </c>
      <c r="E14" s="18">
        <v>1</v>
      </c>
      <c r="F14" s="18">
        <v>21.385954008701056</v>
      </c>
      <c r="G14" s="18">
        <v>0</v>
      </c>
      <c r="H14" s="14" t="str">
        <f t="shared" si="1"/>
        <v>21</v>
      </c>
      <c r="I14" s="16">
        <f t="shared" si="2"/>
        <v>6244.6985705407087</v>
      </c>
      <c r="L14">
        <f t="shared" si="0"/>
        <v>12.831572405220633</v>
      </c>
    </row>
    <row r="15" spans="2:12">
      <c r="B15" s="18">
        <v>4</v>
      </c>
      <c r="C15" s="18">
        <v>12</v>
      </c>
      <c r="D15" s="18">
        <v>2</v>
      </c>
      <c r="E15" s="18">
        <v>1</v>
      </c>
      <c r="F15" s="18">
        <v>23.060285891858296</v>
      </c>
      <c r="G15" s="18">
        <v>0</v>
      </c>
      <c r="H15" s="14" t="str">
        <f t="shared" si="1"/>
        <v>21</v>
      </c>
      <c r="I15" s="16">
        <f t="shared" si="2"/>
        <v>6733.6034804226219</v>
      </c>
      <c r="L15">
        <f t="shared" si="0"/>
        <v>13.836171535114977</v>
      </c>
    </row>
    <row r="16" spans="2:12">
      <c r="B16" s="18">
        <v>4</v>
      </c>
      <c r="C16" s="18">
        <v>13</v>
      </c>
      <c r="D16" s="18">
        <v>2</v>
      </c>
      <c r="E16" s="18">
        <v>1</v>
      </c>
      <c r="F16" s="18">
        <v>41.1702921068987</v>
      </c>
      <c r="G16" s="18">
        <v>0</v>
      </c>
      <c r="H16" s="14" t="str">
        <f t="shared" si="1"/>
        <v>21</v>
      </c>
      <c r="I16" s="16">
        <f t="shared" si="2"/>
        <v>12021.725295214421</v>
      </c>
      <c r="L16">
        <f t="shared" si="0"/>
        <v>24.702175264139218</v>
      </c>
    </row>
    <row r="17" spans="2:12">
      <c r="B17" s="18">
        <v>4</v>
      </c>
      <c r="C17" s="18">
        <v>14</v>
      </c>
      <c r="D17" s="18">
        <v>2</v>
      </c>
      <c r="E17" s="18">
        <v>1</v>
      </c>
      <c r="F17" s="18">
        <v>23.599129894344316</v>
      </c>
      <c r="G17" s="18">
        <v>0</v>
      </c>
      <c r="H17" s="14" t="str">
        <f t="shared" si="1"/>
        <v>21</v>
      </c>
      <c r="I17" s="16">
        <f t="shared" si="2"/>
        <v>6890.94592914854</v>
      </c>
      <c r="L17">
        <f t="shared" si="0"/>
        <v>14.15947793660659</v>
      </c>
    </row>
    <row r="18" spans="2:12">
      <c r="B18" s="18">
        <v>4</v>
      </c>
      <c r="C18" s="18">
        <v>15</v>
      </c>
      <c r="D18" s="18">
        <v>2</v>
      </c>
      <c r="E18" s="18">
        <v>1</v>
      </c>
      <c r="F18" s="18">
        <v>8.0590428837787442</v>
      </c>
      <c r="G18" s="18">
        <v>0</v>
      </c>
      <c r="H18" s="14" t="str">
        <f t="shared" si="1"/>
        <v>21</v>
      </c>
      <c r="I18" s="16">
        <f t="shared" si="2"/>
        <v>2353.2405220633932</v>
      </c>
      <c r="L18">
        <f t="shared" si="0"/>
        <v>4.8354257302672465</v>
      </c>
    </row>
    <row r="19" spans="2:12">
      <c r="B19" s="18">
        <v>2</v>
      </c>
      <c r="C19" s="18">
        <v>16</v>
      </c>
      <c r="D19" s="18">
        <v>2</v>
      </c>
      <c r="E19" s="18">
        <v>2</v>
      </c>
      <c r="F19" s="18">
        <v>44.291485394655069</v>
      </c>
      <c r="G19" s="18">
        <v>0</v>
      </c>
      <c r="H19" s="14" t="str">
        <f t="shared" si="1"/>
        <v>22</v>
      </c>
      <c r="I19" s="16">
        <f t="shared" si="2"/>
        <v>12933.113735239282</v>
      </c>
      <c r="L19">
        <f t="shared" si="0"/>
        <v>26.574891236793039</v>
      </c>
    </row>
    <row r="20" spans="2:12">
      <c r="B20" s="18">
        <v>2</v>
      </c>
      <c r="C20" s="18">
        <v>17</v>
      </c>
      <c r="D20" s="18">
        <v>2</v>
      </c>
      <c r="E20" s="18">
        <v>2</v>
      </c>
      <c r="F20" s="18">
        <v>13.448104412678683</v>
      </c>
      <c r="G20" s="18">
        <v>0</v>
      </c>
      <c r="H20" s="14" t="str">
        <f t="shared" si="1"/>
        <v>22</v>
      </c>
      <c r="I20" s="16">
        <f t="shared" si="2"/>
        <v>3926.8464885021758</v>
      </c>
      <c r="L20">
        <f t="shared" si="0"/>
        <v>8.0688626476072098</v>
      </c>
    </row>
    <row r="21" spans="2:12">
      <c r="B21" s="18">
        <v>3</v>
      </c>
      <c r="C21" s="18">
        <v>18</v>
      </c>
      <c r="D21" s="18">
        <v>2</v>
      </c>
      <c r="E21" s="18">
        <v>2</v>
      </c>
      <c r="F21" s="18">
        <v>46.571162212554384</v>
      </c>
      <c r="G21" s="18">
        <v>0</v>
      </c>
      <c r="H21" s="14" t="str">
        <f t="shared" si="1"/>
        <v>22</v>
      </c>
      <c r="I21" s="16">
        <f t="shared" si="2"/>
        <v>13598.779366065879</v>
      </c>
      <c r="L21">
        <f t="shared" si="0"/>
        <v>27.942697327532628</v>
      </c>
    </row>
    <row r="22" spans="2:12">
      <c r="B22" s="18">
        <v>3</v>
      </c>
      <c r="C22" s="18">
        <v>19</v>
      </c>
      <c r="D22" s="18">
        <v>2</v>
      </c>
      <c r="E22" s="18">
        <v>2</v>
      </c>
      <c r="F22" s="18">
        <v>14.757613424487261</v>
      </c>
      <c r="G22" s="18">
        <v>0</v>
      </c>
      <c r="H22" s="14" t="str">
        <f t="shared" si="1"/>
        <v>22</v>
      </c>
      <c r="I22" s="16">
        <f t="shared" si="2"/>
        <v>4309.2231199502803</v>
      </c>
      <c r="L22">
        <f t="shared" si="0"/>
        <v>8.8545680546923577</v>
      </c>
    </row>
    <row r="23" spans="2:12">
      <c r="B23" s="18">
        <v>1</v>
      </c>
      <c r="C23" s="18">
        <v>20</v>
      </c>
      <c r="D23" s="18">
        <v>2</v>
      </c>
      <c r="E23" s="18">
        <v>2</v>
      </c>
      <c r="F23" s="18">
        <v>32.949658172778122</v>
      </c>
      <c r="G23" s="18">
        <v>0</v>
      </c>
      <c r="H23" s="14" t="str">
        <f t="shared" si="1"/>
        <v>22</v>
      </c>
      <c r="I23" s="16">
        <f t="shared" si="2"/>
        <v>9621.3001864512116</v>
      </c>
      <c r="L23">
        <f t="shared" si="0"/>
        <v>19.76979490366687</v>
      </c>
    </row>
    <row r="24" spans="2:12">
      <c r="B24" s="18">
        <v>1</v>
      </c>
      <c r="C24" s="18">
        <v>21</v>
      </c>
      <c r="D24" s="18">
        <v>2</v>
      </c>
      <c r="E24" s="18">
        <v>2</v>
      </c>
      <c r="F24" s="18">
        <v>31.065879428216281</v>
      </c>
      <c r="G24" s="18">
        <v>0</v>
      </c>
      <c r="H24" s="14" t="str">
        <f t="shared" si="1"/>
        <v>22</v>
      </c>
      <c r="I24" s="16">
        <f t="shared" si="2"/>
        <v>9071.2367930391538</v>
      </c>
      <c r="L24">
        <f t="shared" si="0"/>
        <v>18.639527656929769</v>
      </c>
    </row>
    <row r="25" spans="2:12">
      <c r="B25" s="18">
        <v>1</v>
      </c>
      <c r="C25" s="18">
        <v>22</v>
      </c>
      <c r="D25" s="18">
        <v>2</v>
      </c>
      <c r="E25" s="18">
        <v>2</v>
      </c>
      <c r="F25" s="18">
        <v>9.1559975139838414</v>
      </c>
      <c r="G25" s="18">
        <v>0</v>
      </c>
      <c r="H25" s="14" t="str">
        <f t="shared" si="1"/>
        <v>22</v>
      </c>
      <c r="I25" s="16">
        <f t="shared" si="2"/>
        <v>2673.5512740832819</v>
      </c>
      <c r="L25">
        <f t="shared" si="0"/>
        <v>5.4935985083903045</v>
      </c>
    </row>
    <row r="26" spans="2:12">
      <c r="B26" s="18">
        <v>4</v>
      </c>
      <c r="C26" s="18">
        <v>23</v>
      </c>
      <c r="D26" s="18">
        <v>2</v>
      </c>
      <c r="E26" s="18">
        <v>2</v>
      </c>
      <c r="F26" s="18">
        <v>19.706028589185831</v>
      </c>
      <c r="G26" s="18">
        <v>0</v>
      </c>
      <c r="H26" s="14" t="str">
        <f t="shared" si="1"/>
        <v>22</v>
      </c>
      <c r="I26" s="16">
        <f t="shared" si="2"/>
        <v>5754.1603480422627</v>
      </c>
      <c r="L26">
        <f t="shared" si="0"/>
        <v>11.823617153511499</v>
      </c>
    </row>
    <row r="27" spans="2:12">
      <c r="B27" s="18">
        <v>4</v>
      </c>
      <c r="C27" s="18">
        <v>24</v>
      </c>
      <c r="D27" s="18">
        <v>2</v>
      </c>
      <c r="E27" s="18">
        <v>2</v>
      </c>
      <c r="F27" s="18">
        <v>30.628962088253573</v>
      </c>
      <c r="G27" s="18">
        <v>0</v>
      </c>
      <c r="H27" s="14" t="str">
        <f t="shared" si="1"/>
        <v>22</v>
      </c>
      <c r="I27" s="16">
        <f t="shared" si="2"/>
        <v>8943.6569297700444</v>
      </c>
      <c r="L27">
        <f t="shared" si="0"/>
        <v>18.377377252952144</v>
      </c>
    </row>
    <row r="28" spans="2:12">
      <c r="B28" s="18"/>
      <c r="C28" s="18"/>
      <c r="D28" s="18"/>
      <c r="E28" s="18"/>
      <c r="F28" s="18"/>
      <c r="G28" s="18"/>
      <c r="H28" s="14" t="str">
        <f t="shared" si="1"/>
        <v/>
      </c>
      <c r="I28" s="16">
        <f t="shared" si="2"/>
        <v>0</v>
      </c>
    </row>
    <row r="29" spans="2:12">
      <c r="B29" s="18"/>
      <c r="C29" s="18"/>
      <c r="D29" s="18"/>
      <c r="E29" s="18"/>
      <c r="F29" s="18"/>
      <c r="G29" s="18"/>
      <c r="H29" s="14" t="str">
        <f t="shared" si="1"/>
        <v/>
      </c>
      <c r="I29" s="16">
        <f t="shared" si="2"/>
        <v>0</v>
      </c>
    </row>
    <row r="30" spans="2:12">
      <c r="B30" s="18"/>
      <c r="C30" s="18"/>
      <c r="D30" s="18"/>
      <c r="E30" s="18"/>
      <c r="F30" s="18"/>
      <c r="G30" s="18"/>
      <c r="H30" s="14" t="str">
        <f t="shared" si="1"/>
        <v/>
      </c>
      <c r="I30" s="16">
        <f t="shared" si="2"/>
        <v>0</v>
      </c>
    </row>
    <row r="31" spans="2:12">
      <c r="B31" s="18"/>
      <c r="C31" s="18"/>
      <c r="D31" s="18"/>
      <c r="E31" s="18"/>
      <c r="F31" s="18"/>
      <c r="G31" s="18"/>
      <c r="H31" s="14" t="str">
        <f t="shared" si="1"/>
        <v/>
      </c>
      <c r="I31" s="16">
        <f t="shared" si="2"/>
        <v>0</v>
      </c>
    </row>
    <row r="32" spans="2:12">
      <c r="B32" s="18"/>
      <c r="C32" s="18"/>
      <c r="D32" s="18"/>
      <c r="E32" s="18"/>
      <c r="F32" s="18"/>
      <c r="G32" s="18"/>
      <c r="H32" s="14" t="str">
        <f t="shared" si="1"/>
        <v/>
      </c>
      <c r="I32" s="16">
        <f t="shared" si="2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1"/>
        <v/>
      </c>
      <c r="I33" s="16">
        <f t="shared" si="2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1"/>
        <v/>
      </c>
      <c r="I34" s="16">
        <f t="shared" si="2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1"/>
        <v/>
      </c>
      <c r="I35" s="16">
        <f t="shared" si="2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1"/>
        <v/>
      </c>
      <c r="I36" s="16">
        <f t="shared" si="2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1"/>
        <v/>
      </c>
      <c r="I37" s="16">
        <f t="shared" si="2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1"/>
        <v/>
      </c>
      <c r="I38" s="16">
        <f t="shared" si="2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1"/>
        <v/>
      </c>
      <c r="I39" s="16">
        <f t="shared" si="2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1"/>
        <v/>
      </c>
      <c r="I40" s="16">
        <f t="shared" si="2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1"/>
        <v/>
      </c>
      <c r="I41" s="16">
        <f t="shared" si="2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1"/>
        <v/>
      </c>
      <c r="I42" s="16">
        <f t="shared" si="2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1"/>
        <v/>
      </c>
      <c r="I43" s="16">
        <f t="shared" si="2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1"/>
        <v/>
      </c>
      <c r="I44" s="16">
        <f t="shared" si="2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1"/>
        <v/>
      </c>
      <c r="I45" s="16">
        <f t="shared" si="2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1"/>
        <v/>
      </c>
      <c r="I46" s="16">
        <f t="shared" si="2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1"/>
        <v/>
      </c>
      <c r="I47" s="16">
        <f t="shared" si="2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1"/>
        <v/>
      </c>
      <c r="I48" s="16">
        <f t="shared" si="2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1"/>
        <v/>
      </c>
      <c r="I49" s="16">
        <f t="shared" si="2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1"/>
        <v/>
      </c>
      <c r="I50" s="16">
        <f t="shared" si="2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1"/>
        <v/>
      </c>
      <c r="I51" s="16">
        <f t="shared" si="2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1"/>
        <v/>
      </c>
      <c r="I52" s="16">
        <f t="shared" si="2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1"/>
        <v/>
      </c>
      <c r="I53" s="16">
        <f t="shared" si="2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1"/>
        <v/>
      </c>
      <c r="I54" s="16">
        <f t="shared" si="2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1"/>
        <v/>
      </c>
      <c r="I55" s="16">
        <f t="shared" si="2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1"/>
        <v/>
      </c>
      <c r="I56" s="16">
        <f t="shared" si="2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1"/>
        <v/>
      </c>
      <c r="I57" s="16">
        <f t="shared" si="2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1"/>
        <v/>
      </c>
      <c r="I58" s="16">
        <f t="shared" si="2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1"/>
        <v/>
      </c>
      <c r="I59" s="16">
        <f t="shared" si="2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1"/>
        <v/>
      </c>
      <c r="I60" s="16">
        <f t="shared" si="2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1"/>
        <v/>
      </c>
      <c r="I61" s="16">
        <f t="shared" si="2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1"/>
        <v/>
      </c>
      <c r="I62" s="16">
        <f t="shared" si="2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1"/>
        <v/>
      </c>
      <c r="I63" s="16">
        <f t="shared" si="2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1"/>
        <v/>
      </c>
      <c r="I64" s="16">
        <f t="shared" si="2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1"/>
        <v/>
      </c>
      <c r="I65" s="16">
        <f t="shared" si="2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1"/>
        <v/>
      </c>
      <c r="I66" s="16">
        <f t="shared" si="2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1"/>
        <v/>
      </c>
      <c r="I67" s="16">
        <f t="shared" si="2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1"/>
        <v/>
      </c>
      <c r="I68" s="16">
        <f t="shared" si="2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1"/>
        <v/>
      </c>
      <c r="I69" s="16">
        <f t="shared" si="2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1"/>
        <v/>
      </c>
      <c r="I70" s="16">
        <f t="shared" si="2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1"/>
        <v/>
      </c>
      <c r="I71" s="16">
        <f t="shared" si="2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3">D72&amp;E72</f>
        <v/>
      </c>
      <c r="I72" s="16">
        <f t="shared" ref="I72:I124" si="4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3"/>
        <v/>
      </c>
      <c r="I73" s="16">
        <f t="shared" si="4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3"/>
        <v/>
      </c>
      <c r="I74" s="16">
        <f t="shared" si="4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3"/>
        <v/>
      </c>
      <c r="I75" s="16">
        <f t="shared" si="4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3"/>
        <v/>
      </c>
      <c r="I76" s="16">
        <f t="shared" si="4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3"/>
        <v/>
      </c>
      <c r="I77" s="16">
        <f t="shared" si="4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3"/>
        <v/>
      </c>
      <c r="I78" s="16">
        <f t="shared" si="4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3"/>
        <v/>
      </c>
      <c r="I79" s="16">
        <f t="shared" si="4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3"/>
        <v/>
      </c>
      <c r="I80" s="16">
        <f t="shared" si="4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3"/>
        <v/>
      </c>
      <c r="I81" s="16">
        <f t="shared" si="4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3"/>
        <v/>
      </c>
      <c r="I82" s="16">
        <f t="shared" si="4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3"/>
        <v/>
      </c>
      <c r="I83" s="16">
        <f t="shared" si="4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3"/>
        <v/>
      </c>
      <c r="I84" s="16">
        <f t="shared" si="4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3"/>
        <v/>
      </c>
      <c r="I85" s="16">
        <f t="shared" si="4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3"/>
        <v/>
      </c>
      <c r="I86" s="16">
        <f t="shared" si="4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3"/>
        <v/>
      </c>
      <c r="I87" s="16">
        <f t="shared" si="4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3"/>
        <v/>
      </c>
      <c r="I88" s="16">
        <f t="shared" si="4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3"/>
        <v/>
      </c>
      <c r="I89" s="16">
        <f t="shared" si="4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3"/>
        <v/>
      </c>
      <c r="I90" s="16">
        <f t="shared" si="4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3"/>
        <v/>
      </c>
      <c r="I91" s="16">
        <f t="shared" si="4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3"/>
        <v/>
      </c>
      <c r="I92" s="16">
        <f t="shared" si="4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3"/>
        <v/>
      </c>
      <c r="I93" s="16">
        <f t="shared" si="4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3"/>
        <v/>
      </c>
      <c r="I94" s="16">
        <f t="shared" si="4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3"/>
        <v/>
      </c>
      <c r="I95" s="16">
        <f t="shared" si="4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3"/>
        <v/>
      </c>
      <c r="I96" s="16">
        <f t="shared" si="4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3"/>
        <v/>
      </c>
      <c r="I97" s="16">
        <f t="shared" si="4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3"/>
        <v/>
      </c>
      <c r="I98" s="16">
        <f t="shared" si="4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3"/>
        <v/>
      </c>
      <c r="I99" s="16">
        <f t="shared" si="4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3"/>
        <v/>
      </c>
      <c r="I100" s="16">
        <f t="shared" si="4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3"/>
        <v/>
      </c>
      <c r="I101" s="16">
        <f t="shared" si="4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3"/>
        <v/>
      </c>
      <c r="I102" s="16">
        <f t="shared" si="4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3"/>
        <v/>
      </c>
      <c r="I103" s="16">
        <f t="shared" si="4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3"/>
        <v/>
      </c>
      <c r="I104" s="16">
        <f t="shared" si="4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3"/>
        <v/>
      </c>
      <c r="I105" s="16">
        <f t="shared" si="4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3"/>
        <v/>
      </c>
      <c r="I106" s="16">
        <f t="shared" si="4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3"/>
        <v/>
      </c>
      <c r="I107" s="16">
        <f t="shared" si="4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3"/>
        <v/>
      </c>
      <c r="I108" s="16">
        <f t="shared" si="4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3"/>
        <v/>
      </c>
      <c r="I109" s="16">
        <f t="shared" si="4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3"/>
        <v/>
      </c>
      <c r="I110" s="16">
        <f t="shared" si="4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3"/>
        <v/>
      </c>
      <c r="I111" s="16">
        <f t="shared" si="4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3"/>
        <v/>
      </c>
      <c r="I112" s="16">
        <f t="shared" si="4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3"/>
        <v/>
      </c>
      <c r="I113" s="16">
        <f t="shared" si="4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3"/>
        <v/>
      </c>
      <c r="I114" s="16">
        <f t="shared" si="4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3"/>
        <v/>
      </c>
      <c r="I115" s="16">
        <f t="shared" si="4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3"/>
        <v/>
      </c>
      <c r="I116" s="16">
        <f t="shared" si="4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3"/>
        <v/>
      </c>
      <c r="I117" s="16">
        <f t="shared" si="4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3"/>
        <v/>
      </c>
      <c r="I118" s="16">
        <f t="shared" si="4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3"/>
        <v/>
      </c>
      <c r="I119" s="16">
        <f t="shared" si="4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3"/>
        <v/>
      </c>
      <c r="I120" s="16">
        <f t="shared" si="4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3"/>
        <v/>
      </c>
      <c r="I121" s="16">
        <f t="shared" si="4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3"/>
        <v/>
      </c>
      <c r="I122" s="16">
        <f t="shared" si="4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3"/>
        <v/>
      </c>
      <c r="I123" s="16">
        <f t="shared" si="4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3"/>
        <v/>
      </c>
      <c r="I124" s="16">
        <f t="shared" si="4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9" t="s">
        <v>91</v>
      </c>
      <c r="C13" s="99"/>
      <c r="D13" s="99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5" t="s">
        <v>95</v>
      </c>
      <c r="D2" s="65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6">
        <v>0.26</v>
      </c>
      <c r="E2" s="67">
        <v>0.13</v>
      </c>
      <c r="F2" s="66">
        <f>C2*E2+D2</f>
        <v>0.6711260341147236</v>
      </c>
    </row>
    <row r="3" spans="2:6">
      <c r="B3" t="s">
        <v>14</v>
      </c>
      <c r="C3" s="26">
        <v>6.2966492416526707</v>
      </c>
      <c r="D3" s="66">
        <v>0</v>
      </c>
      <c r="E3" s="67">
        <v>4.4999999999999998E-2</v>
      </c>
      <c r="F3" s="66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V28"/>
  <sheetViews>
    <sheetView showGridLines="0" tabSelected="1" zoomScale="70" zoomScaleNormal="70" workbookViewId="0">
      <selection activeCell="H20" sqref="H20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4" customWidth="1"/>
    <col min="12" max="12" width="15.75" style="74" customWidth="1"/>
    <col min="13" max="13" width="17.08203125" style="74" customWidth="1"/>
    <col min="14" max="15" width="12.58203125" customWidth="1"/>
  </cols>
  <sheetData>
    <row r="2" spans="2:22">
      <c r="I2" t="s">
        <v>31</v>
      </c>
      <c r="K2" s="74" t="s">
        <v>92</v>
      </c>
      <c r="L2" s="74" t="s">
        <v>92</v>
      </c>
      <c r="M2" s="74" t="s">
        <v>92</v>
      </c>
    </row>
    <row r="3" spans="2:22" ht="54.5" thickBot="1">
      <c r="B3" s="78" t="s">
        <v>0</v>
      </c>
      <c r="C3" s="78" t="s">
        <v>1</v>
      </c>
      <c r="D3" s="78" t="s">
        <v>21</v>
      </c>
      <c r="E3" s="78" t="s">
        <v>22</v>
      </c>
      <c r="F3" s="78" t="s">
        <v>24</v>
      </c>
      <c r="G3" s="78" t="s">
        <v>93</v>
      </c>
      <c r="H3" s="78" t="s">
        <v>23</v>
      </c>
      <c r="I3" s="78" t="s">
        <v>30</v>
      </c>
      <c r="J3" s="94" t="s">
        <v>106</v>
      </c>
      <c r="K3" s="85" t="s">
        <v>33</v>
      </c>
      <c r="L3" s="85" t="s">
        <v>105</v>
      </c>
      <c r="M3" s="85" t="s">
        <v>107</v>
      </c>
      <c r="P3" s="97" t="s">
        <v>109</v>
      </c>
      <c r="Q3" s="97" t="s">
        <v>110</v>
      </c>
      <c r="R3" s="97" t="s">
        <v>111</v>
      </c>
      <c r="S3" s="97" t="s">
        <v>112</v>
      </c>
      <c r="U3" s="96" t="s">
        <v>50</v>
      </c>
      <c r="V3" s="96" t="s">
        <v>113</v>
      </c>
    </row>
    <row r="4" spans="2:22" ht="18.5" thickBot="1">
      <c r="B4" s="83"/>
      <c r="C4" s="84"/>
      <c r="D4" s="84"/>
      <c r="E4" s="84"/>
      <c r="F4" s="95">
        <f>SUM(F5:F28)</f>
        <v>749.58359229335008</v>
      </c>
      <c r="G4" s="84"/>
      <c r="H4" s="84"/>
      <c r="I4" s="84"/>
      <c r="J4" s="86">
        <f>SUM(J5:J28)</f>
        <v>348517.92322272889</v>
      </c>
      <c r="K4" s="86">
        <f>SUM(K5:K28)</f>
        <v>344046.29449256288</v>
      </c>
      <c r="L4" s="86">
        <f>SUM(L5:L28)</f>
        <v>8970.2317630283742</v>
      </c>
      <c r="M4" s="87">
        <f>SUM(M5:M28)</f>
        <v>13441.860493194348</v>
      </c>
      <c r="P4">
        <f>SUM(P5:P28)</f>
        <v>151.2405220633934</v>
      </c>
      <c r="Q4">
        <f>SUM(Q5:Q28)</f>
        <v>218.23182100683653</v>
      </c>
      <c r="R4">
        <f>SUM(R5:R28)</f>
        <v>233.8875077688005</v>
      </c>
      <c r="S4">
        <f>SUM(S5:S28)</f>
        <v>146.22374145431945</v>
      </c>
      <c r="U4">
        <f>SUM(U5:U28)</f>
        <v>242.57489123679301</v>
      </c>
      <c r="V4">
        <f>SUM(V5:V28)</f>
        <v>507.0087010565569</v>
      </c>
    </row>
    <row r="5" spans="2:22">
      <c r="B5" s="79">
        <f>Input!B4</f>
        <v>2</v>
      </c>
      <c r="C5" s="79">
        <f>Input!C4</f>
        <v>1</v>
      </c>
      <c r="D5" s="79">
        <f>Input!D4</f>
        <v>2</v>
      </c>
      <c r="E5" s="79">
        <f>Input!E4</f>
        <v>1</v>
      </c>
      <c r="F5" s="79">
        <f>Input!F4</f>
        <v>35.031075201988813</v>
      </c>
      <c r="G5" s="79">
        <f>Input!G4</f>
        <v>0</v>
      </c>
      <c r="H5" s="79" t="str">
        <f>Input!H4</f>
        <v>21</v>
      </c>
      <c r="I5" s="80">
        <f>Input!I4</f>
        <v>10229.073958980734</v>
      </c>
      <c r="J5" s="88">
        <f>K5-L5+M5</f>
        <v>13150.72675153449</v>
      </c>
      <c r="K5" s="81">
        <f>TOC_calc!J4</f>
        <v>12918.101821245376</v>
      </c>
      <c r="L5" s="82">
        <f>GR_calc!J4</f>
        <v>572.08315322974465</v>
      </c>
      <c r="M5" s="81">
        <f>SUM(Externality_calc!Q4:W4)</f>
        <v>804.70808351885898</v>
      </c>
      <c r="P5">
        <f>IF($B5=1,$F5,0)</f>
        <v>0</v>
      </c>
      <c r="Q5">
        <f>IF($B5=2,$F5,0)</f>
        <v>35.031075201988813</v>
      </c>
      <c r="R5">
        <f>IF($B5=3,$F5,0)</f>
        <v>0</v>
      </c>
      <c r="S5">
        <f>IF($B5=4,$F5,0)</f>
        <v>0</v>
      </c>
      <c r="U5">
        <f>IF($E5=2,$F5,0)</f>
        <v>0</v>
      </c>
      <c r="V5">
        <f>IF($E5=1,$F5,0)</f>
        <v>35.031075201988813</v>
      </c>
    </row>
    <row r="6" spans="2:22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46.888129272840274</v>
      </c>
      <c r="G6" s="56">
        <f>Input!G5</f>
        <v>0</v>
      </c>
      <c r="H6" s="79" t="str">
        <f>Input!H5</f>
        <v>21</v>
      </c>
      <c r="I6" s="80">
        <f>Input!I5</f>
        <v>13691.33374766936</v>
      </c>
      <c r="J6" s="88">
        <f t="shared" ref="J6:J24" si="0">K6-L6+M6</f>
        <v>14678.49893224548</v>
      </c>
      <c r="K6" s="75">
        <f>TOC_calc!J5</f>
        <v>14367.136870402108</v>
      </c>
      <c r="L6" s="47">
        <f>GR_calc!J5</f>
        <v>765.71754331786781</v>
      </c>
      <c r="M6" s="75">
        <f>SUM(Externality_calc!Q5:W5)</f>
        <v>1077.0796051612394</v>
      </c>
      <c r="P6">
        <f t="shared" ref="P6:P28" si="1">IF($B6=1,$F6,0)</f>
        <v>0</v>
      </c>
      <c r="Q6">
        <f t="shared" ref="Q6:Q28" si="2">IF($B6=2,$F6,0)</f>
        <v>46.888129272840274</v>
      </c>
      <c r="R6">
        <f t="shared" ref="R6:R28" si="3">IF($B6=3,$F6,0)</f>
        <v>0</v>
      </c>
      <c r="S6">
        <f t="shared" ref="S6:S28" si="4">IF($B6=4,$F6,0)</f>
        <v>0</v>
      </c>
      <c r="U6">
        <f t="shared" ref="U6:U28" si="5">IF(E6=2,F6,0)</f>
        <v>0</v>
      </c>
      <c r="V6">
        <f t="shared" ref="V6:V28" si="6">IF($E6=1,$F6,0)</f>
        <v>46.888129272840274</v>
      </c>
    </row>
    <row r="7" spans="2:22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43.474829086389065</v>
      </c>
      <c r="G7" s="56">
        <f>Input!G6</f>
        <v>0</v>
      </c>
      <c r="H7" s="79" t="str">
        <f>Input!H6</f>
        <v>21</v>
      </c>
      <c r="I7" s="80">
        <f>Input!I6</f>
        <v>12694.650093225608</v>
      </c>
      <c r="J7" s="88">
        <f t="shared" si="0"/>
        <v>14238.697862087982</v>
      </c>
      <c r="K7" s="75">
        <f>TOC_calc!J6</f>
        <v>13950.001924916796</v>
      </c>
      <c r="L7" s="47">
        <f>GR_calc!J6</f>
        <v>709.97584762838403</v>
      </c>
      <c r="M7" s="75">
        <f>SUM(Externality_calc!Q6:W6)</f>
        <v>998.67178479956897</v>
      </c>
      <c r="P7">
        <f t="shared" si="1"/>
        <v>0</v>
      </c>
      <c r="Q7">
        <f t="shared" si="2"/>
        <v>43.474829086389065</v>
      </c>
      <c r="R7">
        <f t="shared" si="3"/>
        <v>0</v>
      </c>
      <c r="S7">
        <f t="shared" si="4"/>
        <v>0</v>
      </c>
      <c r="U7">
        <f t="shared" si="5"/>
        <v>0</v>
      </c>
      <c r="V7">
        <f t="shared" si="6"/>
        <v>43.474829086389065</v>
      </c>
    </row>
    <row r="8" spans="2:22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35.098197638284645</v>
      </c>
      <c r="G8" s="56">
        <f>Input!G7</f>
        <v>0</v>
      </c>
      <c r="H8" s="79" t="str">
        <f>Input!H7</f>
        <v>21</v>
      </c>
      <c r="I8" s="80">
        <f>Input!I7</f>
        <v>10248.673710379117</v>
      </c>
      <c r="J8" s="88">
        <f t="shared" si="0"/>
        <v>13159.375425164679</v>
      </c>
      <c r="K8" s="75">
        <f>TOC_calc!J7</f>
        <v>12926.304766276768</v>
      </c>
      <c r="L8" s="47">
        <f>GR_calc!J7</f>
        <v>573.17931184854717</v>
      </c>
      <c r="M8" s="75">
        <f>SUM(Externality_calc!Q7:W7)</f>
        <v>806.24997073645898</v>
      </c>
      <c r="P8">
        <f t="shared" si="1"/>
        <v>0</v>
      </c>
      <c r="Q8">
        <f t="shared" si="2"/>
        <v>35.098197638284645</v>
      </c>
      <c r="R8">
        <f t="shared" si="3"/>
        <v>0</v>
      </c>
      <c r="S8">
        <f t="shared" si="4"/>
        <v>0</v>
      </c>
      <c r="U8">
        <f t="shared" si="5"/>
        <v>0</v>
      </c>
      <c r="V8">
        <f t="shared" si="6"/>
        <v>35.098197638284645</v>
      </c>
    </row>
    <row r="9" spans="2:22">
      <c r="B9" s="56">
        <f>Input!B8</f>
        <v>3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38.403356121814795</v>
      </c>
      <c r="G9" s="56">
        <v>0</v>
      </c>
      <c r="H9" s="79" t="str">
        <f>Input!H8</f>
        <v>21</v>
      </c>
      <c r="I9" s="80">
        <f>Input!I8</f>
        <v>11213.77998756992</v>
      </c>
      <c r="J9" s="88">
        <f t="shared" si="0"/>
        <v>13585.242521140204</v>
      </c>
      <c r="K9" s="75">
        <f>TOC_calc!J8</f>
        <v>13330.223855878168</v>
      </c>
      <c r="L9" s="47">
        <f>GR_calc!J8</f>
        <v>627.15497420773795</v>
      </c>
      <c r="M9" s="75">
        <f>SUM(Externality_calc!Q8:W8)</f>
        <v>882.17363946977378</v>
      </c>
      <c r="P9">
        <f t="shared" si="1"/>
        <v>0</v>
      </c>
      <c r="Q9">
        <f t="shared" si="2"/>
        <v>0</v>
      </c>
      <c r="R9">
        <f t="shared" si="3"/>
        <v>38.403356121814795</v>
      </c>
      <c r="S9">
        <f t="shared" si="4"/>
        <v>0</v>
      </c>
      <c r="U9">
        <f t="shared" si="5"/>
        <v>0</v>
      </c>
      <c r="V9">
        <f t="shared" si="6"/>
        <v>38.403356121814795</v>
      </c>
    </row>
    <row r="10" spans="2:22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50.602858918582974</v>
      </c>
      <c r="G10" s="56">
        <f>Input!G9</f>
        <v>0</v>
      </c>
      <c r="H10" s="79" t="str">
        <f>Input!H9</f>
        <v>21</v>
      </c>
      <c r="I10" s="80">
        <f>Input!I9</f>
        <v>14776.034804226229</v>
      </c>
      <c r="J10" s="88">
        <f t="shared" si="0"/>
        <v>15157.138953427448</v>
      </c>
      <c r="K10" s="75">
        <f>TOC_calc!J9</f>
        <v>14821.109115333957</v>
      </c>
      <c r="L10" s="47">
        <f>GR_calc!J9</f>
        <v>826.38180317512297</v>
      </c>
      <c r="M10" s="75">
        <f>SUM(Externality_calc!Q9:W9)</f>
        <v>1162.4116412686151</v>
      </c>
      <c r="P10">
        <f t="shared" si="1"/>
        <v>0</v>
      </c>
      <c r="Q10">
        <f t="shared" si="2"/>
        <v>0</v>
      </c>
      <c r="R10">
        <f t="shared" si="3"/>
        <v>50.602858918582974</v>
      </c>
      <c r="S10">
        <f t="shared" si="4"/>
        <v>0</v>
      </c>
      <c r="U10">
        <f t="shared" si="5"/>
        <v>0</v>
      </c>
      <c r="V10">
        <f t="shared" si="6"/>
        <v>50.602858918582974</v>
      </c>
    </row>
    <row r="11" spans="2:22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46.263517712865138</v>
      </c>
      <c r="G11" s="56">
        <f>Input!G10</f>
        <v>0</v>
      </c>
      <c r="H11" s="79" t="str">
        <f>Input!H10</f>
        <v>21</v>
      </c>
      <c r="I11" s="80">
        <f>Input!I10</f>
        <v>13508.947172156621</v>
      </c>
      <c r="J11" s="88">
        <f t="shared" si="0"/>
        <v>14598.018219297872</v>
      </c>
      <c r="K11" s="75">
        <f>TOC_calc!J10</f>
        <v>14290.80390969331</v>
      </c>
      <c r="L11" s="47">
        <f>GR_calc!J10</f>
        <v>755.51717839289859</v>
      </c>
      <c r="M11" s="75">
        <f>SUM(Externality_calc!Q10:W10)</f>
        <v>1062.7314879974599</v>
      </c>
      <c r="P11">
        <f t="shared" si="1"/>
        <v>0</v>
      </c>
      <c r="Q11">
        <f t="shared" si="2"/>
        <v>0</v>
      </c>
      <c r="R11">
        <f t="shared" si="3"/>
        <v>46.263517712865138</v>
      </c>
      <c r="S11">
        <f t="shared" si="4"/>
        <v>0</v>
      </c>
      <c r="U11">
        <f t="shared" si="5"/>
        <v>0</v>
      </c>
      <c r="V11">
        <f t="shared" si="6"/>
        <v>46.263517712865138</v>
      </c>
    </row>
    <row r="12" spans="2:22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37.288999378495959</v>
      </c>
      <c r="G12" s="56">
        <f>Input!G11</f>
        <v>0</v>
      </c>
      <c r="H12" s="79" t="str">
        <f>Input!H11</f>
        <v>21</v>
      </c>
      <c r="I12" s="80">
        <f>Input!I11</f>
        <v>10888.387818520821</v>
      </c>
      <c r="J12" s="88">
        <f t="shared" si="0"/>
        <v>13441.658522816755</v>
      </c>
      <c r="K12" s="75">
        <f>TOC_calc!J11</f>
        <v>13194.03977771809</v>
      </c>
      <c r="L12" s="47">
        <f>GR_calc!J11</f>
        <v>608.95671121224552</v>
      </c>
      <c r="M12" s="75">
        <f>SUM(Externality_calc!Q11:W11)</f>
        <v>856.57545631091102</v>
      </c>
      <c r="P12">
        <f t="shared" si="1"/>
        <v>0</v>
      </c>
      <c r="Q12">
        <f t="shared" si="2"/>
        <v>0</v>
      </c>
      <c r="R12">
        <f t="shared" si="3"/>
        <v>37.288999378495959</v>
      </c>
      <c r="S12">
        <f t="shared" si="4"/>
        <v>0</v>
      </c>
      <c r="U12">
        <f t="shared" si="5"/>
        <v>0</v>
      </c>
      <c r="V12">
        <f t="shared" si="6"/>
        <v>37.288999378495959</v>
      </c>
    </row>
    <row r="13" spans="2:22">
      <c r="B13" s="56">
        <f>Input!B12</f>
        <v>1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19.630205096333128</v>
      </c>
      <c r="G13" s="56">
        <f>Input!G12</f>
        <v>0</v>
      </c>
      <c r="H13" s="79" t="str">
        <f>Input!H12</f>
        <v>21</v>
      </c>
      <c r="I13" s="80">
        <f>Input!I12</f>
        <v>5732.0198881292745</v>
      </c>
      <c r="J13" s="88">
        <f t="shared" si="0"/>
        <v>11166.336635273961</v>
      </c>
      <c r="K13" s="75">
        <f>TOC_calc!J12</f>
        <v>11035.981655708954</v>
      </c>
      <c r="L13" s="47">
        <f>GR_calc!J12</f>
        <v>320.57564791557684</v>
      </c>
      <c r="M13" s="75">
        <f>SUM(Externality_calc!Q12:W12)</f>
        <v>450.93062748058475</v>
      </c>
      <c r="P13">
        <f t="shared" si="1"/>
        <v>19.630205096333128</v>
      </c>
      <c r="Q13">
        <f t="shared" si="2"/>
        <v>0</v>
      </c>
      <c r="R13">
        <f t="shared" si="3"/>
        <v>0</v>
      </c>
      <c r="S13">
        <f t="shared" si="4"/>
        <v>0</v>
      </c>
      <c r="U13">
        <f t="shared" si="5"/>
        <v>0</v>
      </c>
      <c r="V13">
        <f t="shared" si="6"/>
        <v>19.630205096333128</v>
      </c>
    </row>
    <row r="14" spans="2:22">
      <c r="B14" s="56">
        <f>Input!B13</f>
        <v>1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37.052827843380982</v>
      </c>
      <c r="G14" s="56">
        <f>Input!G13</f>
        <v>0</v>
      </c>
      <c r="H14" s="79" t="str">
        <f>Input!H13</f>
        <v>21</v>
      </c>
      <c r="I14" s="80">
        <f>Input!I13</f>
        <v>10819.425730267249</v>
      </c>
      <c r="J14" s="88">
        <f t="shared" si="0"/>
        <v>13411.228004488305</v>
      </c>
      <c r="K14" s="75">
        <f>TOC_calc!J13</f>
        <v>13165.177563718742</v>
      </c>
      <c r="L14" s="47">
        <f>GR_calc!J13</f>
        <v>605.09985681275464</v>
      </c>
      <c r="M14" s="75">
        <f>SUM(Externality_calc!Q13:W13)</f>
        <v>851.15029758231765</v>
      </c>
      <c r="P14">
        <f t="shared" si="1"/>
        <v>37.052827843380982</v>
      </c>
      <c r="Q14">
        <f t="shared" si="2"/>
        <v>0</v>
      </c>
      <c r="R14">
        <f t="shared" si="3"/>
        <v>0</v>
      </c>
      <c r="S14">
        <f t="shared" si="4"/>
        <v>0</v>
      </c>
      <c r="U14">
        <f t="shared" si="5"/>
        <v>0</v>
      </c>
      <c r="V14">
        <f t="shared" si="6"/>
        <v>37.052827843380982</v>
      </c>
    </row>
    <row r="15" spans="2:22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21.385954008701056</v>
      </c>
      <c r="G15" s="56">
        <f>Input!G14</f>
        <v>0</v>
      </c>
      <c r="H15" s="79" t="str">
        <f>Input!H14</f>
        <v>21</v>
      </c>
      <c r="I15" s="80">
        <f>Input!I14</f>
        <v>6244.6985705407087</v>
      </c>
      <c r="J15" s="88">
        <f t="shared" si="0"/>
        <v>11392.563514952573</v>
      </c>
      <c r="K15" s="75">
        <f>TOC_calc!J14</f>
        <v>11250.549430835685</v>
      </c>
      <c r="L15" s="47">
        <f>GR_calc!J14</f>
        <v>349.24831549073912</v>
      </c>
      <c r="M15" s="75">
        <f>SUM(Externality_calc!Q14:W14)</f>
        <v>491.26239960762763</v>
      </c>
      <c r="P15">
        <f t="shared" si="1"/>
        <v>21.385954008701056</v>
      </c>
      <c r="Q15">
        <f t="shared" si="2"/>
        <v>0</v>
      </c>
      <c r="R15">
        <f t="shared" si="3"/>
        <v>0</v>
      </c>
      <c r="S15">
        <f t="shared" si="4"/>
        <v>0</v>
      </c>
      <c r="U15">
        <f t="shared" si="5"/>
        <v>0</v>
      </c>
      <c r="V15">
        <f t="shared" si="6"/>
        <v>21.385954008701056</v>
      </c>
    </row>
    <row r="16" spans="2:22">
      <c r="B16" s="56">
        <f>Input!B15</f>
        <v>4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23.060285891858296</v>
      </c>
      <c r="G16" s="56">
        <f>Input!G15</f>
        <v>0</v>
      </c>
      <c r="H16" s="79" t="str">
        <f>Input!H15</f>
        <v>21</v>
      </c>
      <c r="I16" s="80">
        <f>Input!I15</f>
        <v>6733.6034804226219</v>
      </c>
      <c r="J16" s="88">
        <f t="shared" si="0"/>
        <v>11608.299873839009</v>
      </c>
      <c r="K16" s="75">
        <f>TOC_calc!J15</f>
        <v>11455.167337452114</v>
      </c>
      <c r="L16" s="47">
        <f>GR_calc!J15</f>
        <v>376.59138325976119</v>
      </c>
      <c r="M16" s="75">
        <f>SUM(Externality_calc!Q15:W15)</f>
        <v>529.72391964665542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23.060285891858296</v>
      </c>
      <c r="U16">
        <f t="shared" si="5"/>
        <v>0</v>
      </c>
      <c r="V16">
        <f t="shared" si="6"/>
        <v>23.060285891858296</v>
      </c>
    </row>
    <row r="17" spans="2:22">
      <c r="B17" s="56">
        <f>Input!B16</f>
        <v>4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41.1702921068987</v>
      </c>
      <c r="G17" s="56">
        <f>Input!G16</f>
        <v>0</v>
      </c>
      <c r="H17" s="79" t="str">
        <f>Input!H16</f>
        <v>21</v>
      </c>
      <c r="I17" s="80">
        <f>Input!I16</f>
        <v>12021.725295214421</v>
      </c>
      <c r="J17" s="88">
        <f t="shared" si="0"/>
        <v>13941.76006745142</v>
      </c>
      <c r="K17" s="75">
        <f>TOC_calc!J16</f>
        <v>13668.367478838951</v>
      </c>
      <c r="L17" s="47">
        <f>GR_calc!J16</f>
        <v>672.34106838282582</v>
      </c>
      <c r="M17" s="75">
        <f>SUM(Externality_calc!Q16:W16)</f>
        <v>945.7336569952945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41.1702921068987</v>
      </c>
      <c r="U17">
        <f t="shared" si="5"/>
        <v>0</v>
      </c>
      <c r="V17">
        <f t="shared" si="6"/>
        <v>41.1702921068987</v>
      </c>
    </row>
    <row r="18" spans="2:22">
      <c r="B18" s="56">
        <f>Input!B17</f>
        <v>4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23.599129894344316</v>
      </c>
      <c r="G18" s="56">
        <f>Input!G17</f>
        <v>0</v>
      </c>
      <c r="H18" s="79" t="str">
        <f>Input!H17</f>
        <v>21</v>
      </c>
      <c r="I18" s="80">
        <f>Input!I17</f>
        <v>6890.94592914854</v>
      </c>
      <c r="J18" s="88">
        <f t="shared" si="0"/>
        <v>11677.729503814711</v>
      </c>
      <c r="K18" s="75">
        <f>TOC_calc!J17</f>
        <v>11521.018757287469</v>
      </c>
      <c r="L18" s="47">
        <f>GR_calc!J17</f>
        <v>385.3911010607049</v>
      </c>
      <c r="M18" s="75">
        <f>SUM(Externality_calc!Q17:W17)</f>
        <v>542.10184758794617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23.599129894344316</v>
      </c>
      <c r="U18">
        <f t="shared" si="5"/>
        <v>0</v>
      </c>
      <c r="V18">
        <f t="shared" si="6"/>
        <v>23.599129894344316</v>
      </c>
    </row>
    <row r="19" spans="2:22">
      <c r="B19" s="56">
        <f>Input!B18</f>
        <v>4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8.0590428837787442</v>
      </c>
      <c r="G19" s="56">
        <f>Input!G18</f>
        <v>0</v>
      </c>
      <c r="H19" s="79" t="str">
        <f>Input!H18</f>
        <v>21</v>
      </c>
      <c r="I19" s="80">
        <f>Input!I18</f>
        <v>2353.2405220633932</v>
      </c>
      <c r="J19" s="88">
        <f t="shared" si="0"/>
        <v>9675.4013978026742</v>
      </c>
      <c r="K19" s="75">
        <f>TOC_calc!J18</f>
        <v>9621.8850761303784</v>
      </c>
      <c r="L19" s="47">
        <f>GR_calc!J18</f>
        <v>131.61008157420557</v>
      </c>
      <c r="M19" s="75">
        <f>SUM(Externality_calc!Q18:W18)</f>
        <v>185.12640324650121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8.0590428837787442</v>
      </c>
      <c r="U19">
        <f t="shared" si="5"/>
        <v>0</v>
      </c>
      <c r="V19">
        <f t="shared" si="6"/>
        <v>8.0590428837787442</v>
      </c>
    </row>
    <row r="20" spans="2:22">
      <c r="B20" s="56">
        <f>Input!B19</f>
        <v>2</v>
      </c>
      <c r="C20" s="56">
        <f>Input!C19</f>
        <v>16</v>
      </c>
      <c r="D20" s="56">
        <f>Input!D19</f>
        <v>2</v>
      </c>
      <c r="E20" s="56">
        <f>Input!E19</f>
        <v>2</v>
      </c>
      <c r="F20" s="56">
        <f>Input!F19</f>
        <v>44.291485394655069</v>
      </c>
      <c r="G20" s="56">
        <f>Input!G19</f>
        <v>0</v>
      </c>
      <c r="H20" s="79" t="str">
        <f>Input!H19</f>
        <v>22</v>
      </c>
      <c r="I20" s="80">
        <f>Input!I19</f>
        <v>12933.113735239282</v>
      </c>
      <c r="J20" s="88">
        <f t="shared" si="0"/>
        <v>18571.777429637212</v>
      </c>
      <c r="K20" s="75">
        <f>TOC_calc!J19</f>
        <v>18370.049203810879</v>
      </c>
      <c r="L20" s="47">
        <f>GR_calc!J19</f>
        <v>126.06080618142748</v>
      </c>
      <c r="M20" s="75">
        <f>SUM(Externality_calc!Q19:W19)</f>
        <v>327.78903200776017</v>
      </c>
      <c r="P20">
        <f t="shared" si="1"/>
        <v>0</v>
      </c>
      <c r="Q20">
        <f t="shared" si="2"/>
        <v>44.291485394655069</v>
      </c>
      <c r="R20">
        <f t="shared" si="3"/>
        <v>0</v>
      </c>
      <c r="S20">
        <f t="shared" si="4"/>
        <v>0</v>
      </c>
      <c r="U20">
        <f t="shared" si="5"/>
        <v>44.291485394655069</v>
      </c>
      <c r="V20">
        <f t="shared" si="6"/>
        <v>0</v>
      </c>
    </row>
    <row r="21" spans="2:22">
      <c r="B21" s="56">
        <f>Input!B20</f>
        <v>2</v>
      </c>
      <c r="C21" s="56">
        <f>Input!C20</f>
        <v>17</v>
      </c>
      <c r="D21" s="56">
        <f>Input!D20</f>
        <v>2</v>
      </c>
      <c r="E21" s="56">
        <f>Input!E20</f>
        <v>2</v>
      </c>
      <c r="F21" s="56">
        <f>Input!F20</f>
        <v>13.448104412678683</v>
      </c>
      <c r="G21" s="56">
        <f>Input!G20</f>
        <v>0</v>
      </c>
      <c r="H21" s="79" t="str">
        <f>Input!H20</f>
        <v>22</v>
      </c>
      <c r="I21" s="80">
        <f>Input!I20</f>
        <v>3926.8464885021758</v>
      </c>
      <c r="J21" s="88">
        <f t="shared" si="0"/>
        <v>15901.343142110291</v>
      </c>
      <c r="K21" s="75">
        <f>TOC_calc!J20</f>
        <v>15840.092944251172</v>
      </c>
      <c r="L21" s="47">
        <f>GR_calc!J20</f>
        <v>38.275503040114053</v>
      </c>
      <c r="M21" s="75">
        <f>SUM(Externality_calc!Q20:W20)</f>
        <v>99.525700899234067</v>
      </c>
      <c r="P21">
        <f t="shared" si="1"/>
        <v>0</v>
      </c>
      <c r="Q21">
        <f t="shared" si="2"/>
        <v>13.448104412678683</v>
      </c>
      <c r="R21">
        <f t="shared" si="3"/>
        <v>0</v>
      </c>
      <c r="S21">
        <f t="shared" si="4"/>
        <v>0</v>
      </c>
      <c r="U21">
        <f t="shared" si="5"/>
        <v>13.448104412678683</v>
      </c>
      <c r="V21">
        <f t="shared" si="6"/>
        <v>0</v>
      </c>
    </row>
    <row r="22" spans="2:22">
      <c r="B22" s="56">
        <f>Input!B21</f>
        <v>3</v>
      </c>
      <c r="C22" s="56">
        <f>Input!C21</f>
        <v>18</v>
      </c>
      <c r="D22" s="56">
        <f>Input!D21</f>
        <v>2</v>
      </c>
      <c r="E22" s="56">
        <f>Input!E21</f>
        <v>2</v>
      </c>
      <c r="F22" s="56">
        <f>Input!F21</f>
        <v>46.571162212554384</v>
      </c>
      <c r="G22" s="56">
        <f>Input!G21</f>
        <v>0</v>
      </c>
      <c r="H22" s="79" t="str">
        <f>Input!H21</f>
        <v>22</v>
      </c>
      <c r="I22" s="80">
        <f>Input!I21</f>
        <v>13598.779366065879</v>
      </c>
      <c r="J22" s="88">
        <f t="shared" si="0"/>
        <v>18769.152910054094</v>
      </c>
      <c r="K22" s="75">
        <f>TOC_calc!J21</f>
        <v>18557.041759477448</v>
      </c>
      <c r="L22" s="47">
        <f>GR_calc!J21</f>
        <v>132.54913898257075</v>
      </c>
      <c r="M22" s="75">
        <f>SUM(Externality_calc!Q21:W21)</f>
        <v>344.66028955921547</v>
      </c>
      <c r="P22">
        <f t="shared" si="1"/>
        <v>0</v>
      </c>
      <c r="Q22">
        <f t="shared" si="2"/>
        <v>0</v>
      </c>
      <c r="R22">
        <f t="shared" si="3"/>
        <v>46.571162212554384</v>
      </c>
      <c r="S22">
        <f t="shared" si="4"/>
        <v>0</v>
      </c>
      <c r="U22">
        <f t="shared" si="5"/>
        <v>46.571162212554384</v>
      </c>
      <c r="V22">
        <f t="shared" si="6"/>
        <v>0</v>
      </c>
    </row>
    <row r="23" spans="2:22">
      <c r="B23" s="56">
        <f>Input!B22</f>
        <v>3</v>
      </c>
      <c r="C23" s="56">
        <f>Input!C22</f>
        <v>19</v>
      </c>
      <c r="D23" s="56">
        <f>Input!D22</f>
        <v>2</v>
      </c>
      <c r="E23" s="56">
        <f>Input!E22</f>
        <v>2</v>
      </c>
      <c r="F23" s="56">
        <f>Input!F22</f>
        <v>14.757613424487261</v>
      </c>
      <c r="G23" s="56">
        <f>Input!G22</f>
        <v>0</v>
      </c>
      <c r="H23" s="79" t="str">
        <f>Input!H22</f>
        <v>22</v>
      </c>
      <c r="I23" s="80">
        <f>Input!I22</f>
        <v>4309.2231199502803</v>
      </c>
      <c r="J23" s="88">
        <f t="shared" si="0"/>
        <v>16014.721042120755</v>
      </c>
      <c r="K23" s="75">
        <f>TOC_calc!J22</f>
        <v>15947.506606952771</v>
      </c>
      <c r="L23" s="47">
        <f>GR_calc!J22</f>
        <v>42.002579706419645</v>
      </c>
      <c r="M23" s="75">
        <f>SUM(Externality_calc!Q22:W22)</f>
        <v>109.21701487440211</v>
      </c>
      <c r="P23">
        <f t="shared" si="1"/>
        <v>0</v>
      </c>
      <c r="Q23">
        <f t="shared" si="2"/>
        <v>0</v>
      </c>
      <c r="R23">
        <f t="shared" si="3"/>
        <v>14.757613424487261</v>
      </c>
      <c r="S23">
        <f t="shared" si="4"/>
        <v>0</v>
      </c>
      <c r="U23">
        <f t="shared" si="5"/>
        <v>14.757613424487261</v>
      </c>
      <c r="V23">
        <f t="shared" si="6"/>
        <v>0</v>
      </c>
    </row>
    <row r="24" spans="2:22">
      <c r="B24" s="56">
        <f>Input!B23</f>
        <v>1</v>
      </c>
      <c r="C24" s="56">
        <f>Input!C23</f>
        <v>20</v>
      </c>
      <c r="D24" s="56">
        <f>Input!D23</f>
        <v>2</v>
      </c>
      <c r="E24" s="56">
        <f>Input!E23</f>
        <v>2</v>
      </c>
      <c r="F24" s="56">
        <f>Input!F23</f>
        <v>32.949658172778122</v>
      </c>
      <c r="G24" s="56">
        <f>Input!G23</f>
        <v>0</v>
      </c>
      <c r="H24" s="79" t="str">
        <f>Input!H23</f>
        <v>22</v>
      </c>
      <c r="I24" s="80">
        <f>Input!I23</f>
        <v>9621.3001864512116</v>
      </c>
      <c r="J24" s="88">
        <f t="shared" si="0"/>
        <v>17589.796747486791</v>
      </c>
      <c r="K24" s="75">
        <f>TOC_calc!J23</f>
        <v>17439.72555376745</v>
      </c>
      <c r="L24" s="47">
        <f>GR_calc!J23</f>
        <v>93.780112264289031</v>
      </c>
      <c r="M24" s="75">
        <f>SUM(Externality_calc!Q23:W23)</f>
        <v>243.85130598363028</v>
      </c>
      <c r="P24">
        <f t="shared" si="1"/>
        <v>32.949658172778122</v>
      </c>
      <c r="Q24">
        <f t="shared" si="2"/>
        <v>0</v>
      </c>
      <c r="R24">
        <f t="shared" si="3"/>
        <v>0</v>
      </c>
      <c r="S24">
        <f t="shared" si="4"/>
        <v>0</v>
      </c>
      <c r="U24">
        <f t="shared" si="5"/>
        <v>32.949658172778122</v>
      </c>
      <c r="V24">
        <f t="shared" si="6"/>
        <v>0</v>
      </c>
    </row>
    <row r="25" spans="2:22">
      <c r="B25" s="56">
        <f>Input!B24</f>
        <v>1</v>
      </c>
      <c r="C25" s="56">
        <f>Input!C24</f>
        <v>21</v>
      </c>
      <c r="D25" s="56">
        <f>Input!D24</f>
        <v>2</v>
      </c>
      <c r="E25" s="56">
        <f>Input!E24</f>
        <v>2</v>
      </c>
      <c r="F25" s="56">
        <f>Input!F24</f>
        <v>31.065879428216281</v>
      </c>
      <c r="G25" s="56">
        <f>Input!G24</f>
        <v>0</v>
      </c>
      <c r="H25" s="79" t="str">
        <f>Input!H24</f>
        <v>22</v>
      </c>
      <c r="I25" s="80">
        <f>Input!I24</f>
        <v>9071.2367930391538</v>
      </c>
      <c r="J25" s="88">
        <f t="shared" ref="J25:J28" si="7">K25-L25+M25</f>
        <v>17426.698306607956</v>
      </c>
      <c r="K25" s="75">
        <f>TOC_calc!J24</f>
        <v>17285.206896126943</v>
      </c>
      <c r="L25" s="47">
        <f>GR_calc!J24</f>
        <v>88.418570083191625</v>
      </c>
      <c r="M25" s="75">
        <f>SUM(Externality_calc!Q24:W24)</f>
        <v>229.9099805642025</v>
      </c>
      <c r="P25">
        <f t="shared" si="1"/>
        <v>31.065879428216281</v>
      </c>
      <c r="Q25">
        <f t="shared" si="2"/>
        <v>0</v>
      </c>
      <c r="R25">
        <f t="shared" si="3"/>
        <v>0</v>
      </c>
      <c r="S25">
        <f t="shared" si="4"/>
        <v>0</v>
      </c>
      <c r="U25">
        <f t="shared" si="5"/>
        <v>31.065879428216281</v>
      </c>
      <c r="V25">
        <f t="shared" si="6"/>
        <v>0</v>
      </c>
    </row>
    <row r="26" spans="2:22">
      <c r="B26" s="56">
        <f>Input!B25</f>
        <v>1</v>
      </c>
      <c r="C26" s="56">
        <f>Input!C25</f>
        <v>22</v>
      </c>
      <c r="D26" s="56">
        <f>Input!D25</f>
        <v>2</v>
      </c>
      <c r="E26" s="56">
        <f>Input!E25</f>
        <v>2</v>
      </c>
      <c r="F26" s="56">
        <f>Input!F25</f>
        <v>9.1559975139838414</v>
      </c>
      <c r="G26" s="56">
        <f>Input!G25</f>
        <v>0</v>
      </c>
      <c r="H26" s="79" t="str">
        <f>Input!H25</f>
        <v>22</v>
      </c>
      <c r="I26" s="80">
        <f>Input!I25</f>
        <v>2673.5512740832819</v>
      </c>
      <c r="J26" s="88">
        <f t="shared" si="7"/>
        <v>15529.730528217433</v>
      </c>
      <c r="K26" s="75">
        <f>TOC_calc!J25</f>
        <v>15488.028988571414</v>
      </c>
      <c r="L26" s="47">
        <f>GR_calc!J25</f>
        <v>26.059465328910257</v>
      </c>
      <c r="M26" s="75">
        <f>SUM(Externality_calc!Q25:W25)</f>
        <v>67.761004974929122</v>
      </c>
      <c r="P26">
        <f t="shared" si="1"/>
        <v>9.1559975139838414</v>
      </c>
      <c r="Q26">
        <f t="shared" si="2"/>
        <v>0</v>
      </c>
      <c r="R26">
        <f t="shared" si="3"/>
        <v>0</v>
      </c>
      <c r="S26">
        <f t="shared" si="4"/>
        <v>0</v>
      </c>
      <c r="U26">
        <f t="shared" si="5"/>
        <v>9.1559975139838414</v>
      </c>
      <c r="V26">
        <f t="shared" si="6"/>
        <v>0</v>
      </c>
    </row>
    <row r="27" spans="2:22">
      <c r="B27" s="56">
        <f>Input!B26</f>
        <v>4</v>
      </c>
      <c r="C27" s="56">
        <f>Input!C26</f>
        <v>23</v>
      </c>
      <c r="D27" s="56">
        <f>Input!D26</f>
        <v>2</v>
      </c>
      <c r="E27" s="56">
        <f>Input!E26</f>
        <v>2</v>
      </c>
      <c r="F27" s="56">
        <f>Input!F26</f>
        <v>19.706028589185831</v>
      </c>
      <c r="G27" s="56">
        <f>Input!G26</f>
        <v>0</v>
      </c>
      <c r="H27" s="79" t="str">
        <f>Input!H26</f>
        <v>22</v>
      </c>
      <c r="I27" s="80">
        <f>Input!I26</f>
        <v>5754.1603480422627</v>
      </c>
      <c r="J27" s="88">
        <f t="shared" si="7"/>
        <v>16443.157131291755</v>
      </c>
      <c r="K27" s="75">
        <f>TOC_calc!J26</f>
        <v>16353.40484256271</v>
      </c>
      <c r="L27" s="47">
        <f>GR_calc!J26</f>
        <v>56.086578005956937</v>
      </c>
      <c r="M27" s="75">
        <f>SUM(Externality_calc!Q26:W26)</f>
        <v>145.8388667350039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19.706028589185831</v>
      </c>
      <c r="U27">
        <f t="shared" si="5"/>
        <v>19.706028589185831</v>
      </c>
      <c r="V27">
        <f t="shared" si="6"/>
        <v>0</v>
      </c>
    </row>
    <row r="28" spans="2:22">
      <c r="B28" s="56">
        <f>Input!B27</f>
        <v>4</v>
      </c>
      <c r="C28" s="56">
        <f>Input!C27</f>
        <v>24</v>
      </c>
      <c r="D28" s="56">
        <f>Input!D27</f>
        <v>2</v>
      </c>
      <c r="E28" s="56">
        <f>Input!E27</f>
        <v>2</v>
      </c>
      <c r="F28" s="56">
        <f>Input!F27</f>
        <v>30.628962088253573</v>
      </c>
      <c r="G28" s="56">
        <f>Input!G27</f>
        <v>0</v>
      </c>
      <c r="H28" s="79" t="str">
        <f>Input!H27</f>
        <v>22</v>
      </c>
      <c r="I28" s="80">
        <f>Input!I27</f>
        <v>8943.6569297700444</v>
      </c>
      <c r="J28" s="88">
        <f t="shared" si="7"/>
        <v>17388.869799865024</v>
      </c>
      <c r="K28" s="75">
        <f>TOC_calc!J27</f>
        <v>17249.368355605242</v>
      </c>
      <c r="L28" s="47">
        <f>GR_calc!J27</f>
        <v>87.175031926374928</v>
      </c>
      <c r="M28" s="75">
        <f>SUM(Externality_calc!Q27:W27)</f>
        <v>226.67647618615644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30.628962088253573</v>
      </c>
      <c r="U28">
        <f t="shared" si="5"/>
        <v>30.628962088253573</v>
      </c>
      <c r="V28">
        <f t="shared" si="6"/>
        <v>0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3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89" t="s">
        <v>33</v>
      </c>
      <c r="J1" s="90" t="s">
        <v>29</v>
      </c>
      <c r="K1" s="90" t="s">
        <v>100</v>
      </c>
      <c r="L1" s="90" t="s">
        <v>26</v>
      </c>
      <c r="M1" s="90" t="s">
        <v>27</v>
      </c>
      <c r="N1" s="90" t="s">
        <v>28</v>
      </c>
      <c r="O1" s="92" t="s">
        <v>104</v>
      </c>
      <c r="P1" s="92" t="s">
        <v>101</v>
      </c>
      <c r="Q1" s="92" t="s">
        <v>103</v>
      </c>
      <c r="R1" s="63" t="s">
        <v>108</v>
      </c>
      <c r="S1" s="63" t="s">
        <v>81</v>
      </c>
      <c r="T1" s="64" t="s">
        <v>82</v>
      </c>
      <c r="U1" s="64" t="s">
        <v>83</v>
      </c>
      <c r="V1" s="64" t="s">
        <v>84</v>
      </c>
      <c r="W1" s="64" t="s">
        <v>85</v>
      </c>
      <c r="X1" s="64" t="s">
        <v>86</v>
      </c>
      <c r="Y1" s="64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35.031075201988813</v>
      </c>
      <c r="F2" s="56">
        <f>Input!G4</f>
        <v>0</v>
      </c>
      <c r="G2" s="56" t="str">
        <f>Input!H4</f>
        <v>21</v>
      </c>
      <c r="H2" s="16">
        <f>E2*365*0.8</f>
        <v>10229.073958980734</v>
      </c>
      <c r="I2" s="91">
        <f>TOC_calc!J4</f>
        <v>12918.101821245376</v>
      </c>
      <c r="J2" s="91">
        <f>TOC_calc!K4</f>
        <v>7600</v>
      </c>
      <c r="K2" s="91">
        <f>TOC_calc!L4</f>
        <v>0</v>
      </c>
      <c r="L2" s="91">
        <f>TOC_calc!M4</f>
        <v>2695.7939803986824</v>
      </c>
      <c r="M2" s="91">
        <f>TOC_calc!N4</f>
        <v>1585.3078408466936</v>
      </c>
      <c r="N2" s="91">
        <f>TOC_calc!O4</f>
        <v>1037</v>
      </c>
      <c r="O2" s="17">
        <f>GR_calc!J4</f>
        <v>572.08315322974465</v>
      </c>
      <c r="P2" s="17">
        <f>GR_calc!K4</f>
        <v>572.08315322974465</v>
      </c>
      <c r="Q2" s="17">
        <f>GR_calc!L4</f>
        <v>0</v>
      </c>
      <c r="R2" s="37">
        <f>SUM(S2:Y2)</f>
        <v>804.70808351885898</v>
      </c>
      <c r="S2" s="37">
        <f>Externality_calc!Q4</f>
        <v>464.5645248698757</v>
      </c>
      <c r="T2" s="37">
        <f>Externality_calc!R4</f>
        <v>0</v>
      </c>
      <c r="U2" s="37">
        <f>Externality_calc!S4</f>
        <v>103.63384255223008</v>
      </c>
      <c r="V2" s="37">
        <f>Externality_calc!T4</f>
        <v>34.350481455542734</v>
      </c>
      <c r="W2" s="37">
        <f>Externality_calc!U4</f>
        <v>54.212410155339704</v>
      </c>
      <c r="X2" s="37">
        <f>Externality_calc!V4</f>
        <v>59.518027523162218</v>
      </c>
      <c r="Y2" s="37">
        <f>Externality_calc!W4</f>
        <v>88.428796962708446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46.888129272840274</v>
      </c>
      <c r="F3" s="56">
        <f>Input!G5</f>
        <v>0</v>
      </c>
      <c r="G3" s="56" t="str">
        <f>Input!H5</f>
        <v>21</v>
      </c>
      <c r="H3" s="16">
        <f>E3*365*0.8</f>
        <v>13691.33374766936</v>
      </c>
      <c r="I3" s="91">
        <f>TOC_calc!J5</f>
        <v>14367.136870402108</v>
      </c>
      <c r="J3" s="91">
        <f>TOC_calc!K5</f>
        <v>7600</v>
      </c>
      <c r="K3" s="91">
        <f>TOC_calc!L5</f>
        <v>0</v>
      </c>
      <c r="L3" s="91">
        <f>TOC_calc!M5</f>
        <v>3608.2459906540894</v>
      </c>
      <c r="M3" s="91">
        <f>TOC_calc!N5</f>
        <v>2121.890879748019</v>
      </c>
      <c r="N3" s="91">
        <f>TOC_calc!O5</f>
        <v>1037</v>
      </c>
      <c r="O3" s="17">
        <f>GR_calc!J5</f>
        <v>765.71754331786781</v>
      </c>
      <c r="P3" s="17">
        <f>GR_calc!K5</f>
        <v>765.71754331786781</v>
      </c>
      <c r="Q3" s="17">
        <f>GR_calc!L5</f>
        <v>0</v>
      </c>
      <c r="R3" s="37">
        <f t="shared" ref="R3:R21" si="0">SUM(S3:Y3)</f>
        <v>1077.0796051612394</v>
      </c>
      <c r="S3" s="37">
        <f>Externality_calc!Q5</f>
        <v>621.80682071778642</v>
      </c>
      <c r="T3" s="37">
        <f>Externality_calc!R5</f>
        <v>0</v>
      </c>
      <c r="U3" s="37">
        <f>Externality_calc!S5</f>
        <v>138.71104379788684</v>
      </c>
      <c r="V3" s="37">
        <f>Externality_calc!T5</f>
        <v>45.977173289284309</v>
      </c>
      <c r="W3" s="37">
        <f>Externality_calc!U5</f>
        <v>72.561817783186257</v>
      </c>
      <c r="X3" s="37">
        <f>Externality_calc!V5</f>
        <v>79.663240493744809</v>
      </c>
      <c r="Y3" s="37">
        <f>Externality_calc!W5</f>
        <v>118.35950907935087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43.474829086389065</v>
      </c>
      <c r="F4" s="56">
        <f>Input!G6</f>
        <v>0</v>
      </c>
      <c r="G4" s="56" t="str">
        <f>Input!H6</f>
        <v>21</v>
      </c>
      <c r="H4" s="16">
        <f>E4*365*0.8</f>
        <v>12694.650093225608</v>
      </c>
      <c r="I4" s="91">
        <f>TOC_calc!J6</f>
        <v>13950.001924916796</v>
      </c>
      <c r="J4" s="91">
        <f>TOC_calc!K6</f>
        <v>7600</v>
      </c>
      <c r="K4" s="91">
        <f>TOC_calc!L6</f>
        <v>0</v>
      </c>
      <c r="L4" s="91">
        <f>TOC_calc!M6</f>
        <v>3345.5776585268909</v>
      </c>
      <c r="M4" s="91">
        <f>TOC_calc!N6</f>
        <v>1967.4242663899063</v>
      </c>
      <c r="N4" s="91">
        <f>TOC_calc!O6</f>
        <v>1037</v>
      </c>
      <c r="O4" s="17">
        <f>GR_calc!J6</f>
        <v>709.97584762838403</v>
      </c>
      <c r="P4" s="17">
        <f>GR_calc!K6</f>
        <v>709.97584762838403</v>
      </c>
      <c r="Q4" s="17">
        <f>GR_calc!L6</f>
        <v>0</v>
      </c>
      <c r="R4" s="37">
        <f t="shared" si="0"/>
        <v>998.67178479956897</v>
      </c>
      <c r="S4" s="37">
        <f>Externality_calc!Q6</f>
        <v>576.54134798496716</v>
      </c>
      <c r="T4" s="37">
        <f>Externality_calc!R6</f>
        <v>0</v>
      </c>
      <c r="U4" s="37">
        <f>Externality_calc!S6</f>
        <v>128.61334019996534</v>
      </c>
      <c r="V4" s="37">
        <f>Externality_calc!T6</f>
        <v>42.63018767491652</v>
      </c>
      <c r="W4" s="37">
        <f>Externality_calc!U6</f>
        <v>67.279558285747683</v>
      </c>
      <c r="X4" s="37">
        <f>Externality_calc!V6</f>
        <v>73.86402099304037</v>
      </c>
      <c r="Y4" s="37">
        <f>Externality_calc!W6</f>
        <v>109.74332966093175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35.098197638284645</v>
      </c>
      <c r="F5" s="56">
        <f>Input!G7</f>
        <v>0</v>
      </c>
      <c r="G5" s="56" t="str">
        <f>Input!H7</f>
        <v>21</v>
      </c>
      <c r="H5" s="16">
        <f t="shared" ref="H5:H21" si="1">E5*365*0.8</f>
        <v>10248.673710379117</v>
      </c>
      <c r="I5" s="91">
        <f>TOC_calc!J7</f>
        <v>12926.304766276768</v>
      </c>
      <c r="J5" s="91">
        <f>TOC_calc!K7</f>
        <v>7600</v>
      </c>
      <c r="K5" s="91">
        <f>TOC_calc!L7</f>
        <v>0</v>
      </c>
      <c r="L5" s="91">
        <f>TOC_calc!M7</f>
        <v>2700.9593445410228</v>
      </c>
      <c r="M5" s="91">
        <f>TOC_calc!N7</f>
        <v>1588.3454217357457</v>
      </c>
      <c r="N5" s="91">
        <f>TOC_calc!O7</f>
        <v>1037</v>
      </c>
      <c r="O5" s="17">
        <f>GR_calc!J7</f>
        <v>573.17931184854717</v>
      </c>
      <c r="P5" s="17">
        <f>GR_calc!K7</f>
        <v>573.17931184854717</v>
      </c>
      <c r="Q5" s="17">
        <f>GR_calc!L7</f>
        <v>0</v>
      </c>
      <c r="R5" s="37">
        <f t="shared" si="0"/>
        <v>806.24997073645898</v>
      </c>
      <c r="S5" s="37">
        <f>Externality_calc!Q7</f>
        <v>465.45466890759309</v>
      </c>
      <c r="T5" s="37">
        <f>Externality_calc!R7</f>
        <v>0</v>
      </c>
      <c r="U5" s="37">
        <f>Externality_calc!S7</f>
        <v>103.8324135625315</v>
      </c>
      <c r="V5" s="37">
        <f>Externality_calc!T7</f>
        <v>34.416299817951995</v>
      </c>
      <c r="W5" s="37">
        <f>Externality_calc!U7</f>
        <v>54.316285615231067</v>
      </c>
      <c r="X5" s="37">
        <f>Externality_calc!V7</f>
        <v>59.63206898457446</v>
      </c>
      <c r="Y5" s="37">
        <f>Externality_calc!W7</f>
        <v>88.598233848576825</v>
      </c>
    </row>
    <row r="6" spans="1:25">
      <c r="A6" s="56">
        <f>Input!B8</f>
        <v>3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38.403356121814795</v>
      </c>
      <c r="F6" s="56">
        <f>Input!G8</f>
        <v>0</v>
      </c>
      <c r="G6" s="56" t="str">
        <f>Input!H8</f>
        <v>21</v>
      </c>
      <c r="H6" s="16">
        <f t="shared" si="1"/>
        <v>11213.77998756992</v>
      </c>
      <c r="I6" s="91">
        <f>TOC_calc!J8</f>
        <v>13330.223855878168</v>
      </c>
      <c r="J6" s="91">
        <f>TOC_calc!K8</f>
        <v>7600</v>
      </c>
      <c r="K6" s="91">
        <f>TOC_calc!L8</f>
        <v>0</v>
      </c>
      <c r="L6" s="91">
        <f>TOC_calc!M8</f>
        <v>2955.3057011055612</v>
      </c>
      <c r="M6" s="91">
        <f>TOC_calc!N8</f>
        <v>1737.918154772608</v>
      </c>
      <c r="N6" s="91">
        <f>TOC_calc!O8</f>
        <v>1037</v>
      </c>
      <c r="O6" s="17">
        <f>GR_calc!J8</f>
        <v>627.15497420773795</v>
      </c>
      <c r="P6" s="17">
        <f>GR_calc!K8</f>
        <v>627.15497420773795</v>
      </c>
      <c r="Q6" s="17">
        <f>GR_calc!L8</f>
        <v>0</v>
      </c>
      <c r="R6" s="37">
        <f t="shared" si="0"/>
        <v>882.17363946977378</v>
      </c>
      <c r="S6" s="37">
        <f>Externality_calc!Q8</f>
        <v>509.28602069075646</v>
      </c>
      <c r="T6" s="37">
        <f>Externality_calc!R8</f>
        <v>0</v>
      </c>
      <c r="U6" s="37">
        <f>Externality_calc!S8</f>
        <v>113.61019719941184</v>
      </c>
      <c r="V6" s="37">
        <f>Externality_calc!T8</f>
        <v>37.657244737327083</v>
      </c>
      <c r="W6" s="37">
        <f>Externality_calc!U8</f>
        <v>59.431190205066898</v>
      </c>
      <c r="X6" s="37">
        <f>Externality_calc!V8</f>
        <v>65.247555019670301</v>
      </c>
      <c r="Y6" s="37">
        <f>Externality_calc!W8</f>
        <v>96.941431617541326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50.602858918582974</v>
      </c>
      <c r="F7" s="56">
        <f>Input!G9</f>
        <v>0</v>
      </c>
      <c r="G7" s="56" t="str">
        <f>Input!H9</f>
        <v>21</v>
      </c>
      <c r="H7" s="16">
        <f t="shared" si="1"/>
        <v>14776.034804226229</v>
      </c>
      <c r="I7" s="91">
        <f>TOC_calc!J9</f>
        <v>14821.109115333957</v>
      </c>
      <c r="J7" s="91">
        <f>TOC_calc!K9</f>
        <v>7600</v>
      </c>
      <c r="K7" s="91">
        <f>TOC_calc!L9</f>
        <v>0</v>
      </c>
      <c r="L7" s="91">
        <f>TOC_calc!M9</f>
        <v>3894.1106339760613</v>
      </c>
      <c r="M7" s="91">
        <f>TOC_calc!N9</f>
        <v>2289.9984813578958</v>
      </c>
      <c r="N7" s="91">
        <f>TOC_calc!O9</f>
        <v>1037</v>
      </c>
      <c r="O7" s="17">
        <f>GR_calc!J9</f>
        <v>826.38180317512297</v>
      </c>
      <c r="P7" s="17">
        <f>GR_calc!K9</f>
        <v>826.38180317512297</v>
      </c>
      <c r="Q7" s="17">
        <f>GR_calc!L9</f>
        <v>0</v>
      </c>
      <c r="R7" s="37">
        <f t="shared" si="0"/>
        <v>1162.4116412686151</v>
      </c>
      <c r="S7" s="37">
        <f>Externality_calc!Q9</f>
        <v>671.06969954591102</v>
      </c>
      <c r="T7" s="37">
        <f>Externality_calc!R9</f>
        <v>0</v>
      </c>
      <c r="U7" s="37">
        <f>Externality_calc!S9</f>
        <v>149.70047832169914</v>
      </c>
      <c r="V7" s="37">
        <f>Externality_calc!T9</f>
        <v>49.619732105212265</v>
      </c>
      <c r="W7" s="37">
        <f>Externality_calc!U9</f>
        <v>78.310555040322157</v>
      </c>
      <c r="X7" s="37">
        <f>Externality_calc!V9</f>
        <v>85.974590631346899</v>
      </c>
      <c r="Y7" s="37">
        <f>Externality_calc!W9</f>
        <v>127.73658562412349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46.263517712865138</v>
      </c>
      <c r="F8" s="56">
        <f>Input!G10</f>
        <v>0</v>
      </c>
      <c r="G8" s="56" t="str">
        <f>Input!H10</f>
        <v>21</v>
      </c>
      <c r="H8" s="16">
        <f t="shared" si="1"/>
        <v>13508.947172156621</v>
      </c>
      <c r="I8" s="91">
        <f>TOC_calc!J10</f>
        <v>14290.80390969331</v>
      </c>
      <c r="J8" s="91">
        <f>TOC_calc!K10</f>
        <v>7600</v>
      </c>
      <c r="K8" s="91">
        <f>TOC_calc!L10</f>
        <v>0</v>
      </c>
      <c r="L8" s="91">
        <f>TOC_calc!M10</f>
        <v>3560.1794076628603</v>
      </c>
      <c r="M8" s="91">
        <f>TOC_calc!N10</f>
        <v>2093.6245020304477</v>
      </c>
      <c r="N8" s="91">
        <f>TOC_calc!O10</f>
        <v>1037</v>
      </c>
      <c r="O8" s="17">
        <f>GR_calc!J10</f>
        <v>755.51717839289859</v>
      </c>
      <c r="P8" s="17">
        <f>GR_calc!K10</f>
        <v>755.51717839289859</v>
      </c>
      <c r="Q8" s="17">
        <f>GR_calc!L10</f>
        <v>0</v>
      </c>
      <c r="R8" s="37">
        <f t="shared" si="0"/>
        <v>1062.7314879974599</v>
      </c>
      <c r="S8" s="37">
        <f>Externality_calc!Q10</f>
        <v>613.52353592235977</v>
      </c>
      <c r="T8" s="37">
        <f>Externality_calc!R10</f>
        <v>0</v>
      </c>
      <c r="U8" s="37">
        <f>Externality_calc!S10</f>
        <v>136.86323022980397</v>
      </c>
      <c r="V8" s="37">
        <f>Externality_calc!T10</f>
        <v>45.364696861309149</v>
      </c>
      <c r="W8" s="37">
        <f>Externality_calc!U10</f>
        <v>71.595198920308306</v>
      </c>
      <c r="X8" s="37">
        <f>Externality_calc!V10</f>
        <v>78.602021338936382</v>
      </c>
      <c r="Y8" s="37">
        <f>Externality_calc!W10</f>
        <v>116.78280472474215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37.288999378495959</v>
      </c>
      <c r="F9" s="56">
        <f>Input!G11</f>
        <v>0</v>
      </c>
      <c r="G9" s="56" t="str">
        <f>Input!H11</f>
        <v>21</v>
      </c>
      <c r="H9" s="16">
        <f t="shared" si="1"/>
        <v>10888.387818520821</v>
      </c>
      <c r="I9" s="91">
        <f>TOC_calc!J11</f>
        <v>13194.03977771809</v>
      </c>
      <c r="J9" s="91">
        <f>TOC_calc!K11</f>
        <v>7600</v>
      </c>
      <c r="K9" s="91">
        <f>TOC_calc!L11</f>
        <v>0</v>
      </c>
      <c r="L9" s="91">
        <f>TOC_calc!M11</f>
        <v>2869.5510908535462</v>
      </c>
      <c r="M9" s="91">
        <f>TOC_calc!N11</f>
        <v>1687.4886868645422</v>
      </c>
      <c r="N9" s="91">
        <f>TOC_calc!O11</f>
        <v>1037</v>
      </c>
      <c r="O9" s="17">
        <f>GR_calc!J11</f>
        <v>608.95671121224552</v>
      </c>
      <c r="P9" s="17">
        <f>GR_calc!K11</f>
        <v>608.95671121224552</v>
      </c>
      <c r="Q9" s="17">
        <f>GR_calc!L11</f>
        <v>0</v>
      </c>
      <c r="R9" s="37">
        <f t="shared" si="0"/>
        <v>856.57545631091102</v>
      </c>
      <c r="S9" s="37">
        <f>Externality_calc!Q11</f>
        <v>494.50798124976143</v>
      </c>
      <c r="T9" s="37">
        <f>Externality_calc!R11</f>
        <v>0</v>
      </c>
      <c r="U9" s="37">
        <f>Externality_calc!S11</f>
        <v>110.31355070431474</v>
      </c>
      <c r="V9" s="37">
        <f>Externality_calc!T11</f>
        <v>36.564538035476858</v>
      </c>
      <c r="W9" s="37">
        <f>Externality_calc!U11</f>
        <v>57.706665208907509</v>
      </c>
      <c r="X9" s="37">
        <f>Externality_calc!V11</f>
        <v>63.354255572335433</v>
      </c>
      <c r="Y9" s="37">
        <f>Externality_calc!W11</f>
        <v>94.128465540114988</v>
      </c>
    </row>
    <row r="10" spans="1:25">
      <c r="A10" s="56">
        <f>Input!B12</f>
        <v>1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19.630205096333128</v>
      </c>
      <c r="F10" s="56">
        <f>Input!G12</f>
        <v>0</v>
      </c>
      <c r="G10" s="56" t="str">
        <f>Input!H12</f>
        <v>21</v>
      </c>
      <c r="H10" s="16">
        <f t="shared" si="1"/>
        <v>5732.0198881292745</v>
      </c>
      <c r="I10" s="91">
        <f>TOC_calc!J12</f>
        <v>11035.981655708954</v>
      </c>
      <c r="J10" s="91">
        <f>TOC_calc!K12</f>
        <v>7600</v>
      </c>
      <c r="K10" s="91">
        <f>TOC_calc!L12</f>
        <v>0</v>
      </c>
      <c r="L10" s="91">
        <f>TOC_calc!M12</f>
        <v>1510.6298744059682</v>
      </c>
      <c r="M10" s="91">
        <f>TOC_calc!N12</f>
        <v>888.35178130298641</v>
      </c>
      <c r="N10" s="91">
        <f>TOC_calc!O12</f>
        <v>1037</v>
      </c>
      <c r="O10" s="17">
        <f>GR_calc!J12</f>
        <v>320.57564791557684</v>
      </c>
      <c r="P10" s="17">
        <f>GR_calc!K12</f>
        <v>320.57564791557684</v>
      </c>
      <c r="Q10" s="17">
        <f>GR_calc!L12</f>
        <v>0</v>
      </c>
      <c r="R10" s="37">
        <f t="shared" si="0"/>
        <v>450.93062748058475</v>
      </c>
      <c r="S10" s="37">
        <f>Externality_calc!Q12</f>
        <v>260.32592066025063</v>
      </c>
      <c r="T10" s="37">
        <f>Externality_calc!R12</f>
        <v>0</v>
      </c>
      <c r="U10" s="37">
        <f>Externality_calc!S12</f>
        <v>58.072827410843381</v>
      </c>
      <c r="V10" s="37">
        <f>Externality_calc!T12</f>
        <v>19.24882385830422</v>
      </c>
      <c r="W10" s="37">
        <f>Externality_calc!U12</f>
        <v>30.378762969154707</v>
      </c>
      <c r="X10" s="37">
        <f>Externality_calc!V12</f>
        <v>33.351847765795775</v>
      </c>
      <c r="Y10" s="37">
        <f>Externality_calc!W12</f>
        <v>49.552444816236083</v>
      </c>
    </row>
    <row r="11" spans="1:25">
      <c r="A11" s="56">
        <f>Input!B13</f>
        <v>1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37.052827843380982</v>
      </c>
      <c r="F11" s="56">
        <f>Input!G13</f>
        <v>0</v>
      </c>
      <c r="G11" s="56" t="str">
        <f>Input!H13</f>
        <v>21</v>
      </c>
      <c r="H11" s="16">
        <f t="shared" si="1"/>
        <v>10819.425730267249</v>
      </c>
      <c r="I11" s="91">
        <f>TOC_calc!J13</f>
        <v>13165.177563718742</v>
      </c>
      <c r="J11" s="91">
        <f>TOC_calc!K13</f>
        <v>7600</v>
      </c>
      <c r="K11" s="91">
        <f>TOC_calc!L13</f>
        <v>0</v>
      </c>
      <c r="L11" s="91">
        <f>TOC_calc!M13</f>
        <v>2851.3766614638275</v>
      </c>
      <c r="M11" s="91">
        <f>TOC_calc!N13</f>
        <v>1676.8009022549134</v>
      </c>
      <c r="N11" s="91">
        <f>TOC_calc!O13</f>
        <v>1037</v>
      </c>
      <c r="O11" s="17">
        <f>GR_calc!J13</f>
        <v>605.09985681275464</v>
      </c>
      <c r="P11" s="17">
        <f>GR_calc!K13</f>
        <v>605.09985681275464</v>
      </c>
      <c r="Q11" s="17">
        <f>GR_calc!L13</f>
        <v>0</v>
      </c>
      <c r="R11" s="37">
        <f t="shared" si="0"/>
        <v>851.15029758231765</v>
      </c>
      <c r="S11" s="37">
        <f>Externality_calc!Q13</f>
        <v>491.37599296890363</v>
      </c>
      <c r="T11" s="37">
        <f>Externality_calc!R13</f>
        <v>0</v>
      </c>
      <c r="U11" s="37">
        <f>Externality_calc!S13</f>
        <v>109.61487492732819</v>
      </c>
      <c r="V11" s="37">
        <f>Externality_calc!T13</f>
        <v>36.33295490848127</v>
      </c>
      <c r="W11" s="37">
        <f>Externality_calc!U13</f>
        <v>57.341177479660125</v>
      </c>
      <c r="X11" s="37">
        <f>Externality_calc!V13</f>
        <v>62.952998578477519</v>
      </c>
      <c r="Y11" s="37">
        <f>Externality_calc!W13</f>
        <v>93.532298719466908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21.385954008701056</v>
      </c>
      <c r="F12" s="56">
        <f>Input!G14</f>
        <v>0</v>
      </c>
      <c r="G12" s="56" t="str">
        <f>Input!H14</f>
        <v>21</v>
      </c>
      <c r="H12" s="16">
        <f t="shared" si="1"/>
        <v>6244.6985705407087</v>
      </c>
      <c r="I12" s="91">
        <f>TOC_calc!J14</f>
        <v>11250.549430835685</v>
      </c>
      <c r="J12" s="91">
        <f>TOC_calc!K14</f>
        <v>7600</v>
      </c>
      <c r="K12" s="91">
        <f>TOC_calc!L14</f>
        <v>0</v>
      </c>
      <c r="L12" s="91">
        <f>TOC_calc!M14</f>
        <v>1645.7424086847982</v>
      </c>
      <c r="M12" s="91">
        <f>TOC_calc!N14</f>
        <v>967.80702215088661</v>
      </c>
      <c r="N12" s="91">
        <f>TOC_calc!O14</f>
        <v>1037</v>
      </c>
      <c r="O12" s="17">
        <f>GR_calc!J14</f>
        <v>349.24831549073912</v>
      </c>
      <c r="P12" s="17">
        <f>GR_calc!K14</f>
        <v>349.24831549073912</v>
      </c>
      <c r="Q12" s="17">
        <f>GR_calc!L14</f>
        <v>0</v>
      </c>
      <c r="R12" s="37">
        <f t="shared" si="0"/>
        <v>491.26239960762763</v>
      </c>
      <c r="S12" s="37">
        <f>Externality_calc!Q14</f>
        <v>283.60978090610166</v>
      </c>
      <c r="T12" s="37">
        <f>Externality_calc!R14</f>
        <v>0</v>
      </c>
      <c r="U12" s="37">
        <f>Externality_calc!S14</f>
        <v>63.266930226598717</v>
      </c>
      <c r="V12" s="37">
        <f>Externality_calc!T14</f>
        <v>20.970461578731932</v>
      </c>
      <c r="W12" s="37">
        <f>Externality_calc!U14</f>
        <v>33.095875693164892</v>
      </c>
      <c r="X12" s="37">
        <f>Externality_calc!V14</f>
        <v>36.334876733292148</v>
      </c>
      <c r="Y12" s="37">
        <f>Externality_calc!W14</f>
        <v>53.984474469738267</v>
      </c>
    </row>
    <row r="13" spans="1:25">
      <c r="A13" s="56">
        <f>Input!B15</f>
        <v>4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23.060285891858296</v>
      </c>
      <c r="F13" s="56">
        <f>Input!G15</f>
        <v>0</v>
      </c>
      <c r="G13" s="56" t="str">
        <f>Input!H15</f>
        <v>21</v>
      </c>
      <c r="H13" s="16">
        <f t="shared" si="1"/>
        <v>6733.6034804226219</v>
      </c>
      <c r="I13" s="91">
        <f>TOC_calc!J15</f>
        <v>11455.167337452114</v>
      </c>
      <c r="J13" s="91">
        <f>TOC_calc!K15</f>
        <v>7600</v>
      </c>
      <c r="K13" s="91">
        <f>TOC_calc!L15</f>
        <v>0</v>
      </c>
      <c r="L13" s="91">
        <f>TOC_calc!M15</f>
        <v>1774.5895475687516</v>
      </c>
      <c r="M13" s="91">
        <f>TOC_calc!N15</f>
        <v>1043.5777898833621</v>
      </c>
      <c r="N13" s="91">
        <f>TOC_calc!O15</f>
        <v>1037</v>
      </c>
      <c r="O13" s="17">
        <f>GR_calc!J15</f>
        <v>376.59138325976119</v>
      </c>
      <c r="P13" s="17">
        <f>GR_calc!K15</f>
        <v>376.59138325976119</v>
      </c>
      <c r="Q13" s="17">
        <f>GR_calc!L15</f>
        <v>0</v>
      </c>
      <c r="R13" s="37">
        <f t="shared" si="0"/>
        <v>529.72391964665542</v>
      </c>
      <c r="S13" s="37">
        <f>Externality_calc!Q15</f>
        <v>305.81392940249913</v>
      </c>
      <c r="T13" s="37">
        <f>Externality_calc!R15</f>
        <v>0</v>
      </c>
      <c r="U13" s="37">
        <f>Externality_calc!S15</f>
        <v>68.220173761340249</v>
      </c>
      <c r="V13" s="37">
        <f>Externality_calc!T15</f>
        <v>22.612264063274324</v>
      </c>
      <c r="W13" s="37">
        <f>Externality_calc!U15</f>
        <v>35.686991331566112</v>
      </c>
      <c r="X13" s="37">
        <f>Externality_calc!V15</f>
        <v>39.179577631853284</v>
      </c>
      <c r="Y13" s="37">
        <f>Externality_calc!W15</f>
        <v>58.2109834561223</v>
      </c>
    </row>
    <row r="14" spans="1:25">
      <c r="A14" s="56">
        <f>Input!B16</f>
        <v>4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41.1702921068987</v>
      </c>
      <c r="F14" s="56">
        <f>Input!G16</f>
        <v>0</v>
      </c>
      <c r="G14" s="56" t="str">
        <f>Input!H16</f>
        <v>21</v>
      </c>
      <c r="H14" s="16">
        <f t="shared" si="1"/>
        <v>12021.725295214421</v>
      </c>
      <c r="I14" s="91">
        <f>TOC_calc!J16</f>
        <v>13668.367478838951</v>
      </c>
      <c r="J14" s="91">
        <f>TOC_calc!K16</f>
        <v>7600</v>
      </c>
      <c r="K14" s="91">
        <f>TOC_calc!L16</f>
        <v>0</v>
      </c>
      <c r="L14" s="91">
        <f>TOC_calc!M16</f>
        <v>3168.2334896398461</v>
      </c>
      <c r="M14" s="91">
        <f>TOC_calc!N16</f>
        <v>1863.1339891991047</v>
      </c>
      <c r="N14" s="91">
        <f>TOC_calc!O16</f>
        <v>1037</v>
      </c>
      <c r="O14" s="17">
        <f>GR_calc!J16</f>
        <v>672.34106838282582</v>
      </c>
      <c r="P14" s="17">
        <f>GR_calc!K16</f>
        <v>672.34106838282582</v>
      </c>
      <c r="Q14" s="17">
        <f>GR_calc!L16</f>
        <v>0</v>
      </c>
      <c r="R14" s="37">
        <f t="shared" si="0"/>
        <v>945.7336569952945</v>
      </c>
      <c r="S14" s="37">
        <f>Externality_calc!Q16</f>
        <v>545.9797360233332</v>
      </c>
      <c r="T14" s="37">
        <f>Externality_calc!R16</f>
        <v>0</v>
      </c>
      <c r="U14" s="37">
        <f>Externality_calc!S16</f>
        <v>121.79573551294912</v>
      </c>
      <c r="V14" s="37">
        <f>Externality_calc!T16</f>
        <v>40.37042389886485</v>
      </c>
      <c r="W14" s="37">
        <f>Externality_calc!U16</f>
        <v>63.713167496144209</v>
      </c>
      <c r="X14" s="37">
        <f>Externality_calc!V16</f>
        <v>69.94859748455309</v>
      </c>
      <c r="Y14" s="37">
        <f>Externality_calc!W16</f>
        <v>103.92599657944994</v>
      </c>
    </row>
    <row r="15" spans="1:25">
      <c r="A15" s="56">
        <f>Input!B17</f>
        <v>4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23.599129894344316</v>
      </c>
      <c r="F15" s="56">
        <f>Input!G17</f>
        <v>0</v>
      </c>
      <c r="G15" s="56" t="str">
        <f>Input!H17</f>
        <v>21</v>
      </c>
      <c r="H15" s="16">
        <f t="shared" si="1"/>
        <v>6890.94592914854</v>
      </c>
      <c r="I15" s="91">
        <f>TOC_calc!J17</f>
        <v>11521.018757287469</v>
      </c>
      <c r="J15" s="91">
        <f>TOC_calc!K17</f>
        <v>7600</v>
      </c>
      <c r="K15" s="91">
        <f>TOC_calc!L17</f>
        <v>0</v>
      </c>
      <c r="L15" s="91">
        <f>TOC_calc!M17</f>
        <v>1816.0559430447684</v>
      </c>
      <c r="M15" s="91">
        <f>TOC_calc!N17</f>
        <v>1067.9628142427002</v>
      </c>
      <c r="N15" s="91">
        <f>TOC_calc!O17</f>
        <v>1037</v>
      </c>
      <c r="O15" s="17">
        <f>GR_calc!J17</f>
        <v>385.3911010607049</v>
      </c>
      <c r="P15" s="17">
        <f>GR_calc!K17</f>
        <v>385.3911010607049</v>
      </c>
      <c r="Q15" s="17">
        <f>GR_calc!L17</f>
        <v>0</v>
      </c>
      <c r="R15" s="37">
        <f t="shared" si="0"/>
        <v>542.10184758794617</v>
      </c>
      <c r="S15" s="37">
        <f>Externality_calc!Q17</f>
        <v>312.95980792750908</v>
      </c>
      <c r="T15" s="37">
        <f>Externality_calc!R17</f>
        <v>0</v>
      </c>
      <c r="U15" s="37">
        <f>Externality_calc!S17</f>
        <v>69.814257705149089</v>
      </c>
      <c r="V15" s="37">
        <f>Externality_calc!T17</f>
        <v>23.140639250393203</v>
      </c>
      <c r="W15" s="37">
        <f>Externality_calc!U17</f>
        <v>36.520880440138455</v>
      </c>
      <c r="X15" s="37">
        <f>Externality_calc!V17</f>
        <v>40.095077141523859</v>
      </c>
      <c r="Y15" s="37">
        <f>Externality_calc!W17</f>
        <v>59.571185123232546</v>
      </c>
    </row>
    <row r="16" spans="1:25">
      <c r="A16" s="56">
        <f>Input!B18</f>
        <v>4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8.0590428837787442</v>
      </c>
      <c r="F16" s="56">
        <f>Input!G18</f>
        <v>0</v>
      </c>
      <c r="G16" s="56" t="str">
        <f>Input!H18</f>
        <v>21</v>
      </c>
      <c r="H16" s="16">
        <f t="shared" si="1"/>
        <v>2353.2405220633932</v>
      </c>
      <c r="I16" s="91">
        <f>TOC_calc!J18</f>
        <v>9621.8850761303784</v>
      </c>
      <c r="J16" s="91">
        <f>TOC_calc!K18</f>
        <v>7600</v>
      </c>
      <c r="K16" s="91">
        <f>TOC_calc!L18</f>
        <v>0</v>
      </c>
      <c r="L16" s="91">
        <f>TOC_calc!M18</f>
        <v>620.1784892012721</v>
      </c>
      <c r="M16" s="91">
        <f>TOC_calc!N18</f>
        <v>364.70658692910621</v>
      </c>
      <c r="N16" s="91">
        <f>TOC_calc!O18</f>
        <v>1037</v>
      </c>
      <c r="O16" s="17">
        <f>GR_calc!J18</f>
        <v>131.61008157420557</v>
      </c>
      <c r="P16" s="17">
        <f>GR_calc!K18</f>
        <v>131.61008157420557</v>
      </c>
      <c r="Q16" s="17">
        <f>GR_calc!L18</f>
        <v>0</v>
      </c>
      <c r="R16" s="37">
        <f t="shared" si="0"/>
        <v>185.12640324650121</v>
      </c>
      <c r="S16" s="37">
        <f>Externality_calc!Q18</f>
        <v>106.87497904706248</v>
      </c>
      <c r="T16" s="37">
        <f>Externality_calc!R18</f>
        <v>0</v>
      </c>
      <c r="U16" s="37">
        <f>Externality_calc!S18</f>
        <v>23.841391579433459</v>
      </c>
      <c r="V16" s="37">
        <f>Externality_calc!T18</f>
        <v>7.9024694940836078</v>
      </c>
      <c r="W16" s="37">
        <f>Externality_calc!U18</f>
        <v>12.471787855660248</v>
      </c>
      <c r="X16" s="37">
        <f>Externality_calc!V18</f>
        <v>13.692366945672745</v>
      </c>
      <c r="Y16" s="37">
        <f>Externality_calc!W18</f>
        <v>20.343408324588665</v>
      </c>
    </row>
    <row r="17" spans="1:25">
      <c r="A17" s="56">
        <f>Input!B19</f>
        <v>2</v>
      </c>
      <c r="B17" s="56">
        <f>Input!C19</f>
        <v>16</v>
      </c>
      <c r="C17" s="56">
        <f>Input!D19</f>
        <v>2</v>
      </c>
      <c r="D17" s="56">
        <f>Input!E19</f>
        <v>2</v>
      </c>
      <c r="E17" s="56">
        <f>Input!F19</f>
        <v>44.291485394655069</v>
      </c>
      <c r="F17" s="56">
        <f>Input!G19</f>
        <v>0</v>
      </c>
      <c r="G17" s="56" t="str">
        <f>Input!H19</f>
        <v>22</v>
      </c>
      <c r="H17" s="16">
        <f t="shared" si="1"/>
        <v>12933.113735239282</v>
      </c>
      <c r="I17" s="91">
        <f>TOC_calc!J19</f>
        <v>18370.049203810879</v>
      </c>
      <c r="J17" s="91">
        <f>TOC_calc!K19</f>
        <v>13600</v>
      </c>
      <c r="K17" s="91">
        <f>TOC_calc!L19</f>
        <v>0</v>
      </c>
      <c r="L17" s="91">
        <f>TOC_calc!M19</f>
        <v>2801.3512484761663</v>
      </c>
      <c r="M17" s="91">
        <f>TOC_calc!N19</f>
        <v>831.69795533471029</v>
      </c>
      <c r="N17" s="91">
        <f>TOC_calc!O19</f>
        <v>1137</v>
      </c>
      <c r="O17" s="17">
        <f>GR_calc!J19</f>
        <v>126.06080618142748</v>
      </c>
      <c r="P17" s="17">
        <f>GR_calc!K19</f>
        <v>126.06080618142748</v>
      </c>
      <c r="Q17" s="17">
        <f>GR_calc!L19</f>
        <v>0</v>
      </c>
      <c r="R17" s="37">
        <f t="shared" si="0"/>
        <v>327.78903200776017</v>
      </c>
      <c r="S17" s="37">
        <f>Externality_calc!Q19</f>
        <v>252.79083171693239</v>
      </c>
      <c r="T17" s="37">
        <f>Externality_calc!R19</f>
        <v>0</v>
      </c>
      <c r="U17" s="37">
        <f>Externality_calc!S19</f>
        <v>0</v>
      </c>
      <c r="V17" s="37">
        <f>Externality_calc!T19</f>
        <v>35.830556644489192</v>
      </c>
      <c r="W17" s="37">
        <f>Externality_calc!U19</f>
        <v>39.167643646338632</v>
      </c>
      <c r="X17" s="37">
        <f>Externality_calc!V19</f>
        <v>0</v>
      </c>
      <c r="Y17" s="37">
        <f>Externality_calc!W19</f>
        <v>0</v>
      </c>
    </row>
    <row r="18" spans="1:25">
      <c r="A18" s="56">
        <f>Input!B20</f>
        <v>2</v>
      </c>
      <c r="B18" s="56">
        <f>Input!C20</f>
        <v>17</v>
      </c>
      <c r="C18" s="56">
        <f>Input!D20</f>
        <v>2</v>
      </c>
      <c r="D18" s="56">
        <f>Input!E20</f>
        <v>2</v>
      </c>
      <c r="E18" s="56">
        <f>Input!F20</f>
        <v>13.448104412678683</v>
      </c>
      <c r="F18" s="56">
        <f>Input!G20</f>
        <v>0</v>
      </c>
      <c r="G18" s="56" t="str">
        <f>Input!H20</f>
        <v>22</v>
      </c>
      <c r="H18" s="16">
        <f t="shared" si="1"/>
        <v>3926.8464885021758</v>
      </c>
      <c r="I18" s="91">
        <f>TOC_calc!J20</f>
        <v>15840.092944251172</v>
      </c>
      <c r="J18" s="91">
        <f>TOC_calc!K20</f>
        <v>13600</v>
      </c>
      <c r="K18" s="91">
        <f>TOC_calc!L20</f>
        <v>0</v>
      </c>
      <c r="L18" s="91">
        <f>TOC_calc!M20</f>
        <v>850.56673422475671</v>
      </c>
      <c r="M18" s="91">
        <f>TOC_calc!N20</f>
        <v>252.52621002641493</v>
      </c>
      <c r="N18" s="91">
        <f>TOC_calc!O20</f>
        <v>1137</v>
      </c>
      <c r="O18" s="17">
        <f>GR_calc!J20</f>
        <v>38.275503040114053</v>
      </c>
      <c r="P18" s="17">
        <f>GR_calc!K20</f>
        <v>38.275503040114053</v>
      </c>
      <c r="Q18" s="17">
        <f>GR_calc!L20</f>
        <v>0</v>
      </c>
      <c r="R18" s="37">
        <f t="shared" si="0"/>
        <v>99.525700899234067</v>
      </c>
      <c r="S18" s="37">
        <f>Externality_calc!Q20</f>
        <v>76.754199350185687</v>
      </c>
      <c r="T18" s="37">
        <f>Externality_calc!R20</f>
        <v>0</v>
      </c>
      <c r="U18" s="37">
        <f>Externality_calc!S20</f>
        <v>0</v>
      </c>
      <c r="V18" s="37">
        <f>Externality_calc!T20</f>
        <v>10.879135405507011</v>
      </c>
      <c r="W18" s="37">
        <f>Externality_calc!U20</f>
        <v>11.892366143541365</v>
      </c>
      <c r="X18" s="37">
        <f>Externality_calc!V20</f>
        <v>0</v>
      </c>
      <c r="Y18" s="37">
        <f>Externality_calc!W20</f>
        <v>0</v>
      </c>
    </row>
    <row r="19" spans="1:25">
      <c r="A19" s="56">
        <f>Input!B21</f>
        <v>3</v>
      </c>
      <c r="B19" s="56">
        <f>Input!C21</f>
        <v>18</v>
      </c>
      <c r="C19" s="56">
        <f>Input!D21</f>
        <v>2</v>
      </c>
      <c r="D19" s="56">
        <f>Input!E21</f>
        <v>2</v>
      </c>
      <c r="E19" s="56">
        <f>Input!F21</f>
        <v>46.571162212554384</v>
      </c>
      <c r="F19" s="56">
        <f>Input!G21</f>
        <v>0</v>
      </c>
      <c r="G19" s="56" t="str">
        <f>Input!H21</f>
        <v>22</v>
      </c>
      <c r="H19" s="16">
        <f t="shared" si="1"/>
        <v>13598.779366065879</v>
      </c>
      <c r="I19" s="91">
        <f>TOC_calc!J21</f>
        <v>18557.041759477448</v>
      </c>
      <c r="J19" s="91">
        <f>TOC_calc!K21</f>
        <v>13600</v>
      </c>
      <c r="K19" s="91">
        <f>TOC_calc!L21</f>
        <v>0</v>
      </c>
      <c r="L19" s="91">
        <f>TOC_calc!M21</f>
        <v>2945.5364218349055</v>
      </c>
      <c r="M19" s="91">
        <f>TOC_calc!N21</f>
        <v>874.50533764254305</v>
      </c>
      <c r="N19" s="91">
        <f>TOC_calc!O21</f>
        <v>1137</v>
      </c>
      <c r="O19" s="17">
        <f>GR_calc!J21</f>
        <v>132.54913898257075</v>
      </c>
      <c r="P19" s="17">
        <f>GR_calc!K21</f>
        <v>132.54913898257075</v>
      </c>
      <c r="Q19" s="17">
        <f>GR_calc!L21</f>
        <v>0</v>
      </c>
      <c r="R19" s="37">
        <f t="shared" si="0"/>
        <v>344.66028955921547</v>
      </c>
      <c r="S19" s="37">
        <f>Externality_calc!Q21</f>
        <v>265.80194194969329</v>
      </c>
      <c r="T19" s="37">
        <f>Externality_calc!R21</f>
        <v>0</v>
      </c>
      <c r="U19" s="37">
        <f>Externality_calc!S21</f>
        <v>0</v>
      </c>
      <c r="V19" s="37">
        <f>Externality_calc!T21</f>
        <v>37.674750593440095</v>
      </c>
      <c r="W19" s="37">
        <f>Externality_calc!U21</f>
        <v>41.183597016082118</v>
      </c>
      <c r="X19" s="37">
        <f>Externality_calc!V21</f>
        <v>0</v>
      </c>
      <c r="Y19" s="37">
        <f>Externality_calc!W21</f>
        <v>0</v>
      </c>
    </row>
    <row r="20" spans="1:25">
      <c r="A20" s="56">
        <f>Input!B22</f>
        <v>3</v>
      </c>
      <c r="B20" s="56">
        <f>Input!C22</f>
        <v>19</v>
      </c>
      <c r="C20" s="56">
        <f>Input!D22</f>
        <v>2</v>
      </c>
      <c r="D20" s="56">
        <f>Input!E22</f>
        <v>2</v>
      </c>
      <c r="E20" s="56">
        <f>Input!F22</f>
        <v>14.757613424487261</v>
      </c>
      <c r="F20" s="56">
        <f>Input!G22</f>
        <v>0</v>
      </c>
      <c r="G20" s="56" t="str">
        <f>Input!H22</f>
        <v>22</v>
      </c>
      <c r="H20" s="16">
        <f t="shared" si="1"/>
        <v>4309.2231199502803</v>
      </c>
      <c r="I20" s="91">
        <f>TOC_calc!J22</f>
        <v>15947.506606952771</v>
      </c>
      <c r="J20" s="91">
        <f>TOC_calc!K22</f>
        <v>13600</v>
      </c>
      <c r="K20" s="91">
        <f>TOC_calc!L22</f>
        <v>0</v>
      </c>
      <c r="L20" s="91">
        <f>TOC_calc!M22</f>
        <v>933.3906601426587</v>
      </c>
      <c r="M20" s="91">
        <f>TOC_calc!N22</f>
        <v>277.11594681011292</v>
      </c>
      <c r="N20" s="91">
        <f>TOC_calc!O22</f>
        <v>1137</v>
      </c>
      <c r="O20" s="17">
        <f>GR_calc!J22</f>
        <v>42.002579706419645</v>
      </c>
      <c r="P20" s="17">
        <f>GR_calc!K22</f>
        <v>42.002579706419645</v>
      </c>
      <c r="Q20" s="17">
        <f>GR_calc!L22</f>
        <v>0</v>
      </c>
      <c r="R20" s="37">
        <f t="shared" si="0"/>
        <v>109.21701487440211</v>
      </c>
      <c r="S20" s="37">
        <f>Externality_calc!Q22</f>
        <v>84.228138625111356</v>
      </c>
      <c r="T20" s="37">
        <f>Externality_calc!R22</f>
        <v>0</v>
      </c>
      <c r="U20" s="37">
        <f>Externality_calc!S22</f>
        <v>0</v>
      </c>
      <c r="V20" s="37">
        <f>Externality_calc!T22</f>
        <v>11.938491089923467</v>
      </c>
      <c r="W20" s="37">
        <f>Externality_calc!U22</f>
        <v>13.050385159367302</v>
      </c>
      <c r="X20" s="37">
        <f>Externality_calc!V22</f>
        <v>0</v>
      </c>
      <c r="Y20" s="37">
        <f>Externality_calc!W22</f>
        <v>0</v>
      </c>
    </row>
    <row r="21" spans="1:25">
      <c r="A21" s="56">
        <f>Input!B23</f>
        <v>1</v>
      </c>
      <c r="B21" s="56">
        <f>Input!C23</f>
        <v>20</v>
      </c>
      <c r="C21" s="56">
        <f>Input!D23</f>
        <v>2</v>
      </c>
      <c r="D21" s="56">
        <f>Input!E23</f>
        <v>2</v>
      </c>
      <c r="E21" s="56">
        <f>Input!F23</f>
        <v>32.949658172778122</v>
      </c>
      <c r="F21" s="56">
        <f>Input!G23</f>
        <v>0</v>
      </c>
      <c r="G21" s="56" t="str">
        <f>Input!H23</f>
        <v>22</v>
      </c>
      <c r="H21" s="16">
        <f t="shared" si="1"/>
        <v>9621.3001864512116</v>
      </c>
      <c r="I21" s="91">
        <f>TOC_calc!J23</f>
        <v>17439.72555376745</v>
      </c>
      <c r="J21" s="91">
        <f>TOC_calc!K23</f>
        <v>13600</v>
      </c>
      <c r="K21" s="91">
        <f>TOC_calc!L23</f>
        <v>0</v>
      </c>
      <c r="L21" s="91">
        <f>TOC_calc!M23</f>
        <v>2084.0024947619786</v>
      </c>
      <c r="M21" s="91">
        <f>TOC_calc!N23</f>
        <v>618.72305900547246</v>
      </c>
      <c r="N21" s="91">
        <f>TOC_calc!O23</f>
        <v>1137</v>
      </c>
      <c r="O21" s="17">
        <f>GR_calc!J23</f>
        <v>93.780112264289031</v>
      </c>
      <c r="P21" s="17">
        <f>GR_calc!K23</f>
        <v>93.780112264289031</v>
      </c>
      <c r="Q21" s="17">
        <f>GR_calc!L23</f>
        <v>0</v>
      </c>
      <c r="R21" s="37">
        <f t="shared" si="0"/>
        <v>243.85130598363028</v>
      </c>
      <c r="S21" s="37">
        <f>Externality_calc!Q23</f>
        <v>188.05807527264275</v>
      </c>
      <c r="T21" s="37">
        <f>Externality_calc!R23</f>
        <v>0</v>
      </c>
      <c r="U21" s="37">
        <f>Externality_calc!S23</f>
        <v>0</v>
      </c>
      <c r="V21" s="37">
        <f>Externality_calc!T23</f>
        <v>26.655339803048321</v>
      </c>
      <c r="W21" s="37">
        <f>Externality_calc!U23</f>
        <v>29.137890907939219</v>
      </c>
      <c r="X21" s="37">
        <f>Externality_calc!V23</f>
        <v>0</v>
      </c>
      <c r="Y21" s="37">
        <f>Externality_calc!W23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zoomScale="70" zoomScaleNormal="70" workbookViewId="0">
      <selection activeCell="K4" sqref="K4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6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6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7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58">
        <f>K4+L4+M4+N4+O4</f>
        <v>12918.101821245376</v>
      </c>
      <c r="K4" s="59">
        <f>Q4</f>
        <v>7600</v>
      </c>
      <c r="L4" s="59">
        <f>R4*-1</f>
        <v>0</v>
      </c>
      <c r="M4" s="17">
        <f>I4/S4*U4</f>
        <v>2695.7939803986824</v>
      </c>
      <c r="N4" s="15">
        <f>I4*T4</f>
        <v>1585.3078408466936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58">
        <f>K5+L5+M5+N5+O5</f>
        <v>14367.136870402108</v>
      </c>
      <c r="K5" s="59">
        <f>Q5</f>
        <v>7600</v>
      </c>
      <c r="L5" s="59">
        <f>R5*-1</f>
        <v>0</v>
      </c>
      <c r="M5" s="17">
        <f>I5/S5*U5</f>
        <v>3608.2459906540894</v>
      </c>
      <c r="N5" s="15">
        <f>I5*T5</f>
        <v>2121.890879748019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58">
        <f>K6+L6+M6+N6+O6</f>
        <v>13950.001924916796</v>
      </c>
      <c r="K6" s="59">
        <f>Q6</f>
        <v>7600</v>
      </c>
      <c r="L6" s="59">
        <f>R6*-1</f>
        <v>0</v>
      </c>
      <c r="M6" s="17">
        <f>I6/S6*U6</f>
        <v>3345.5776585268909</v>
      </c>
      <c r="N6" s="15">
        <f>I6*T6</f>
        <v>1967.4242663899063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10248.673710379117</v>
      </c>
      <c r="J7" s="58">
        <f>K7+L7+M7+N7+O7</f>
        <v>12926.304766276768</v>
      </c>
      <c r="K7" s="59">
        <f t="shared" ref="K7:K20" si="2">Q7</f>
        <v>7600</v>
      </c>
      <c r="L7" s="59">
        <f t="shared" ref="L7:L20" si="3">R7*-1</f>
        <v>0</v>
      </c>
      <c r="M7" s="17">
        <f t="shared" ref="M7:M20" si="4">I7/S7*U7</f>
        <v>2700.9593445410228</v>
      </c>
      <c r="N7" s="15">
        <f t="shared" ref="N7:N20" si="5">I7*T7</f>
        <v>1588.3454217357457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0"/>
        <v>21</v>
      </c>
      <c r="I8" s="16">
        <f t="shared" si="1"/>
        <v>11213.77998756992</v>
      </c>
      <c r="J8" s="58">
        <f t="shared" ref="J8:J43" si="7">K8+L8+M8+N8+O8</f>
        <v>13330.223855878168</v>
      </c>
      <c r="K8" s="59">
        <f t="shared" si="2"/>
        <v>7600</v>
      </c>
      <c r="L8" s="59">
        <f t="shared" si="3"/>
        <v>0</v>
      </c>
      <c r="M8" s="17">
        <f t="shared" si="4"/>
        <v>2955.3057011055612</v>
      </c>
      <c r="N8" s="15">
        <f t="shared" si="5"/>
        <v>1737.918154772608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0"/>
        <v>21</v>
      </c>
      <c r="I9" s="16">
        <f t="shared" si="1"/>
        <v>14776.034804226229</v>
      </c>
      <c r="J9" s="58">
        <f t="shared" si="7"/>
        <v>14821.109115333957</v>
      </c>
      <c r="K9" s="59">
        <f t="shared" si="2"/>
        <v>7600</v>
      </c>
      <c r="L9" s="59">
        <f t="shared" si="3"/>
        <v>0</v>
      </c>
      <c r="M9" s="17">
        <f t="shared" si="4"/>
        <v>3894.1106339760613</v>
      </c>
      <c r="N9" s="15">
        <f t="shared" si="5"/>
        <v>2289.9984813578958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0"/>
        <v>21</v>
      </c>
      <c r="I10" s="16">
        <f t="shared" si="1"/>
        <v>13508.947172156621</v>
      </c>
      <c r="J10" s="58">
        <f t="shared" si="7"/>
        <v>14290.80390969331</v>
      </c>
      <c r="K10" s="59">
        <f t="shared" si="2"/>
        <v>7600</v>
      </c>
      <c r="L10" s="59">
        <f t="shared" si="3"/>
        <v>0</v>
      </c>
      <c r="M10" s="17">
        <f t="shared" si="4"/>
        <v>3560.1794076628603</v>
      </c>
      <c r="N10" s="15">
        <f t="shared" si="5"/>
        <v>2093.6245020304477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0"/>
        <v>21</v>
      </c>
      <c r="I11" s="16">
        <f t="shared" si="1"/>
        <v>10888.387818520821</v>
      </c>
      <c r="J11" s="58">
        <f t="shared" si="7"/>
        <v>13194.03977771809</v>
      </c>
      <c r="K11" s="59">
        <f t="shared" si="2"/>
        <v>7600</v>
      </c>
      <c r="L11" s="59">
        <f t="shared" si="3"/>
        <v>0</v>
      </c>
      <c r="M11" s="17">
        <f t="shared" si="4"/>
        <v>2869.5510908535462</v>
      </c>
      <c r="N11" s="15">
        <f t="shared" si="5"/>
        <v>1687.4886868645422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0"/>
        <v>21</v>
      </c>
      <c r="I12" s="16">
        <f t="shared" si="1"/>
        <v>5732.0198881292745</v>
      </c>
      <c r="J12" s="58">
        <f t="shared" si="7"/>
        <v>11035.981655708954</v>
      </c>
      <c r="K12" s="59">
        <f t="shared" si="2"/>
        <v>7600</v>
      </c>
      <c r="L12" s="59">
        <f t="shared" si="3"/>
        <v>0</v>
      </c>
      <c r="M12" s="17">
        <f t="shared" si="4"/>
        <v>1510.6298744059682</v>
      </c>
      <c r="N12" s="15">
        <f t="shared" si="5"/>
        <v>888.35178130298641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0"/>
        <v>21</v>
      </c>
      <c r="I13" s="16">
        <f t="shared" si="1"/>
        <v>10819.425730267249</v>
      </c>
      <c r="J13" s="58">
        <f t="shared" si="7"/>
        <v>13165.177563718742</v>
      </c>
      <c r="K13" s="59">
        <f t="shared" si="2"/>
        <v>7600</v>
      </c>
      <c r="L13" s="59">
        <f t="shared" si="3"/>
        <v>0</v>
      </c>
      <c r="M13" s="17">
        <f t="shared" si="4"/>
        <v>2851.3766614638275</v>
      </c>
      <c r="N13" s="15">
        <f t="shared" si="5"/>
        <v>1676.8009022549134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0"/>
        <v>21</v>
      </c>
      <c r="I14" s="16">
        <f t="shared" si="1"/>
        <v>6244.6985705407087</v>
      </c>
      <c r="J14" s="58">
        <f t="shared" si="7"/>
        <v>11250.549430835685</v>
      </c>
      <c r="K14" s="59">
        <f t="shared" si="2"/>
        <v>7600</v>
      </c>
      <c r="L14" s="59">
        <f t="shared" si="3"/>
        <v>0</v>
      </c>
      <c r="M14" s="17">
        <f t="shared" si="4"/>
        <v>1645.7424086847982</v>
      </c>
      <c r="N14" s="15">
        <f t="shared" si="5"/>
        <v>967.80702215088661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0"/>
        <v>21</v>
      </c>
      <c r="I15" s="16">
        <f t="shared" si="1"/>
        <v>6733.6034804226219</v>
      </c>
      <c r="J15" s="58">
        <f t="shared" si="7"/>
        <v>11455.167337452114</v>
      </c>
      <c r="K15" s="59">
        <f t="shared" si="2"/>
        <v>7600</v>
      </c>
      <c r="L15" s="59">
        <f t="shared" si="3"/>
        <v>0</v>
      </c>
      <c r="M15" s="17">
        <f t="shared" si="4"/>
        <v>1774.5895475687516</v>
      </c>
      <c r="N15" s="15">
        <f t="shared" si="5"/>
        <v>1043.5777898833621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0"/>
        <v>21</v>
      </c>
      <c r="I16" s="16">
        <f t="shared" si="1"/>
        <v>12021.725295214421</v>
      </c>
      <c r="J16" s="58">
        <f t="shared" si="7"/>
        <v>13668.367478838951</v>
      </c>
      <c r="K16" s="59">
        <f t="shared" si="2"/>
        <v>7600</v>
      </c>
      <c r="L16" s="59">
        <f t="shared" si="3"/>
        <v>0</v>
      </c>
      <c r="M16" s="17">
        <f t="shared" si="4"/>
        <v>3168.2334896398461</v>
      </c>
      <c r="N16" s="15">
        <f t="shared" si="5"/>
        <v>1863.1339891991047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0"/>
        <v>21</v>
      </c>
      <c r="I17" s="16">
        <f t="shared" si="1"/>
        <v>6890.94592914854</v>
      </c>
      <c r="J17" s="58">
        <f t="shared" si="7"/>
        <v>11521.018757287469</v>
      </c>
      <c r="K17" s="59">
        <f t="shared" si="2"/>
        <v>7600</v>
      </c>
      <c r="L17" s="59">
        <f t="shared" si="3"/>
        <v>0</v>
      </c>
      <c r="M17" s="17">
        <f t="shared" si="4"/>
        <v>1816.0559430447684</v>
      </c>
      <c r="N17" s="15">
        <f t="shared" si="5"/>
        <v>1067.9628142427002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0"/>
        <v>21</v>
      </c>
      <c r="I18" s="16">
        <f t="shared" si="1"/>
        <v>2353.2405220633932</v>
      </c>
      <c r="J18" s="58">
        <f t="shared" si="7"/>
        <v>9621.8850761303784</v>
      </c>
      <c r="K18" s="59">
        <f t="shared" si="2"/>
        <v>7600</v>
      </c>
      <c r="L18" s="59">
        <f t="shared" si="3"/>
        <v>0</v>
      </c>
      <c r="M18" s="17">
        <f t="shared" si="4"/>
        <v>620.1784892012721</v>
      </c>
      <c r="N18" s="15">
        <f t="shared" si="5"/>
        <v>364.70658692910621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0</v>
      </c>
      <c r="H19" s="14" t="str">
        <f t="shared" si="0"/>
        <v>22</v>
      </c>
      <c r="I19" s="16">
        <f t="shared" si="1"/>
        <v>12933.113735239282</v>
      </c>
      <c r="J19" s="58">
        <f t="shared" si="7"/>
        <v>18370.049203810879</v>
      </c>
      <c r="K19" s="59">
        <f t="shared" si="2"/>
        <v>13600</v>
      </c>
      <c r="L19" s="59">
        <f t="shared" si="3"/>
        <v>0</v>
      </c>
      <c r="M19" s="17">
        <f t="shared" si="4"/>
        <v>2801.3512484761663</v>
      </c>
      <c r="N19" s="15">
        <f t="shared" si="5"/>
        <v>831.69795533471029</v>
      </c>
      <c r="O19" s="15">
        <f t="shared" si="6"/>
        <v>1137</v>
      </c>
      <c r="Q19" s="8">
        <f>VLOOKUP(H19,'TOC Factors'!$F$6:$M$17,3,TRUE)</f>
        <v>13600</v>
      </c>
      <c r="R19" s="8">
        <f>IF(G19=1,Subsidy!$D$3,0)</f>
        <v>0</v>
      </c>
      <c r="S19" s="9">
        <f>VLOOKUP(H19,'TOC Factors'!$F$6:$M$17,4,TRUE)</f>
        <v>29.07</v>
      </c>
      <c r="T19" s="10">
        <f>VLOOKUP(H19,'TOC Factors'!$F$6:$M$17,5,TRUE)</f>
        <v>6.4307634832635505E-2</v>
      </c>
      <c r="U19" s="10">
        <f>VLOOKUP(H19,'TOC Factors'!$F$6:$M$17,6,TRUE)</f>
        <v>6.2966492416526707</v>
      </c>
      <c r="V19" s="11">
        <f>VLOOKUP(H19,'TOC Factors'!$F$6:$M$17,7,TRUE)</f>
        <v>904</v>
      </c>
      <c r="W19" s="11">
        <f>VLOOKUP(H19,'TOC Factors'!$F$6:$M$17,8,TRUE)</f>
        <v>233</v>
      </c>
    </row>
    <row r="20" spans="2:23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0</v>
      </c>
      <c r="H20" s="14" t="str">
        <f t="shared" si="0"/>
        <v>22</v>
      </c>
      <c r="I20" s="16">
        <f t="shared" si="1"/>
        <v>3926.8464885021758</v>
      </c>
      <c r="J20" s="58">
        <f t="shared" si="7"/>
        <v>15840.092944251172</v>
      </c>
      <c r="K20" s="59">
        <f t="shared" si="2"/>
        <v>13600</v>
      </c>
      <c r="L20" s="59">
        <f t="shared" si="3"/>
        <v>0</v>
      </c>
      <c r="M20" s="17">
        <f t="shared" si="4"/>
        <v>850.56673422475671</v>
      </c>
      <c r="N20" s="15">
        <f t="shared" si="5"/>
        <v>252.52621002641493</v>
      </c>
      <c r="O20" s="15">
        <f t="shared" si="6"/>
        <v>1137</v>
      </c>
      <c r="Q20" s="8">
        <f>VLOOKUP(H20,'TOC Factors'!$F$6:$M$17,3,TRUE)</f>
        <v>13600</v>
      </c>
      <c r="R20" s="8">
        <f>IF(G20=1,Subsidy!$D$3,0)</f>
        <v>0</v>
      </c>
      <c r="S20" s="9">
        <f>VLOOKUP(H20,'TOC Factors'!$F$6:$M$17,4,TRUE)</f>
        <v>29.07</v>
      </c>
      <c r="T20" s="10">
        <f>VLOOKUP(H20,'TOC Factors'!$F$6:$M$17,5,TRUE)</f>
        <v>6.4307634832635505E-2</v>
      </c>
      <c r="U20" s="10">
        <f>VLOOKUP(H20,'TOC Factors'!$F$6:$M$17,6,TRUE)</f>
        <v>6.2966492416526707</v>
      </c>
      <c r="V20" s="11">
        <f>VLOOKUP(H20,'TOC Factors'!$F$6:$M$17,7,TRUE)</f>
        <v>904</v>
      </c>
      <c r="W20" s="11">
        <f>VLOOKUP(H20,'TOC Factors'!$F$6:$M$17,8,TRUE)</f>
        <v>233</v>
      </c>
    </row>
    <row r="21" spans="2:23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0</v>
      </c>
      <c r="H21" s="14" t="str">
        <f t="shared" ref="H21:H43" si="8">D21&amp;E21</f>
        <v>22</v>
      </c>
      <c r="I21" s="16">
        <f t="shared" ref="I21:I43" si="9">F21*365*0.8</f>
        <v>13598.779366065879</v>
      </c>
      <c r="J21" s="58">
        <f t="shared" si="7"/>
        <v>18557.041759477448</v>
      </c>
      <c r="K21" s="59">
        <f t="shared" ref="K21:K43" si="10">Q21</f>
        <v>13600</v>
      </c>
      <c r="L21" s="59">
        <f t="shared" ref="L21:L43" si="11">R21*-1</f>
        <v>0</v>
      </c>
      <c r="M21" s="17">
        <f t="shared" ref="M21:M43" si="12">I21/S21*U21</f>
        <v>2945.5364218349055</v>
      </c>
      <c r="N21" s="15">
        <f t="shared" ref="N21:N43" si="13">I21*T21</f>
        <v>874.50533764254305</v>
      </c>
      <c r="O21" s="15">
        <f t="shared" ref="O21:O43" si="14">V21+W21</f>
        <v>1137</v>
      </c>
      <c r="Q21" s="8">
        <f>VLOOKUP(H21,'TOC Factors'!$F$6:$M$17,3,TRUE)</f>
        <v>13600</v>
      </c>
      <c r="R21" s="8">
        <f>IF(G21=1,Subsidy!$D$3,0)</f>
        <v>0</v>
      </c>
      <c r="S21" s="9">
        <f>VLOOKUP(H21,'TOC Factors'!$F$6:$M$17,4,TRUE)</f>
        <v>29.07</v>
      </c>
      <c r="T21" s="10">
        <f>VLOOKUP(H21,'TOC Factors'!$F$6:$M$17,5,TRUE)</f>
        <v>6.4307634832635505E-2</v>
      </c>
      <c r="U21" s="10">
        <f>VLOOKUP(H21,'TOC Factors'!$F$6:$M$17,6,TRUE)</f>
        <v>6.2966492416526707</v>
      </c>
      <c r="V21" s="11">
        <f>VLOOKUP(H21,'TOC Factors'!$F$6:$M$17,7,TRUE)</f>
        <v>904</v>
      </c>
      <c r="W21" s="11">
        <f>VLOOKUP(H21,'TOC Factors'!$F$6:$M$17,8,TRUE)</f>
        <v>233</v>
      </c>
    </row>
    <row r="22" spans="2:23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0</v>
      </c>
      <c r="H22" s="14" t="str">
        <f t="shared" si="8"/>
        <v>22</v>
      </c>
      <c r="I22" s="16">
        <f t="shared" si="9"/>
        <v>4309.2231199502803</v>
      </c>
      <c r="J22" s="58">
        <f t="shared" si="7"/>
        <v>15947.506606952771</v>
      </c>
      <c r="K22" s="59">
        <f t="shared" si="10"/>
        <v>13600</v>
      </c>
      <c r="L22" s="59">
        <f t="shared" si="11"/>
        <v>0</v>
      </c>
      <c r="M22" s="17">
        <f t="shared" si="12"/>
        <v>933.3906601426587</v>
      </c>
      <c r="N22" s="15">
        <f t="shared" si="13"/>
        <v>277.11594681011292</v>
      </c>
      <c r="O22" s="15">
        <f t="shared" si="14"/>
        <v>1137</v>
      </c>
      <c r="Q22" s="8">
        <f>VLOOKUP(H22,'TOC Factors'!$F$6:$M$17,3,TRUE)</f>
        <v>13600</v>
      </c>
      <c r="R22" s="8">
        <f>IF(G22=1,Subsidy!$D$3,0)</f>
        <v>0</v>
      </c>
      <c r="S22" s="9">
        <f>VLOOKUP(H22,'TOC Factors'!$F$6:$M$17,4,TRUE)</f>
        <v>29.07</v>
      </c>
      <c r="T22" s="10">
        <f>VLOOKUP(H22,'TOC Factors'!$F$6:$M$17,5,TRUE)</f>
        <v>6.4307634832635505E-2</v>
      </c>
      <c r="U22" s="10">
        <f>VLOOKUP(H22,'TOC Factors'!$F$6:$M$17,6,TRUE)</f>
        <v>6.2966492416526707</v>
      </c>
      <c r="V22" s="11">
        <f>VLOOKUP(H22,'TOC Factors'!$F$6:$M$17,7,TRUE)</f>
        <v>904</v>
      </c>
      <c r="W22" s="11">
        <f>VLOOKUP(H22,'TOC Factors'!$F$6:$M$17,8,TRUE)</f>
        <v>233</v>
      </c>
    </row>
    <row r="23" spans="2:23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8"/>
        <v>22</v>
      </c>
      <c r="I23" s="16">
        <f t="shared" si="9"/>
        <v>9621.3001864512116</v>
      </c>
      <c r="J23" s="58">
        <f t="shared" si="7"/>
        <v>17439.72555376745</v>
      </c>
      <c r="K23" s="59">
        <f t="shared" si="10"/>
        <v>13600</v>
      </c>
      <c r="L23" s="59">
        <f t="shared" si="11"/>
        <v>0</v>
      </c>
      <c r="M23" s="17">
        <f t="shared" si="12"/>
        <v>2084.0024947619786</v>
      </c>
      <c r="N23" s="15">
        <f t="shared" si="13"/>
        <v>618.72305900547246</v>
      </c>
      <c r="O23" s="15">
        <f t="shared" si="14"/>
        <v>1137</v>
      </c>
      <c r="Q23" s="8">
        <f>VLOOKUP(H23,'TOC Factors'!$F$6:$M$17,3,TRUE)</f>
        <v>13600</v>
      </c>
      <c r="R23" s="8">
        <f>IF(G23=1,Subsidy!$D$3,0)</f>
        <v>0</v>
      </c>
      <c r="S23" s="9">
        <f>VLOOKUP(H23,'TOC Factors'!$F$6:$M$17,4,TRUE)</f>
        <v>29.07</v>
      </c>
      <c r="T23" s="10">
        <f>VLOOKUP(H23,'TOC Factors'!$F$6:$M$17,5,TRUE)</f>
        <v>6.4307634832635505E-2</v>
      </c>
      <c r="U23" s="10">
        <f>VLOOKUP(H23,'TOC Factors'!$F$6:$M$17,6,TRUE)</f>
        <v>6.2966492416526707</v>
      </c>
      <c r="V23" s="11">
        <f>VLOOKUP(H23,'TOC Factors'!$F$6:$M$17,7,TRUE)</f>
        <v>904</v>
      </c>
      <c r="W23" s="11">
        <f>VLOOKUP(H23,'TOC Factors'!$F$6:$M$17,8,TRUE)</f>
        <v>233</v>
      </c>
    </row>
    <row r="24" spans="2:23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8"/>
        <v>22</v>
      </c>
      <c r="I24" s="16">
        <f t="shared" si="9"/>
        <v>9071.2367930391538</v>
      </c>
      <c r="J24" s="58">
        <f t="shared" si="7"/>
        <v>17285.206896126943</v>
      </c>
      <c r="K24" s="59">
        <f t="shared" si="10"/>
        <v>13600</v>
      </c>
      <c r="L24" s="59">
        <f t="shared" si="11"/>
        <v>0</v>
      </c>
      <c r="M24" s="17">
        <f t="shared" si="12"/>
        <v>1964.8571129598138</v>
      </c>
      <c r="N24" s="15">
        <f t="shared" si="13"/>
        <v>583.34978316712943</v>
      </c>
      <c r="O24" s="15">
        <f t="shared" si="14"/>
        <v>1137</v>
      </c>
      <c r="Q24" s="8">
        <f>VLOOKUP(H24,'TOC Factors'!$F$6:$M$17,3,TRUE)</f>
        <v>13600</v>
      </c>
      <c r="R24" s="8">
        <f>IF(G24=1,Subsidy!$D$3,0)</f>
        <v>0</v>
      </c>
      <c r="S24" s="9">
        <f>VLOOKUP(H24,'TOC Factors'!$F$6:$M$17,4,TRUE)</f>
        <v>29.07</v>
      </c>
      <c r="T24" s="10">
        <f>VLOOKUP(H24,'TOC Factors'!$F$6:$M$17,5,TRUE)</f>
        <v>6.4307634832635505E-2</v>
      </c>
      <c r="U24" s="10">
        <f>VLOOKUP(H24,'TOC Factors'!$F$6:$M$17,6,TRUE)</f>
        <v>6.2966492416526707</v>
      </c>
      <c r="V24" s="11">
        <f>VLOOKUP(H24,'TOC Factors'!$F$6:$M$17,7,TRUE)</f>
        <v>904</v>
      </c>
      <c r="W24" s="11">
        <f>VLOOKUP(H24,'TOC Factors'!$F$6:$M$17,8,TRUE)</f>
        <v>233</v>
      </c>
    </row>
    <row r="25" spans="2:23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8"/>
        <v>22</v>
      </c>
      <c r="I25" s="16">
        <f t="shared" si="9"/>
        <v>2673.5512740832819</v>
      </c>
      <c r="J25" s="58">
        <f t="shared" si="7"/>
        <v>15488.028988571414</v>
      </c>
      <c r="K25" s="59">
        <f t="shared" si="10"/>
        <v>13600</v>
      </c>
      <c r="L25" s="59">
        <f t="shared" si="11"/>
        <v>0</v>
      </c>
      <c r="M25" s="17">
        <f t="shared" si="12"/>
        <v>579.09922953133912</v>
      </c>
      <c r="N25" s="15">
        <f t="shared" si="13"/>
        <v>171.92975904007508</v>
      </c>
      <c r="O25" s="15">
        <f t="shared" si="14"/>
        <v>1137</v>
      </c>
      <c r="Q25" s="8">
        <f>VLOOKUP(H25,'TOC Factors'!$F$6:$M$17,3,TRUE)</f>
        <v>13600</v>
      </c>
      <c r="R25" s="8">
        <f>IF(G25=1,Subsidy!$D$3,0)</f>
        <v>0</v>
      </c>
      <c r="S25" s="9">
        <f>VLOOKUP(H25,'TOC Factors'!$F$6:$M$17,4,TRUE)</f>
        <v>29.07</v>
      </c>
      <c r="T25" s="10">
        <f>VLOOKUP(H25,'TOC Factors'!$F$6:$M$17,5,TRUE)</f>
        <v>6.4307634832635505E-2</v>
      </c>
      <c r="U25" s="10">
        <f>VLOOKUP(H25,'TOC Factors'!$F$6:$M$17,6,TRUE)</f>
        <v>6.2966492416526707</v>
      </c>
      <c r="V25" s="11">
        <f>VLOOKUP(H25,'TOC Factors'!$F$6:$M$17,7,TRUE)</f>
        <v>904</v>
      </c>
      <c r="W25" s="11">
        <f>VLOOKUP(H25,'TOC Factors'!$F$6:$M$17,8,TRUE)</f>
        <v>233</v>
      </c>
    </row>
    <row r="26" spans="2:23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0</v>
      </c>
      <c r="H26" s="14" t="str">
        <f t="shared" si="8"/>
        <v>22</v>
      </c>
      <c r="I26" s="16">
        <f t="shared" si="9"/>
        <v>5754.1603480422627</v>
      </c>
      <c r="J26" s="58">
        <f t="shared" si="7"/>
        <v>16353.40484256271</v>
      </c>
      <c r="K26" s="59">
        <f t="shared" si="10"/>
        <v>13600</v>
      </c>
      <c r="L26" s="59">
        <f t="shared" si="11"/>
        <v>0</v>
      </c>
      <c r="M26" s="17">
        <f t="shared" si="12"/>
        <v>1246.3684001323763</v>
      </c>
      <c r="N26" s="15">
        <f t="shared" si="13"/>
        <v>370.03644243033267</v>
      </c>
      <c r="O26" s="15">
        <f t="shared" si="14"/>
        <v>1137</v>
      </c>
      <c r="Q26" s="8">
        <f>VLOOKUP(H26,'TOC Factors'!$F$6:$M$17,3,TRUE)</f>
        <v>13600</v>
      </c>
      <c r="R26" s="8">
        <f>IF(G26=1,Subsidy!$D$3,0)</f>
        <v>0</v>
      </c>
      <c r="S26" s="9">
        <f>VLOOKUP(H26,'TOC Factors'!$F$6:$M$17,4,TRUE)</f>
        <v>29.07</v>
      </c>
      <c r="T26" s="10">
        <f>VLOOKUP(H26,'TOC Factors'!$F$6:$M$17,5,TRUE)</f>
        <v>6.4307634832635505E-2</v>
      </c>
      <c r="U26" s="10">
        <f>VLOOKUP(H26,'TOC Factors'!$F$6:$M$17,6,TRUE)</f>
        <v>6.2966492416526707</v>
      </c>
      <c r="V26" s="11">
        <f>VLOOKUP(H26,'TOC Factors'!$F$6:$M$17,7,TRUE)</f>
        <v>904</v>
      </c>
      <c r="W26" s="11">
        <f>VLOOKUP(H26,'TOC Factors'!$F$6:$M$17,8,TRUE)</f>
        <v>233</v>
      </c>
    </row>
    <row r="27" spans="2:23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0</v>
      </c>
      <c r="H27" s="14" t="str">
        <f t="shared" si="8"/>
        <v>22</v>
      </c>
      <c r="I27" s="16">
        <f t="shared" si="9"/>
        <v>8943.6569297700444</v>
      </c>
      <c r="J27" s="58">
        <f t="shared" si="7"/>
        <v>17249.368355605242</v>
      </c>
      <c r="K27" s="59">
        <f t="shared" si="10"/>
        <v>13600</v>
      </c>
      <c r="L27" s="59">
        <f t="shared" si="11"/>
        <v>0</v>
      </c>
      <c r="M27" s="17">
        <f t="shared" si="12"/>
        <v>1937.2229316972207</v>
      </c>
      <c r="N27" s="15">
        <f t="shared" si="13"/>
        <v>575.14542390802205</v>
      </c>
      <c r="O27" s="15">
        <f t="shared" si="14"/>
        <v>1137</v>
      </c>
      <c r="Q27" s="8">
        <f>VLOOKUP(H27,'TOC Factors'!$F$6:$M$17,3,TRUE)</f>
        <v>13600</v>
      </c>
      <c r="R27" s="8">
        <f>IF(G27=1,Subsidy!$D$3,0)</f>
        <v>0</v>
      </c>
      <c r="S27" s="9">
        <f>VLOOKUP(H27,'TOC Factors'!$F$6:$M$17,4,TRUE)</f>
        <v>29.07</v>
      </c>
      <c r="T27" s="10">
        <f>VLOOKUP(H27,'TOC Factors'!$F$6:$M$17,5,TRUE)</f>
        <v>6.4307634832635505E-2</v>
      </c>
      <c r="U27" s="10">
        <f>VLOOKUP(H27,'TOC Factors'!$F$6:$M$17,6,TRUE)</f>
        <v>6.2966492416526707</v>
      </c>
      <c r="V27" s="11">
        <f>VLOOKUP(H27,'TOC Factors'!$F$6:$M$17,7,TRUE)</f>
        <v>904</v>
      </c>
      <c r="W27" s="11">
        <f>VLOOKUP(H27,'TOC Factors'!$F$6:$M$17,8,TRUE)</f>
        <v>233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59" t="e">
        <f t="shared" si="10"/>
        <v>#N/A</v>
      </c>
      <c r="L28" s="59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59" t="e">
        <f t="shared" si="10"/>
        <v>#N/A</v>
      </c>
      <c r="L29" s="59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59" t="e">
        <f t="shared" si="10"/>
        <v>#N/A</v>
      </c>
      <c r="L30" s="59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59" t="e">
        <f t="shared" si="10"/>
        <v>#N/A</v>
      </c>
      <c r="L31" s="59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59" t="e">
        <f t="shared" si="10"/>
        <v>#N/A</v>
      </c>
      <c r="L32" s="59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59" t="e">
        <f t="shared" si="10"/>
        <v>#N/A</v>
      </c>
      <c r="L33" s="59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59" t="e">
        <f t="shared" si="10"/>
        <v>#N/A</v>
      </c>
      <c r="L34" s="59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59" t="e">
        <f t="shared" si="10"/>
        <v>#N/A</v>
      </c>
      <c r="L35" s="59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59" t="e">
        <f t="shared" si="10"/>
        <v>#N/A</v>
      </c>
      <c r="L36" s="59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59" t="e">
        <f t="shared" si="10"/>
        <v>#N/A</v>
      </c>
      <c r="L37" s="59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59" t="e">
        <f t="shared" si="10"/>
        <v>#N/A</v>
      </c>
      <c r="L38" s="59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59" t="e">
        <f t="shared" si="10"/>
        <v>#N/A</v>
      </c>
      <c r="L39" s="59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59" t="e">
        <f t="shared" si="10"/>
        <v>#N/A</v>
      </c>
      <c r="L40" s="59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59" t="e">
        <f t="shared" si="10"/>
        <v>#N/A</v>
      </c>
      <c r="L41" s="59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59" t="e">
        <f t="shared" si="10"/>
        <v>#N/A</v>
      </c>
      <c r="L42" s="59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59" t="e">
        <f t="shared" si="10"/>
        <v>#N/A</v>
      </c>
      <c r="L43" s="59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59" t="e">
        <f t="shared" ref="K44:K107" si="18">Q44</f>
        <v>#N/A</v>
      </c>
      <c r="L44" s="59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59" t="e">
        <f t="shared" si="18"/>
        <v>#N/A</v>
      </c>
      <c r="L45" s="59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59" t="e">
        <f t="shared" si="18"/>
        <v>#N/A</v>
      </c>
      <c r="L46" s="59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59" t="e">
        <f t="shared" si="18"/>
        <v>#N/A</v>
      </c>
      <c r="L47" s="59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59" t="e">
        <f t="shared" si="18"/>
        <v>#N/A</v>
      </c>
      <c r="L48" s="59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59" t="e">
        <f t="shared" si="18"/>
        <v>#N/A</v>
      </c>
      <c r="L49" s="59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59" t="e">
        <f t="shared" si="18"/>
        <v>#N/A</v>
      </c>
      <c r="L50" s="59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59" t="e">
        <f t="shared" si="18"/>
        <v>#N/A</v>
      </c>
      <c r="L51" s="59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59" t="e">
        <f t="shared" si="18"/>
        <v>#N/A</v>
      </c>
      <c r="L52" s="59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59" t="e">
        <f t="shared" si="18"/>
        <v>#N/A</v>
      </c>
      <c r="L53" s="59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59" t="e">
        <f t="shared" si="18"/>
        <v>#N/A</v>
      </c>
      <c r="L54" s="59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59" t="e">
        <f t="shared" si="18"/>
        <v>#N/A</v>
      </c>
      <c r="L55" s="59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59" t="e">
        <f t="shared" si="18"/>
        <v>#N/A</v>
      </c>
      <c r="L56" s="59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59" t="e">
        <f t="shared" si="18"/>
        <v>#N/A</v>
      </c>
      <c r="L57" s="59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59" t="e">
        <f t="shared" si="18"/>
        <v>#N/A</v>
      </c>
      <c r="L58" s="59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59" t="e">
        <f t="shared" si="18"/>
        <v>#N/A</v>
      </c>
      <c r="L59" s="59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59" t="e">
        <f t="shared" si="18"/>
        <v>#N/A</v>
      </c>
      <c r="L60" s="59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59" t="e">
        <f t="shared" si="18"/>
        <v>#N/A</v>
      </c>
      <c r="L61" s="59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59" t="e">
        <f t="shared" si="18"/>
        <v>#N/A</v>
      </c>
      <c r="L62" s="59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59" t="e">
        <f t="shared" si="18"/>
        <v>#N/A</v>
      </c>
      <c r="L63" s="59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59" t="e">
        <f t="shared" si="18"/>
        <v>#N/A</v>
      </c>
      <c r="L64" s="59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59" t="e">
        <f t="shared" si="18"/>
        <v>#N/A</v>
      </c>
      <c r="L65" s="59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59" t="e">
        <f t="shared" si="18"/>
        <v>#N/A</v>
      </c>
      <c r="L66" s="59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59" t="e">
        <f t="shared" si="18"/>
        <v>#N/A</v>
      </c>
      <c r="L67" s="59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59" t="e">
        <f t="shared" si="18"/>
        <v>#N/A</v>
      </c>
      <c r="L68" s="59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59" t="e">
        <f t="shared" si="18"/>
        <v>#N/A</v>
      </c>
      <c r="L69" s="59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59" t="e">
        <f t="shared" si="18"/>
        <v>#N/A</v>
      </c>
      <c r="L70" s="59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59" t="e">
        <f t="shared" si="18"/>
        <v>#N/A</v>
      </c>
      <c r="L71" s="59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59" t="e">
        <f t="shared" si="18"/>
        <v>#N/A</v>
      </c>
      <c r="L72" s="59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59" t="e">
        <f t="shared" si="18"/>
        <v>#N/A</v>
      </c>
      <c r="L73" s="59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59" t="e">
        <f t="shared" si="18"/>
        <v>#N/A</v>
      </c>
      <c r="L74" s="59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59" t="e">
        <f t="shared" si="18"/>
        <v>#N/A</v>
      </c>
      <c r="L75" s="59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59" t="e">
        <f t="shared" si="18"/>
        <v>#N/A</v>
      </c>
      <c r="L76" s="59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59" t="e">
        <f t="shared" si="18"/>
        <v>#N/A</v>
      </c>
      <c r="L77" s="59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59" t="e">
        <f t="shared" si="18"/>
        <v>#N/A</v>
      </c>
      <c r="L78" s="59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59" t="e">
        <f t="shared" si="18"/>
        <v>#N/A</v>
      </c>
      <c r="L79" s="59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59" t="e">
        <f t="shared" si="18"/>
        <v>#N/A</v>
      </c>
      <c r="L80" s="59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59" t="e">
        <f t="shared" si="18"/>
        <v>#N/A</v>
      </c>
      <c r="L81" s="59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59" t="e">
        <f t="shared" si="18"/>
        <v>#N/A</v>
      </c>
      <c r="L82" s="59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59" t="e">
        <f t="shared" si="18"/>
        <v>#N/A</v>
      </c>
      <c r="L83" s="59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59" t="e">
        <f t="shared" si="18"/>
        <v>#N/A</v>
      </c>
      <c r="L84" s="59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59" t="e">
        <f t="shared" si="18"/>
        <v>#N/A</v>
      </c>
      <c r="L85" s="59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59" t="e">
        <f t="shared" si="18"/>
        <v>#N/A</v>
      </c>
      <c r="L86" s="59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59" t="e">
        <f t="shared" si="18"/>
        <v>#N/A</v>
      </c>
      <c r="L87" s="59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59" t="e">
        <f t="shared" si="18"/>
        <v>#N/A</v>
      </c>
      <c r="L88" s="59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59" t="e">
        <f t="shared" si="18"/>
        <v>#N/A</v>
      </c>
      <c r="L89" s="59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59" t="e">
        <f t="shared" si="18"/>
        <v>#N/A</v>
      </c>
      <c r="L90" s="59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59" t="e">
        <f t="shared" si="18"/>
        <v>#N/A</v>
      </c>
      <c r="L91" s="59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59" t="e">
        <f t="shared" si="18"/>
        <v>#N/A</v>
      </c>
      <c r="L92" s="59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59" t="e">
        <f t="shared" si="18"/>
        <v>#N/A</v>
      </c>
      <c r="L93" s="59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59" t="e">
        <f t="shared" si="18"/>
        <v>#N/A</v>
      </c>
      <c r="L94" s="59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59" t="e">
        <f t="shared" si="18"/>
        <v>#N/A</v>
      </c>
      <c r="L95" s="59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59" t="e">
        <f t="shared" si="18"/>
        <v>#N/A</v>
      </c>
      <c r="L96" s="59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59" t="e">
        <f t="shared" si="18"/>
        <v>#N/A</v>
      </c>
      <c r="L97" s="59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59" t="e">
        <f t="shared" si="18"/>
        <v>#N/A</v>
      </c>
      <c r="L98" s="59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59" t="e">
        <f t="shared" si="18"/>
        <v>#N/A</v>
      </c>
      <c r="L99" s="59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59" t="e">
        <f t="shared" si="18"/>
        <v>#N/A</v>
      </c>
      <c r="L100" s="59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59" t="e">
        <f t="shared" si="18"/>
        <v>#N/A</v>
      </c>
      <c r="L101" s="59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59" t="e">
        <f t="shared" si="18"/>
        <v>#N/A</v>
      </c>
      <c r="L102" s="59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59" t="e">
        <f t="shared" si="18"/>
        <v>#N/A</v>
      </c>
      <c r="L103" s="59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59" t="e">
        <f t="shared" si="18"/>
        <v>#N/A</v>
      </c>
      <c r="L104" s="59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59" t="e">
        <f t="shared" si="18"/>
        <v>#N/A</v>
      </c>
      <c r="L105" s="59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59" t="e">
        <f t="shared" si="18"/>
        <v>#N/A</v>
      </c>
      <c r="L106" s="59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59" t="e">
        <f t="shared" si="18"/>
        <v>#N/A</v>
      </c>
      <c r="L107" s="59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59" t="e">
        <f t="shared" ref="K108:K124" si="26">Q108</f>
        <v>#N/A</v>
      </c>
      <c r="L108" s="59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59" t="e">
        <f t="shared" si="26"/>
        <v>#N/A</v>
      </c>
      <c r="L109" s="59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59" t="e">
        <f t="shared" si="26"/>
        <v>#N/A</v>
      </c>
      <c r="L110" s="59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59" t="e">
        <f t="shared" si="26"/>
        <v>#N/A</v>
      </c>
      <c r="L111" s="59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59" t="e">
        <f t="shared" si="26"/>
        <v>#N/A</v>
      </c>
      <c r="L112" s="59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59" t="e">
        <f t="shared" si="26"/>
        <v>#N/A</v>
      </c>
      <c r="L113" s="59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59" t="e">
        <f t="shared" si="26"/>
        <v>#N/A</v>
      </c>
      <c r="L114" s="59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59" t="e">
        <f t="shared" si="26"/>
        <v>#N/A</v>
      </c>
      <c r="L115" s="59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59" t="e">
        <f t="shared" si="26"/>
        <v>#N/A</v>
      </c>
      <c r="L116" s="59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59" t="e">
        <f t="shared" si="26"/>
        <v>#N/A</v>
      </c>
      <c r="L117" s="59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59" t="e">
        <f t="shared" si="26"/>
        <v>#N/A</v>
      </c>
      <c r="L118" s="59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59" t="e">
        <f t="shared" si="26"/>
        <v>#N/A</v>
      </c>
      <c r="L119" s="59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59" t="e">
        <f t="shared" si="26"/>
        <v>#N/A</v>
      </c>
      <c r="L120" s="59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59" t="e">
        <f t="shared" si="26"/>
        <v>#N/A</v>
      </c>
      <c r="L121" s="59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59" t="e">
        <f t="shared" si="26"/>
        <v>#N/A</v>
      </c>
      <c r="L122" s="59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59" t="e">
        <f t="shared" si="26"/>
        <v>#N/A</v>
      </c>
      <c r="L123" s="59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59" t="e">
        <f t="shared" si="26"/>
        <v>#N/A</v>
      </c>
      <c r="L124" s="59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J3" sqref="J3:L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1" customWidth="1"/>
    <col min="16" max="16" width="11.4140625" style="68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3" t="s">
        <v>104</v>
      </c>
      <c r="K3" s="73" t="s">
        <v>101</v>
      </c>
      <c r="L3" s="73" t="s">
        <v>103</v>
      </c>
      <c r="M3" s="6"/>
      <c r="N3" s="7" t="s">
        <v>11</v>
      </c>
      <c r="O3" s="7" t="s">
        <v>100</v>
      </c>
      <c r="P3" s="69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72">
        <f>K4-L4</f>
        <v>572.08315322974465</v>
      </c>
      <c r="K4" s="72">
        <f>I4/Q4*P4</f>
        <v>572.08315322974465</v>
      </c>
      <c r="L4" s="72">
        <f>O4</f>
        <v>0</v>
      </c>
      <c r="N4" s="8">
        <f>VLOOKUP(H4,'TOC Factors'!$F$6:$M$17,3,TRUE)</f>
        <v>7600</v>
      </c>
      <c r="O4" s="8">
        <f>IF(G4=1,Subsidy!$D$3,0)</f>
        <v>0</v>
      </c>
      <c r="P4" s="70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72">
        <f t="shared" ref="J5:J68" si="0">K5-L5</f>
        <v>765.71754331786781</v>
      </c>
      <c r="K5" s="72">
        <f>I5/Q5*P5</f>
        <v>765.71754331786781</v>
      </c>
      <c r="L5" s="72">
        <f>O5*-1</f>
        <v>0</v>
      </c>
      <c r="N5" s="8">
        <f>VLOOKUP(H5,'TOC Factors'!$F$6:$M$17,3,TRUE)</f>
        <v>7600</v>
      </c>
      <c r="O5" s="8">
        <f>IF(G5=1,Subsidy!$D$3,0)</f>
        <v>0</v>
      </c>
      <c r="P5" s="70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72">
        <f t="shared" si="0"/>
        <v>709.97584762838403</v>
      </c>
      <c r="K6" s="72">
        <f>I6/Q6*P6</f>
        <v>709.97584762838403</v>
      </c>
      <c r="L6" s="72">
        <f>O6</f>
        <v>0</v>
      </c>
      <c r="N6" s="8">
        <f>VLOOKUP(H6,'TOC Factors'!$F$6:$M$17,3,TRUE)</f>
        <v>7600</v>
      </c>
      <c r="O6" s="8">
        <f>IF(G6=1,Subsidy!$D$3,0)</f>
        <v>0</v>
      </c>
      <c r="P6" s="70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10248.673710379117</v>
      </c>
      <c r="J7" s="72">
        <f t="shared" si="0"/>
        <v>573.17931184854717</v>
      </c>
      <c r="K7" s="72">
        <f t="shared" ref="K7:K70" si="3">I7/Q7*P7</f>
        <v>573.17931184854717</v>
      </c>
      <c r="L7" s="72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0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1"/>
        <v>21</v>
      </c>
      <c r="I8" s="16">
        <f t="shared" si="2"/>
        <v>11213.77998756992</v>
      </c>
      <c r="J8" s="72">
        <f t="shared" si="0"/>
        <v>627.15497420773795</v>
      </c>
      <c r="K8" s="72">
        <f t="shared" si="3"/>
        <v>627.15497420773795</v>
      </c>
      <c r="L8" s="72">
        <f t="shared" si="4"/>
        <v>0</v>
      </c>
      <c r="N8" s="8">
        <f>VLOOKUP(H8,'TOC Factors'!$F$6:$M$17,3,TRUE)</f>
        <v>7600</v>
      </c>
      <c r="O8" s="8">
        <f>IF(G8=1,Subsidy!$D$3,0)</f>
        <v>0</v>
      </c>
      <c r="P8" s="70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1"/>
        <v>21</v>
      </c>
      <c r="I9" s="16">
        <f t="shared" si="2"/>
        <v>14776.034804226229</v>
      </c>
      <c r="J9" s="72">
        <f t="shared" si="0"/>
        <v>826.38180317512297</v>
      </c>
      <c r="K9" s="72">
        <f t="shared" si="3"/>
        <v>826.38180317512297</v>
      </c>
      <c r="L9" s="72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0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1"/>
        <v>21</v>
      </c>
      <c r="I10" s="16">
        <f t="shared" si="2"/>
        <v>13508.947172156621</v>
      </c>
      <c r="J10" s="72">
        <f t="shared" si="0"/>
        <v>755.51717839289859</v>
      </c>
      <c r="K10" s="72">
        <f t="shared" si="3"/>
        <v>755.51717839289859</v>
      </c>
      <c r="L10" s="72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0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1"/>
        <v>21</v>
      </c>
      <c r="I11" s="16">
        <f t="shared" si="2"/>
        <v>10888.387818520821</v>
      </c>
      <c r="J11" s="72">
        <f t="shared" si="0"/>
        <v>608.95671121224552</v>
      </c>
      <c r="K11" s="72">
        <f t="shared" si="3"/>
        <v>608.95671121224552</v>
      </c>
      <c r="L11" s="72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0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72">
        <f t="shared" si="0"/>
        <v>320.57564791557684</v>
      </c>
      <c r="K12" s="72">
        <f t="shared" si="3"/>
        <v>320.57564791557684</v>
      </c>
      <c r="L12" s="72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0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72">
        <f t="shared" si="0"/>
        <v>605.09985681275464</v>
      </c>
      <c r="K13" s="72">
        <f t="shared" si="3"/>
        <v>605.09985681275464</v>
      </c>
      <c r="L13" s="72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0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72">
        <f t="shared" si="0"/>
        <v>349.24831549073912</v>
      </c>
      <c r="K14" s="72">
        <f t="shared" si="3"/>
        <v>349.24831549073912</v>
      </c>
      <c r="L14" s="72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0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1"/>
        <v>21</v>
      </c>
      <c r="I15" s="16">
        <f t="shared" si="2"/>
        <v>6733.6034804226219</v>
      </c>
      <c r="J15" s="72">
        <f t="shared" si="0"/>
        <v>376.59138325976119</v>
      </c>
      <c r="K15" s="72">
        <f t="shared" si="3"/>
        <v>376.59138325976119</v>
      </c>
      <c r="L15" s="72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0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1"/>
        <v>21</v>
      </c>
      <c r="I16" s="16">
        <f t="shared" si="2"/>
        <v>12021.725295214421</v>
      </c>
      <c r="J16" s="72">
        <f t="shared" si="0"/>
        <v>672.34106838282582</v>
      </c>
      <c r="K16" s="72">
        <f t="shared" si="3"/>
        <v>672.34106838282582</v>
      </c>
      <c r="L16" s="72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0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1"/>
        <v>21</v>
      </c>
      <c r="I17" s="16">
        <f t="shared" si="2"/>
        <v>6890.94592914854</v>
      </c>
      <c r="J17" s="72">
        <f t="shared" si="0"/>
        <v>385.3911010607049</v>
      </c>
      <c r="K17" s="72">
        <f t="shared" si="3"/>
        <v>385.3911010607049</v>
      </c>
      <c r="L17" s="72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0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1"/>
        <v>21</v>
      </c>
      <c r="I18" s="16">
        <f t="shared" si="2"/>
        <v>2353.2405220633932</v>
      </c>
      <c r="J18" s="72">
        <f t="shared" si="0"/>
        <v>131.61008157420557</v>
      </c>
      <c r="K18" s="72">
        <f t="shared" si="3"/>
        <v>131.61008157420557</v>
      </c>
      <c r="L18" s="72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0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0</v>
      </c>
      <c r="H19" s="14" t="str">
        <f t="shared" si="1"/>
        <v>22</v>
      </c>
      <c r="I19" s="16">
        <f t="shared" si="2"/>
        <v>12933.113735239282</v>
      </c>
      <c r="J19" s="72">
        <f t="shared" si="0"/>
        <v>126.06080618142748</v>
      </c>
      <c r="K19" s="72">
        <f t="shared" si="3"/>
        <v>126.06080618142748</v>
      </c>
      <c r="L19" s="72">
        <f t="shared" si="4"/>
        <v>0</v>
      </c>
      <c r="N19" s="8">
        <f>VLOOKUP(H19,'TOC Factors'!$F$6:$M$17,3,TRUE)</f>
        <v>13600</v>
      </c>
      <c r="O19" s="8">
        <f>IF(G19=1,Subsidy!$D$3,0)</f>
        <v>0</v>
      </c>
      <c r="P19" s="70">
        <f>IF(E19=1,Tax!$F$2,IF(E19=2,Tax!$F$3,"-"))</f>
        <v>0.28334921587437017</v>
      </c>
      <c r="Q19" s="9">
        <f>VLOOKUP(H19,'TOC Factors'!$F$6:$M$17,4,TRUE)</f>
        <v>29.07</v>
      </c>
      <c r="R19" s="10">
        <f>VLOOKUP(H19,'TOC Factors'!$F$6:$M$17,5,TRUE)</f>
        <v>6.4307634832635505E-2</v>
      </c>
      <c r="S19" s="10">
        <f>VLOOKUP(H19,'TOC Factors'!$F$6:$M$17,6,TRUE)</f>
        <v>6.2966492416526707</v>
      </c>
      <c r="T19" s="11">
        <f>VLOOKUP(H19,'TOC Factors'!$F$6:$M$17,7,TRUE)</f>
        <v>904</v>
      </c>
      <c r="U19" s="11">
        <f>VLOOKUP(H19,'TOC Factors'!$F$6:$M$17,8,TRUE)</f>
        <v>233</v>
      </c>
    </row>
    <row r="20" spans="2:2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0</v>
      </c>
      <c r="H20" s="14" t="str">
        <f t="shared" si="1"/>
        <v>22</v>
      </c>
      <c r="I20" s="16">
        <f t="shared" si="2"/>
        <v>3926.8464885021758</v>
      </c>
      <c r="J20" s="72">
        <f t="shared" si="0"/>
        <v>38.275503040114053</v>
      </c>
      <c r="K20" s="72">
        <f t="shared" si="3"/>
        <v>38.275503040114053</v>
      </c>
      <c r="L20" s="72">
        <f t="shared" si="4"/>
        <v>0</v>
      </c>
      <c r="N20" s="8">
        <f>VLOOKUP(H20,'TOC Factors'!$F$6:$M$17,3,TRUE)</f>
        <v>13600</v>
      </c>
      <c r="O20" s="8">
        <f>IF(G20=1,Subsidy!$D$3,0)</f>
        <v>0</v>
      </c>
      <c r="P20" s="70">
        <f>IF(E20=1,Tax!$F$2,IF(E20=2,Tax!$F$3,"-"))</f>
        <v>0.28334921587437017</v>
      </c>
      <c r="Q20" s="9">
        <f>VLOOKUP(H20,'TOC Factors'!$F$6:$M$17,4,TRUE)</f>
        <v>29.07</v>
      </c>
      <c r="R20" s="10">
        <f>VLOOKUP(H20,'TOC Factors'!$F$6:$M$17,5,TRUE)</f>
        <v>6.4307634832635505E-2</v>
      </c>
      <c r="S20" s="10">
        <f>VLOOKUP(H20,'TOC Factors'!$F$6:$M$17,6,TRUE)</f>
        <v>6.2966492416526707</v>
      </c>
      <c r="T20" s="11">
        <f>VLOOKUP(H20,'TOC Factors'!$F$6:$M$17,7,TRUE)</f>
        <v>904</v>
      </c>
      <c r="U20" s="11">
        <f>VLOOKUP(H20,'TOC Factors'!$F$6:$M$17,8,TRUE)</f>
        <v>233</v>
      </c>
    </row>
    <row r="21" spans="2:2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0</v>
      </c>
      <c r="H21" s="14" t="str">
        <f t="shared" si="1"/>
        <v>22</v>
      </c>
      <c r="I21" s="16">
        <f t="shared" si="2"/>
        <v>13598.779366065879</v>
      </c>
      <c r="J21" s="72">
        <f t="shared" si="0"/>
        <v>132.54913898257075</v>
      </c>
      <c r="K21" s="72">
        <f t="shared" si="3"/>
        <v>132.54913898257075</v>
      </c>
      <c r="L21" s="72">
        <f t="shared" si="4"/>
        <v>0</v>
      </c>
      <c r="N21" s="8">
        <f>VLOOKUP(H21,'TOC Factors'!$F$6:$M$17,3,TRUE)</f>
        <v>13600</v>
      </c>
      <c r="O21" s="8">
        <f>IF(G21=1,Subsidy!$D$3,0)</f>
        <v>0</v>
      </c>
      <c r="P21" s="70">
        <f>IF(E21=1,Tax!$F$2,IF(E21=2,Tax!$F$3,"-"))</f>
        <v>0.28334921587437017</v>
      </c>
      <c r="Q21" s="9">
        <f>VLOOKUP(H21,'TOC Factors'!$F$6:$M$17,4,TRUE)</f>
        <v>29.07</v>
      </c>
      <c r="R21" s="10">
        <f>VLOOKUP(H21,'TOC Factors'!$F$6:$M$17,5,TRUE)</f>
        <v>6.4307634832635505E-2</v>
      </c>
      <c r="S21" s="10">
        <f>VLOOKUP(H21,'TOC Factors'!$F$6:$M$17,6,TRUE)</f>
        <v>6.2966492416526707</v>
      </c>
      <c r="T21" s="11">
        <f>VLOOKUP(H21,'TOC Factors'!$F$6:$M$17,7,TRUE)</f>
        <v>904</v>
      </c>
      <c r="U21" s="11">
        <f>VLOOKUP(H21,'TOC Factors'!$F$6:$M$17,8,TRUE)</f>
        <v>233</v>
      </c>
    </row>
    <row r="22" spans="2:2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0</v>
      </c>
      <c r="H22" s="14" t="str">
        <f t="shared" si="1"/>
        <v>22</v>
      </c>
      <c r="I22" s="16">
        <f t="shared" si="2"/>
        <v>4309.2231199502803</v>
      </c>
      <c r="J22" s="72">
        <f t="shared" si="0"/>
        <v>42.002579706419645</v>
      </c>
      <c r="K22" s="72">
        <f t="shared" si="3"/>
        <v>42.002579706419645</v>
      </c>
      <c r="L22" s="72">
        <f t="shared" si="4"/>
        <v>0</v>
      </c>
      <c r="N22" s="8">
        <f>VLOOKUP(H22,'TOC Factors'!$F$6:$M$17,3,TRUE)</f>
        <v>13600</v>
      </c>
      <c r="O22" s="8">
        <f>IF(G22=1,Subsidy!$D$3,0)</f>
        <v>0</v>
      </c>
      <c r="P22" s="70">
        <f>IF(E22=1,Tax!$F$2,IF(E22=2,Tax!$F$3,"-"))</f>
        <v>0.28334921587437017</v>
      </c>
      <c r="Q22" s="9">
        <f>VLOOKUP(H22,'TOC Factors'!$F$6:$M$17,4,TRUE)</f>
        <v>29.07</v>
      </c>
      <c r="R22" s="10">
        <f>VLOOKUP(H22,'TOC Factors'!$F$6:$M$17,5,TRUE)</f>
        <v>6.4307634832635505E-2</v>
      </c>
      <c r="S22" s="10">
        <f>VLOOKUP(H22,'TOC Factors'!$F$6:$M$17,6,TRUE)</f>
        <v>6.2966492416526707</v>
      </c>
      <c r="T22" s="11">
        <f>VLOOKUP(H22,'TOC Factors'!$F$6:$M$17,7,TRUE)</f>
        <v>904</v>
      </c>
      <c r="U22" s="11">
        <f>VLOOKUP(H22,'TOC Factors'!$F$6:$M$17,8,TRUE)</f>
        <v>233</v>
      </c>
    </row>
    <row r="23" spans="2:2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1"/>
        <v>22</v>
      </c>
      <c r="I23" s="16">
        <f t="shared" si="2"/>
        <v>9621.3001864512116</v>
      </c>
      <c r="J23" s="72">
        <f t="shared" si="0"/>
        <v>93.780112264289031</v>
      </c>
      <c r="K23" s="72">
        <f t="shared" si="3"/>
        <v>93.780112264289031</v>
      </c>
      <c r="L23" s="72">
        <f t="shared" si="4"/>
        <v>0</v>
      </c>
      <c r="N23" s="8">
        <f>VLOOKUP(H23,'TOC Factors'!$F$6:$M$17,3,TRUE)</f>
        <v>13600</v>
      </c>
      <c r="O23" s="8">
        <f>IF(G23=1,Subsidy!$D$3,0)</f>
        <v>0</v>
      </c>
      <c r="P23" s="70">
        <f>IF(E23=1,Tax!$F$2,IF(E23=2,Tax!$F$3,"-"))</f>
        <v>0.28334921587437017</v>
      </c>
      <c r="Q23" s="9">
        <f>VLOOKUP(H23,'TOC Factors'!$F$6:$M$17,4,TRUE)</f>
        <v>29.07</v>
      </c>
      <c r="R23" s="10">
        <f>VLOOKUP(H23,'TOC Factors'!$F$6:$M$17,5,TRUE)</f>
        <v>6.4307634832635505E-2</v>
      </c>
      <c r="S23" s="10">
        <f>VLOOKUP(H23,'TOC Factors'!$F$6:$M$17,6,TRUE)</f>
        <v>6.2966492416526707</v>
      </c>
      <c r="T23" s="11">
        <f>VLOOKUP(H23,'TOC Factors'!$F$6:$M$17,7,TRUE)</f>
        <v>904</v>
      </c>
      <c r="U23" s="11">
        <f>VLOOKUP(H23,'TOC Factors'!$F$6:$M$17,8,TRUE)</f>
        <v>233</v>
      </c>
    </row>
    <row r="24" spans="2:2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1"/>
        <v>22</v>
      </c>
      <c r="I24" s="16">
        <f t="shared" si="2"/>
        <v>9071.2367930391538</v>
      </c>
      <c r="J24" s="72">
        <f t="shared" si="0"/>
        <v>88.418570083191625</v>
      </c>
      <c r="K24" s="72">
        <f t="shared" si="3"/>
        <v>88.418570083191625</v>
      </c>
      <c r="L24" s="72">
        <f t="shared" si="4"/>
        <v>0</v>
      </c>
      <c r="N24" s="8">
        <f>VLOOKUP(H24,'TOC Factors'!$F$6:$M$17,3,TRUE)</f>
        <v>13600</v>
      </c>
      <c r="O24" s="8">
        <f>IF(G24=1,Subsidy!$D$3,0)</f>
        <v>0</v>
      </c>
      <c r="P24" s="70">
        <f>IF(E24=1,Tax!$F$2,IF(E24=2,Tax!$F$3,"-"))</f>
        <v>0.28334921587437017</v>
      </c>
      <c r="Q24" s="9">
        <f>VLOOKUP(H24,'TOC Factors'!$F$6:$M$17,4,TRUE)</f>
        <v>29.07</v>
      </c>
      <c r="R24" s="10">
        <f>VLOOKUP(H24,'TOC Factors'!$F$6:$M$17,5,TRUE)</f>
        <v>6.4307634832635505E-2</v>
      </c>
      <c r="S24" s="10">
        <f>VLOOKUP(H24,'TOC Factors'!$F$6:$M$17,6,TRUE)</f>
        <v>6.2966492416526707</v>
      </c>
      <c r="T24" s="11">
        <f>VLOOKUP(H24,'TOC Factors'!$F$6:$M$17,7,TRUE)</f>
        <v>904</v>
      </c>
      <c r="U24" s="11">
        <f>VLOOKUP(H24,'TOC Factors'!$F$6:$M$17,8,TRUE)</f>
        <v>233</v>
      </c>
    </row>
    <row r="25" spans="2:2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1"/>
        <v>22</v>
      </c>
      <c r="I25" s="16">
        <f t="shared" si="2"/>
        <v>2673.5512740832819</v>
      </c>
      <c r="J25" s="72">
        <f t="shared" si="0"/>
        <v>26.059465328910257</v>
      </c>
      <c r="K25" s="72">
        <f t="shared" si="3"/>
        <v>26.059465328910257</v>
      </c>
      <c r="L25" s="72">
        <f t="shared" si="4"/>
        <v>0</v>
      </c>
      <c r="N25" s="8">
        <f>VLOOKUP(H25,'TOC Factors'!$F$6:$M$17,3,TRUE)</f>
        <v>13600</v>
      </c>
      <c r="O25" s="8">
        <f>IF(G25=1,Subsidy!$D$3,0)</f>
        <v>0</v>
      </c>
      <c r="P25" s="70">
        <f>IF(E25=1,Tax!$F$2,IF(E25=2,Tax!$F$3,"-"))</f>
        <v>0.28334921587437017</v>
      </c>
      <c r="Q25" s="9">
        <f>VLOOKUP(H25,'TOC Factors'!$F$6:$M$17,4,TRUE)</f>
        <v>29.07</v>
      </c>
      <c r="R25" s="10">
        <f>VLOOKUP(H25,'TOC Factors'!$F$6:$M$17,5,TRUE)</f>
        <v>6.4307634832635505E-2</v>
      </c>
      <c r="S25" s="10">
        <f>VLOOKUP(H25,'TOC Factors'!$F$6:$M$17,6,TRUE)</f>
        <v>6.2966492416526707</v>
      </c>
      <c r="T25" s="11">
        <f>VLOOKUP(H25,'TOC Factors'!$F$6:$M$17,7,TRUE)</f>
        <v>904</v>
      </c>
      <c r="U25" s="11">
        <f>VLOOKUP(H25,'TOC Factors'!$F$6:$M$17,8,TRUE)</f>
        <v>233</v>
      </c>
    </row>
    <row r="26" spans="2:2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0</v>
      </c>
      <c r="H26" s="14" t="str">
        <f t="shared" si="1"/>
        <v>22</v>
      </c>
      <c r="I26" s="16">
        <f t="shared" si="2"/>
        <v>5754.1603480422627</v>
      </c>
      <c r="J26" s="72">
        <f t="shared" si="0"/>
        <v>56.086578005956937</v>
      </c>
      <c r="K26" s="72">
        <f t="shared" si="3"/>
        <v>56.086578005956937</v>
      </c>
      <c r="L26" s="72">
        <f t="shared" si="4"/>
        <v>0</v>
      </c>
      <c r="N26" s="8">
        <f>VLOOKUP(H26,'TOC Factors'!$F$6:$M$17,3,TRUE)</f>
        <v>13600</v>
      </c>
      <c r="O26" s="8">
        <f>IF(G26=1,Subsidy!$D$3,0)</f>
        <v>0</v>
      </c>
      <c r="P26" s="70">
        <f>IF(E26=1,Tax!$F$2,IF(E26=2,Tax!$F$3,"-"))</f>
        <v>0.28334921587437017</v>
      </c>
      <c r="Q26" s="9">
        <f>VLOOKUP(H26,'TOC Factors'!$F$6:$M$17,4,TRUE)</f>
        <v>29.07</v>
      </c>
      <c r="R26" s="10">
        <f>VLOOKUP(H26,'TOC Factors'!$F$6:$M$17,5,TRUE)</f>
        <v>6.4307634832635505E-2</v>
      </c>
      <c r="S26" s="10">
        <f>VLOOKUP(H26,'TOC Factors'!$F$6:$M$17,6,TRUE)</f>
        <v>6.2966492416526707</v>
      </c>
      <c r="T26" s="11">
        <f>VLOOKUP(H26,'TOC Factors'!$F$6:$M$17,7,TRUE)</f>
        <v>904</v>
      </c>
      <c r="U26" s="11">
        <f>VLOOKUP(H26,'TOC Factors'!$F$6:$M$17,8,TRUE)</f>
        <v>233</v>
      </c>
    </row>
    <row r="27" spans="2:2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0</v>
      </c>
      <c r="H27" s="14" t="str">
        <f t="shared" si="1"/>
        <v>22</v>
      </c>
      <c r="I27" s="16">
        <f t="shared" si="2"/>
        <v>8943.6569297700444</v>
      </c>
      <c r="J27" s="72">
        <f t="shared" si="0"/>
        <v>87.175031926374928</v>
      </c>
      <c r="K27" s="72">
        <f t="shared" si="3"/>
        <v>87.175031926374928</v>
      </c>
      <c r="L27" s="72">
        <f t="shared" si="4"/>
        <v>0</v>
      </c>
      <c r="N27" s="8">
        <f>VLOOKUP(H27,'TOC Factors'!$F$6:$M$17,3,TRUE)</f>
        <v>13600</v>
      </c>
      <c r="O27" s="8">
        <f>IF(G27=1,Subsidy!$D$3,0)</f>
        <v>0</v>
      </c>
      <c r="P27" s="70">
        <f>IF(E27=1,Tax!$F$2,IF(E27=2,Tax!$F$3,"-"))</f>
        <v>0.28334921587437017</v>
      </c>
      <c r="Q27" s="9">
        <f>VLOOKUP(H27,'TOC Factors'!$F$6:$M$17,4,TRUE)</f>
        <v>29.07</v>
      </c>
      <c r="R27" s="10">
        <f>VLOOKUP(H27,'TOC Factors'!$F$6:$M$17,5,TRUE)</f>
        <v>6.4307634832635505E-2</v>
      </c>
      <c r="S27" s="10">
        <f>VLOOKUP(H27,'TOC Factors'!$F$6:$M$17,6,TRUE)</f>
        <v>6.2966492416526707</v>
      </c>
      <c r="T27" s="11">
        <f>VLOOKUP(H27,'TOC Factors'!$F$6:$M$17,7,TRUE)</f>
        <v>904</v>
      </c>
      <c r="U27" s="11">
        <f>VLOOKUP(H27,'TOC Factors'!$F$6:$M$17,8,TRUE)</f>
        <v>233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2" t="e">
        <f t="shared" si="0"/>
        <v>#N/A</v>
      </c>
      <c r="K28" s="72" t="e">
        <f t="shared" si="3"/>
        <v>#N/A</v>
      </c>
      <c r="L28" s="72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0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2" t="e">
        <f t="shared" si="0"/>
        <v>#N/A</v>
      </c>
      <c r="K29" s="72" t="e">
        <f t="shared" si="3"/>
        <v>#N/A</v>
      </c>
      <c r="L29" s="72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0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2" t="e">
        <f t="shared" si="0"/>
        <v>#N/A</v>
      </c>
      <c r="K30" s="72" t="e">
        <f t="shared" si="3"/>
        <v>#N/A</v>
      </c>
      <c r="L30" s="72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0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2" t="e">
        <f t="shared" si="0"/>
        <v>#N/A</v>
      </c>
      <c r="K31" s="72" t="e">
        <f t="shared" si="3"/>
        <v>#N/A</v>
      </c>
      <c r="L31" s="72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0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2" t="e">
        <f t="shared" si="0"/>
        <v>#N/A</v>
      </c>
      <c r="K32" s="72" t="e">
        <f t="shared" si="3"/>
        <v>#N/A</v>
      </c>
      <c r="L32" s="72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0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2" t="e">
        <f t="shared" si="0"/>
        <v>#N/A</v>
      </c>
      <c r="K33" s="72" t="e">
        <f t="shared" si="3"/>
        <v>#N/A</v>
      </c>
      <c r="L33" s="72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0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2" t="e">
        <f t="shared" si="0"/>
        <v>#N/A</v>
      </c>
      <c r="K34" s="72" t="e">
        <f t="shared" si="3"/>
        <v>#N/A</v>
      </c>
      <c r="L34" s="72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0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2" t="e">
        <f t="shared" si="0"/>
        <v>#N/A</v>
      </c>
      <c r="K35" s="72" t="e">
        <f t="shared" si="3"/>
        <v>#N/A</v>
      </c>
      <c r="L35" s="72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0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2" t="e">
        <f t="shared" si="0"/>
        <v>#N/A</v>
      </c>
      <c r="K36" s="72" t="e">
        <f t="shared" si="3"/>
        <v>#N/A</v>
      </c>
      <c r="L36" s="72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0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2" t="e">
        <f t="shared" si="0"/>
        <v>#N/A</v>
      </c>
      <c r="K37" s="72" t="e">
        <f t="shared" si="3"/>
        <v>#N/A</v>
      </c>
      <c r="L37" s="72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0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2" t="e">
        <f t="shared" si="0"/>
        <v>#N/A</v>
      </c>
      <c r="K38" s="72" t="e">
        <f t="shared" si="3"/>
        <v>#N/A</v>
      </c>
      <c r="L38" s="72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0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2" t="e">
        <f t="shared" si="0"/>
        <v>#N/A</v>
      </c>
      <c r="K39" s="72" t="e">
        <f t="shared" si="3"/>
        <v>#N/A</v>
      </c>
      <c r="L39" s="72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0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2" t="e">
        <f t="shared" si="0"/>
        <v>#N/A</v>
      </c>
      <c r="K40" s="72" t="e">
        <f t="shared" si="3"/>
        <v>#N/A</v>
      </c>
      <c r="L40" s="72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0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2" t="e">
        <f t="shared" si="0"/>
        <v>#N/A</v>
      </c>
      <c r="K41" s="72" t="e">
        <f t="shared" si="3"/>
        <v>#N/A</v>
      </c>
      <c r="L41" s="72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0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2" t="e">
        <f t="shared" si="0"/>
        <v>#N/A</v>
      </c>
      <c r="K42" s="72" t="e">
        <f t="shared" si="3"/>
        <v>#N/A</v>
      </c>
      <c r="L42" s="72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0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2" t="e">
        <f t="shared" si="0"/>
        <v>#N/A</v>
      </c>
      <c r="K43" s="72" t="e">
        <f t="shared" si="3"/>
        <v>#N/A</v>
      </c>
      <c r="L43" s="72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0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2" t="e">
        <f t="shared" si="0"/>
        <v>#N/A</v>
      </c>
      <c r="K44" s="72" t="e">
        <f t="shared" si="3"/>
        <v>#N/A</v>
      </c>
      <c r="L44" s="72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0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2" t="e">
        <f t="shared" si="0"/>
        <v>#N/A</v>
      </c>
      <c r="K45" s="72" t="e">
        <f t="shared" si="3"/>
        <v>#N/A</v>
      </c>
      <c r="L45" s="72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0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2" t="e">
        <f t="shared" si="0"/>
        <v>#N/A</v>
      </c>
      <c r="K46" s="72" t="e">
        <f t="shared" si="3"/>
        <v>#N/A</v>
      </c>
      <c r="L46" s="72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0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2" t="e">
        <f t="shared" si="0"/>
        <v>#N/A</v>
      </c>
      <c r="K47" s="72" t="e">
        <f t="shared" si="3"/>
        <v>#N/A</v>
      </c>
      <c r="L47" s="72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0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2" t="e">
        <f t="shared" si="0"/>
        <v>#N/A</v>
      </c>
      <c r="K48" s="72" t="e">
        <f t="shared" si="3"/>
        <v>#N/A</v>
      </c>
      <c r="L48" s="72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0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2" t="e">
        <f t="shared" si="0"/>
        <v>#N/A</v>
      </c>
      <c r="K49" s="72" t="e">
        <f t="shared" si="3"/>
        <v>#N/A</v>
      </c>
      <c r="L49" s="72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0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2" t="e">
        <f t="shared" si="0"/>
        <v>#N/A</v>
      </c>
      <c r="K50" s="72" t="e">
        <f t="shared" si="3"/>
        <v>#N/A</v>
      </c>
      <c r="L50" s="72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0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2" t="e">
        <f t="shared" si="0"/>
        <v>#N/A</v>
      </c>
      <c r="K51" s="72" t="e">
        <f t="shared" si="3"/>
        <v>#N/A</v>
      </c>
      <c r="L51" s="72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0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2" t="e">
        <f t="shared" si="0"/>
        <v>#N/A</v>
      </c>
      <c r="K52" s="72" t="e">
        <f t="shared" si="3"/>
        <v>#N/A</v>
      </c>
      <c r="L52" s="72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0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2" t="e">
        <f t="shared" si="0"/>
        <v>#N/A</v>
      </c>
      <c r="K53" s="72" t="e">
        <f t="shared" si="3"/>
        <v>#N/A</v>
      </c>
      <c r="L53" s="72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0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2" t="e">
        <f t="shared" si="0"/>
        <v>#N/A</v>
      </c>
      <c r="K54" s="72" t="e">
        <f t="shared" si="3"/>
        <v>#N/A</v>
      </c>
      <c r="L54" s="72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0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2" t="e">
        <f t="shared" si="0"/>
        <v>#N/A</v>
      </c>
      <c r="K55" s="72" t="e">
        <f t="shared" si="3"/>
        <v>#N/A</v>
      </c>
      <c r="L55" s="72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0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2" t="e">
        <f t="shared" si="0"/>
        <v>#N/A</v>
      </c>
      <c r="K56" s="72" t="e">
        <f t="shared" si="3"/>
        <v>#N/A</v>
      </c>
      <c r="L56" s="72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0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2" t="e">
        <f t="shared" si="0"/>
        <v>#N/A</v>
      </c>
      <c r="K57" s="72" t="e">
        <f t="shared" si="3"/>
        <v>#N/A</v>
      </c>
      <c r="L57" s="72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0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2" t="e">
        <f t="shared" si="0"/>
        <v>#N/A</v>
      </c>
      <c r="K58" s="72" t="e">
        <f t="shared" si="3"/>
        <v>#N/A</v>
      </c>
      <c r="L58" s="72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0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2" t="e">
        <f t="shared" si="0"/>
        <v>#N/A</v>
      </c>
      <c r="K59" s="72" t="e">
        <f t="shared" si="3"/>
        <v>#N/A</v>
      </c>
      <c r="L59" s="72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0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2" t="e">
        <f t="shared" si="0"/>
        <v>#N/A</v>
      </c>
      <c r="K60" s="72" t="e">
        <f t="shared" si="3"/>
        <v>#N/A</v>
      </c>
      <c r="L60" s="72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0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2" t="e">
        <f t="shared" si="0"/>
        <v>#N/A</v>
      </c>
      <c r="K61" s="72" t="e">
        <f t="shared" si="3"/>
        <v>#N/A</v>
      </c>
      <c r="L61" s="72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0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2" t="e">
        <f t="shared" si="0"/>
        <v>#N/A</v>
      </c>
      <c r="K62" s="72" t="e">
        <f t="shared" si="3"/>
        <v>#N/A</v>
      </c>
      <c r="L62" s="72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0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2" t="e">
        <f t="shared" si="0"/>
        <v>#N/A</v>
      </c>
      <c r="K63" s="72" t="e">
        <f t="shared" si="3"/>
        <v>#N/A</v>
      </c>
      <c r="L63" s="72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0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2" t="e">
        <f t="shared" si="0"/>
        <v>#N/A</v>
      </c>
      <c r="K64" s="72" t="e">
        <f t="shared" si="3"/>
        <v>#N/A</v>
      </c>
      <c r="L64" s="72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0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2" t="e">
        <f t="shared" si="0"/>
        <v>#N/A</v>
      </c>
      <c r="K65" s="72" t="e">
        <f t="shared" si="3"/>
        <v>#N/A</v>
      </c>
      <c r="L65" s="72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0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2" t="e">
        <f t="shared" si="0"/>
        <v>#N/A</v>
      </c>
      <c r="K66" s="72" t="e">
        <f t="shared" si="3"/>
        <v>#N/A</v>
      </c>
      <c r="L66" s="72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0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2" t="e">
        <f t="shared" si="0"/>
        <v>#N/A</v>
      </c>
      <c r="K67" s="72" t="e">
        <f t="shared" si="3"/>
        <v>#N/A</v>
      </c>
      <c r="L67" s="72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0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2" t="e">
        <f t="shared" si="0"/>
        <v>#N/A</v>
      </c>
      <c r="K68" s="72" t="e">
        <f t="shared" si="3"/>
        <v>#N/A</v>
      </c>
      <c r="L68" s="72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0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2" t="e">
        <f t="shared" ref="J69:J124" si="5">K69-L69</f>
        <v>#N/A</v>
      </c>
      <c r="K69" s="72" t="e">
        <f t="shared" si="3"/>
        <v>#N/A</v>
      </c>
      <c r="L69" s="72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0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2" t="e">
        <f t="shared" si="5"/>
        <v>#N/A</v>
      </c>
      <c r="K70" s="72" t="e">
        <f t="shared" si="3"/>
        <v>#N/A</v>
      </c>
      <c r="L70" s="72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0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2" t="e">
        <f t="shared" si="5"/>
        <v>#N/A</v>
      </c>
      <c r="K71" s="72" t="e">
        <f t="shared" ref="K71:K124" si="8">I71/Q71*P71</f>
        <v>#N/A</v>
      </c>
      <c r="L71" s="72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0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2" t="e">
        <f t="shared" si="5"/>
        <v>#N/A</v>
      </c>
      <c r="K72" s="72" t="e">
        <f t="shared" si="8"/>
        <v>#N/A</v>
      </c>
      <c r="L72" s="72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0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2" t="e">
        <f t="shared" si="5"/>
        <v>#N/A</v>
      </c>
      <c r="K73" s="72" t="e">
        <f t="shared" si="8"/>
        <v>#N/A</v>
      </c>
      <c r="L73" s="72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0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2" t="e">
        <f t="shared" si="5"/>
        <v>#N/A</v>
      </c>
      <c r="K74" s="72" t="e">
        <f t="shared" si="8"/>
        <v>#N/A</v>
      </c>
      <c r="L74" s="72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0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2" t="e">
        <f t="shared" si="5"/>
        <v>#N/A</v>
      </c>
      <c r="K75" s="72" t="e">
        <f t="shared" si="8"/>
        <v>#N/A</v>
      </c>
      <c r="L75" s="72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0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2" t="e">
        <f t="shared" si="5"/>
        <v>#N/A</v>
      </c>
      <c r="K76" s="72" t="e">
        <f t="shared" si="8"/>
        <v>#N/A</v>
      </c>
      <c r="L76" s="72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0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2" t="e">
        <f t="shared" si="5"/>
        <v>#N/A</v>
      </c>
      <c r="K77" s="72" t="e">
        <f t="shared" si="8"/>
        <v>#N/A</v>
      </c>
      <c r="L77" s="72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0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2" t="e">
        <f t="shared" si="5"/>
        <v>#N/A</v>
      </c>
      <c r="K78" s="72" t="e">
        <f t="shared" si="8"/>
        <v>#N/A</v>
      </c>
      <c r="L78" s="72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0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2" t="e">
        <f t="shared" si="5"/>
        <v>#N/A</v>
      </c>
      <c r="K79" s="72" t="e">
        <f t="shared" si="8"/>
        <v>#N/A</v>
      </c>
      <c r="L79" s="72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0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2" t="e">
        <f t="shared" si="5"/>
        <v>#N/A</v>
      </c>
      <c r="K80" s="72" t="e">
        <f t="shared" si="8"/>
        <v>#N/A</v>
      </c>
      <c r="L80" s="72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0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2" t="e">
        <f t="shared" si="5"/>
        <v>#N/A</v>
      </c>
      <c r="K81" s="72" t="e">
        <f t="shared" si="8"/>
        <v>#N/A</v>
      </c>
      <c r="L81" s="72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0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2" t="e">
        <f t="shared" si="5"/>
        <v>#N/A</v>
      </c>
      <c r="K82" s="72" t="e">
        <f t="shared" si="8"/>
        <v>#N/A</v>
      </c>
      <c r="L82" s="72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0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2" t="e">
        <f t="shared" si="5"/>
        <v>#N/A</v>
      </c>
      <c r="K83" s="72" t="e">
        <f t="shared" si="8"/>
        <v>#N/A</v>
      </c>
      <c r="L83" s="72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0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2" t="e">
        <f t="shared" si="5"/>
        <v>#N/A</v>
      </c>
      <c r="K84" s="72" t="e">
        <f t="shared" si="8"/>
        <v>#N/A</v>
      </c>
      <c r="L84" s="72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0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2" t="e">
        <f t="shared" si="5"/>
        <v>#N/A</v>
      </c>
      <c r="K85" s="72" t="e">
        <f t="shared" si="8"/>
        <v>#N/A</v>
      </c>
      <c r="L85" s="72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0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2" t="e">
        <f t="shared" si="5"/>
        <v>#N/A</v>
      </c>
      <c r="K86" s="72" t="e">
        <f t="shared" si="8"/>
        <v>#N/A</v>
      </c>
      <c r="L86" s="72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0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2" t="e">
        <f t="shared" si="5"/>
        <v>#N/A</v>
      </c>
      <c r="K87" s="72" t="e">
        <f t="shared" si="8"/>
        <v>#N/A</v>
      </c>
      <c r="L87" s="72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0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2" t="e">
        <f t="shared" si="5"/>
        <v>#N/A</v>
      </c>
      <c r="K88" s="72" t="e">
        <f t="shared" si="8"/>
        <v>#N/A</v>
      </c>
      <c r="L88" s="72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0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2" t="e">
        <f t="shared" si="5"/>
        <v>#N/A</v>
      </c>
      <c r="K89" s="72" t="e">
        <f t="shared" si="8"/>
        <v>#N/A</v>
      </c>
      <c r="L89" s="72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0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2" t="e">
        <f t="shared" si="5"/>
        <v>#N/A</v>
      </c>
      <c r="K90" s="72" t="e">
        <f t="shared" si="8"/>
        <v>#N/A</v>
      </c>
      <c r="L90" s="72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0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2" t="e">
        <f t="shared" si="5"/>
        <v>#N/A</v>
      </c>
      <c r="K91" s="72" t="e">
        <f t="shared" si="8"/>
        <v>#N/A</v>
      </c>
      <c r="L91" s="72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0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2" t="e">
        <f t="shared" si="5"/>
        <v>#N/A</v>
      </c>
      <c r="K92" s="72" t="e">
        <f t="shared" si="8"/>
        <v>#N/A</v>
      </c>
      <c r="L92" s="72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0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2" t="e">
        <f t="shared" si="5"/>
        <v>#N/A</v>
      </c>
      <c r="K93" s="72" t="e">
        <f t="shared" si="8"/>
        <v>#N/A</v>
      </c>
      <c r="L93" s="72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0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2" t="e">
        <f t="shared" si="5"/>
        <v>#N/A</v>
      </c>
      <c r="K94" s="72" t="e">
        <f t="shared" si="8"/>
        <v>#N/A</v>
      </c>
      <c r="L94" s="72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0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2" t="e">
        <f t="shared" si="5"/>
        <v>#N/A</v>
      </c>
      <c r="K95" s="72" t="e">
        <f t="shared" si="8"/>
        <v>#N/A</v>
      </c>
      <c r="L95" s="72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0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2" t="e">
        <f t="shared" si="5"/>
        <v>#N/A</v>
      </c>
      <c r="K96" s="72" t="e">
        <f t="shared" si="8"/>
        <v>#N/A</v>
      </c>
      <c r="L96" s="72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0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2" t="e">
        <f t="shared" si="5"/>
        <v>#N/A</v>
      </c>
      <c r="K97" s="72" t="e">
        <f t="shared" si="8"/>
        <v>#N/A</v>
      </c>
      <c r="L97" s="72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0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2" t="e">
        <f t="shared" si="5"/>
        <v>#N/A</v>
      </c>
      <c r="K98" s="72" t="e">
        <f t="shared" si="8"/>
        <v>#N/A</v>
      </c>
      <c r="L98" s="72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0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2" t="e">
        <f t="shared" si="5"/>
        <v>#N/A</v>
      </c>
      <c r="K99" s="72" t="e">
        <f t="shared" si="8"/>
        <v>#N/A</v>
      </c>
      <c r="L99" s="72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0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2" t="e">
        <f t="shared" si="5"/>
        <v>#N/A</v>
      </c>
      <c r="K100" s="72" t="e">
        <f t="shared" si="8"/>
        <v>#N/A</v>
      </c>
      <c r="L100" s="72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0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2" t="e">
        <f t="shared" si="5"/>
        <v>#N/A</v>
      </c>
      <c r="K101" s="72" t="e">
        <f t="shared" si="8"/>
        <v>#N/A</v>
      </c>
      <c r="L101" s="72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0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2" t="e">
        <f t="shared" si="5"/>
        <v>#N/A</v>
      </c>
      <c r="K102" s="72" t="e">
        <f t="shared" si="8"/>
        <v>#N/A</v>
      </c>
      <c r="L102" s="72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0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2" t="e">
        <f t="shared" si="5"/>
        <v>#N/A</v>
      </c>
      <c r="K103" s="72" t="e">
        <f t="shared" si="8"/>
        <v>#N/A</v>
      </c>
      <c r="L103" s="72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0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2" t="e">
        <f t="shared" si="5"/>
        <v>#N/A</v>
      </c>
      <c r="K104" s="72" t="e">
        <f t="shared" si="8"/>
        <v>#N/A</v>
      </c>
      <c r="L104" s="72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0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2" t="e">
        <f t="shared" si="5"/>
        <v>#N/A</v>
      </c>
      <c r="K105" s="72" t="e">
        <f t="shared" si="8"/>
        <v>#N/A</v>
      </c>
      <c r="L105" s="72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0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2" t="e">
        <f t="shared" si="5"/>
        <v>#N/A</v>
      </c>
      <c r="K106" s="72" t="e">
        <f t="shared" si="8"/>
        <v>#N/A</v>
      </c>
      <c r="L106" s="72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0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2" t="e">
        <f t="shared" si="5"/>
        <v>#N/A</v>
      </c>
      <c r="K107" s="72" t="e">
        <f t="shared" si="8"/>
        <v>#N/A</v>
      </c>
      <c r="L107" s="72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0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2" t="e">
        <f t="shared" si="5"/>
        <v>#N/A</v>
      </c>
      <c r="K108" s="72" t="e">
        <f t="shared" si="8"/>
        <v>#N/A</v>
      </c>
      <c r="L108" s="72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0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2" t="e">
        <f t="shared" si="5"/>
        <v>#N/A</v>
      </c>
      <c r="K109" s="72" t="e">
        <f t="shared" si="8"/>
        <v>#N/A</v>
      </c>
      <c r="L109" s="72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0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2" t="e">
        <f t="shared" si="5"/>
        <v>#N/A</v>
      </c>
      <c r="K110" s="72" t="e">
        <f t="shared" si="8"/>
        <v>#N/A</v>
      </c>
      <c r="L110" s="72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0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2" t="e">
        <f t="shared" si="5"/>
        <v>#N/A</v>
      </c>
      <c r="K111" s="72" t="e">
        <f t="shared" si="8"/>
        <v>#N/A</v>
      </c>
      <c r="L111" s="72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0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2" t="e">
        <f t="shared" si="5"/>
        <v>#N/A</v>
      </c>
      <c r="K112" s="72" t="e">
        <f t="shared" si="8"/>
        <v>#N/A</v>
      </c>
      <c r="L112" s="72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0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2" t="e">
        <f t="shared" si="5"/>
        <v>#N/A</v>
      </c>
      <c r="K113" s="72" t="e">
        <f t="shared" si="8"/>
        <v>#N/A</v>
      </c>
      <c r="L113" s="72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0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2" t="e">
        <f t="shared" si="5"/>
        <v>#N/A</v>
      </c>
      <c r="K114" s="72" t="e">
        <f t="shared" si="8"/>
        <v>#N/A</v>
      </c>
      <c r="L114" s="72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0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2" t="e">
        <f t="shared" si="5"/>
        <v>#N/A</v>
      </c>
      <c r="K115" s="72" t="e">
        <f t="shared" si="8"/>
        <v>#N/A</v>
      </c>
      <c r="L115" s="72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0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2" t="e">
        <f t="shared" si="5"/>
        <v>#N/A</v>
      </c>
      <c r="K116" s="72" t="e">
        <f t="shared" si="8"/>
        <v>#N/A</v>
      </c>
      <c r="L116" s="72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0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2" t="e">
        <f t="shared" si="5"/>
        <v>#N/A</v>
      </c>
      <c r="K117" s="72" t="e">
        <f t="shared" si="8"/>
        <v>#N/A</v>
      </c>
      <c r="L117" s="72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0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2" t="e">
        <f t="shared" si="5"/>
        <v>#N/A</v>
      </c>
      <c r="K118" s="72" t="e">
        <f t="shared" si="8"/>
        <v>#N/A</v>
      </c>
      <c r="L118" s="72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0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2" t="e">
        <f t="shared" si="5"/>
        <v>#N/A</v>
      </c>
      <c r="K119" s="72" t="e">
        <f t="shared" si="8"/>
        <v>#N/A</v>
      </c>
      <c r="L119" s="72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0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2" t="e">
        <f t="shared" si="5"/>
        <v>#N/A</v>
      </c>
      <c r="K120" s="72" t="e">
        <f t="shared" si="8"/>
        <v>#N/A</v>
      </c>
      <c r="L120" s="72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0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2" t="e">
        <f t="shared" si="5"/>
        <v>#N/A</v>
      </c>
      <c r="K121" s="72" t="e">
        <f t="shared" si="8"/>
        <v>#N/A</v>
      </c>
      <c r="L121" s="72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0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2" t="e">
        <f t="shared" si="5"/>
        <v>#N/A</v>
      </c>
      <c r="K122" s="72" t="e">
        <f t="shared" si="8"/>
        <v>#N/A</v>
      </c>
      <c r="L122" s="72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0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2" t="e">
        <f t="shared" si="5"/>
        <v>#N/A</v>
      </c>
      <c r="K123" s="72" t="e">
        <f t="shared" si="8"/>
        <v>#N/A</v>
      </c>
      <c r="L123" s="72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0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2" t="e">
        <f t="shared" si="5"/>
        <v>#N/A</v>
      </c>
      <c r="K124" s="72" t="e">
        <f t="shared" si="8"/>
        <v>#N/A</v>
      </c>
      <c r="L124" s="72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0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B1" zoomScale="70" zoomScaleNormal="70" workbookViewId="0">
      <selection activeCell="I19" sqref="C12:I19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1" t="s">
        <v>75</v>
      </c>
      <c r="K3" s="62" t="s">
        <v>74</v>
      </c>
      <c r="L3" s="62" t="s">
        <v>76</v>
      </c>
      <c r="M3" s="62" t="s">
        <v>77</v>
      </c>
      <c r="N3" s="62" t="s">
        <v>78</v>
      </c>
      <c r="O3" s="62" t="s">
        <v>79</v>
      </c>
      <c r="P3" s="62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60">
        <f t="shared" ref="J4:P6" si="0">$I4*R4</f>
        <v>11.398119890007969</v>
      </c>
      <c r="K4" s="34">
        <f t="shared" si="0"/>
        <v>18.529229153216431</v>
      </c>
      <c r="L4" s="34">
        <f t="shared" si="0"/>
        <v>4.4768747870259453</v>
      </c>
      <c r="M4" s="34">
        <f t="shared" si="0"/>
        <v>1.0148061532739916</v>
      </c>
      <c r="N4" s="34">
        <f t="shared" si="0"/>
        <v>0.1775910768229485</v>
      </c>
      <c r="O4" s="34">
        <f t="shared" si="0"/>
        <v>1.0474249224863696</v>
      </c>
      <c r="P4" s="34">
        <f t="shared" si="0"/>
        <v>0.12920127977380708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60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60">
        <f t="shared" si="0"/>
        <v>14.145478300824047</v>
      </c>
      <c r="K6" s="34">
        <f t="shared" si="0"/>
        <v>22.995442357786615</v>
      </c>
      <c r="L6" s="34">
        <f t="shared" si="0"/>
        <v>5.555963243630833</v>
      </c>
      <c r="M6" s="34">
        <f t="shared" si="0"/>
        <v>1.2594110747390932</v>
      </c>
      <c r="N6" s="34">
        <f t="shared" si="0"/>
        <v>0.2203969380793413</v>
      </c>
      <c r="O6" s="34">
        <f t="shared" si="0"/>
        <v>1.2998921449985636</v>
      </c>
      <c r="P6" s="34">
        <f t="shared" si="0"/>
        <v>0.16034345287780677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>D7&amp;E7</f>
        <v>21</v>
      </c>
      <c r="I7" s="16">
        <f>F7*365*0.8</f>
        <v>10248.673710379117</v>
      </c>
      <c r="J7" s="60">
        <f t="shared" ref="J7:P7" si="1">$I7*R7</f>
        <v>11.419959630061561</v>
      </c>
      <c r="K7" s="34">
        <f t="shared" si="1"/>
        <v>18.564732688185778</v>
      </c>
      <c r="L7" s="34">
        <f t="shared" si="1"/>
        <v>4.4854528492453856</v>
      </c>
      <c r="M7" s="34">
        <f t="shared" si="1"/>
        <v>1.0167506057631883</v>
      </c>
      <c r="N7" s="34">
        <f t="shared" si="1"/>
        <v>0.17793135600855797</v>
      </c>
      <c r="O7" s="34">
        <f t="shared" si="1"/>
        <v>1.0494318752341478</v>
      </c>
      <c r="P7" s="34">
        <f t="shared" si="1"/>
        <v>0.12944884010762361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ref="H8:H71" si="2">D8&amp;E8</f>
        <v>21</v>
      </c>
      <c r="I8" s="16">
        <f t="shared" ref="I8:I71" si="3">F8*365*0.8</f>
        <v>11213.77998756992</v>
      </c>
      <c r="J8" s="60">
        <f t="shared" ref="J8:J71" si="4">$I8*R8</f>
        <v>12.495364607885787</v>
      </c>
      <c r="K8" s="34">
        <f t="shared" ref="K8:K71" si="5">$I8*S8</f>
        <v>20.312953048991332</v>
      </c>
      <c r="L8" s="34">
        <f t="shared" ref="L8:L71" si="6">$I8*T8</f>
        <v>4.9078429870508327</v>
      </c>
      <c r="M8" s="34">
        <f t="shared" ref="M8:M71" si="7">$I8*U8</f>
        <v>1.112496886666428</v>
      </c>
      <c r="N8" s="34">
        <f t="shared" ref="N8:N71" si="8">$I8*V8</f>
        <v>0.19468695516662488</v>
      </c>
      <c r="O8" s="34">
        <f t="shared" ref="O8:O71" si="9">$I8*W8</f>
        <v>1.1482557151664199</v>
      </c>
      <c r="P8" s="34">
        <f t="shared" ref="P8:P71" si="10">$I8*X8</f>
        <v>0.14163889432277676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2"/>
        <v>21</v>
      </c>
      <c r="I9" s="16">
        <f t="shared" si="3"/>
        <v>14776.034804226229</v>
      </c>
      <c r="J9" s="60">
        <f t="shared" si="4"/>
        <v>16.464737362626607</v>
      </c>
      <c r="K9" s="34">
        <f t="shared" si="5"/>
        <v>26.76572052967057</v>
      </c>
      <c r="L9" s="34">
        <f t="shared" si="6"/>
        <v>6.4669057954342666</v>
      </c>
      <c r="M9" s="34">
        <f t="shared" si="7"/>
        <v>1.4659011265779898</v>
      </c>
      <c r="N9" s="34">
        <f t="shared" si="8"/>
        <v>0.25653269715114818</v>
      </c>
      <c r="O9" s="34">
        <f t="shared" si="9"/>
        <v>1.513019377075139</v>
      </c>
      <c r="P9" s="34">
        <f t="shared" si="10"/>
        <v>0.18663298499393899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2"/>
        <v>21</v>
      </c>
      <c r="I10" s="16">
        <f t="shared" si="3"/>
        <v>13508.947172156621</v>
      </c>
      <c r="J10" s="60">
        <f t="shared" si="4"/>
        <v>15.052838612124779</v>
      </c>
      <c r="K10" s="34">
        <f t="shared" si="5"/>
        <v>24.470482741189119</v>
      </c>
      <c r="L10" s="34">
        <f t="shared" si="6"/>
        <v>5.912349958247801</v>
      </c>
      <c r="M10" s="34">
        <f t="shared" si="7"/>
        <v>1.3401958739893443</v>
      </c>
      <c r="N10" s="34">
        <f t="shared" si="8"/>
        <v>0.23453427794813522</v>
      </c>
      <c r="O10" s="34">
        <f t="shared" si="9"/>
        <v>1.3832735985104299</v>
      </c>
      <c r="P10" s="34">
        <f t="shared" si="10"/>
        <v>0.17062866785776015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2"/>
        <v>21</v>
      </c>
      <c r="I11" s="16">
        <f t="shared" si="3"/>
        <v>10888.387818520821</v>
      </c>
      <c r="J11" s="60">
        <f t="shared" si="4"/>
        <v>12.132784479033054</v>
      </c>
      <c r="K11" s="34">
        <f t="shared" si="5"/>
        <v>19.723528621213156</v>
      </c>
      <c r="L11" s="34">
        <f t="shared" si="6"/>
        <v>4.7654312689077027</v>
      </c>
      <c r="M11" s="34">
        <f t="shared" si="7"/>
        <v>1.0802153745078142</v>
      </c>
      <c r="N11" s="34">
        <f t="shared" si="8"/>
        <v>0.18903769053886746</v>
      </c>
      <c r="O11" s="34">
        <f t="shared" si="9"/>
        <v>1.1149365829741364</v>
      </c>
      <c r="P11" s="34">
        <f t="shared" si="10"/>
        <v>0.13752893433635904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2"/>
        <v>21</v>
      </c>
      <c r="I12" s="16">
        <f t="shared" si="3"/>
        <v>5732.0198881292745</v>
      </c>
      <c r="J12" s="60">
        <f t="shared" si="4"/>
        <v>6.387112866599872</v>
      </c>
      <c r="K12" s="34">
        <f t="shared" si="5"/>
        <v>10.383140296360171</v>
      </c>
      <c r="L12" s="34">
        <f t="shared" si="6"/>
        <v>2.5086860666763862</v>
      </c>
      <c r="M12" s="34">
        <f t="shared" si="7"/>
        <v>0.56866233214156003</v>
      </c>
      <c r="N12" s="34">
        <f t="shared" si="8"/>
        <v>9.9515908124772998E-2</v>
      </c>
      <c r="O12" s="34">
        <f t="shared" si="9"/>
        <v>0.58694076424610997</v>
      </c>
      <c r="P12" s="34">
        <f t="shared" si="10"/>
        <v>7.2399936514782173E-2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2"/>
        <v>21</v>
      </c>
      <c r="I13" s="16">
        <f t="shared" si="3"/>
        <v>10819.425730267249</v>
      </c>
      <c r="J13" s="60">
        <f t="shared" si="4"/>
        <v>12.055940949214852</v>
      </c>
      <c r="K13" s="34">
        <f t="shared" si="5"/>
        <v>19.59860877595063</v>
      </c>
      <c r="L13" s="34">
        <f t="shared" si="6"/>
        <v>4.7352491981355955</v>
      </c>
      <c r="M13" s="34">
        <f t="shared" si="7"/>
        <v>1.0733737824161951</v>
      </c>
      <c r="N13" s="34">
        <f t="shared" si="8"/>
        <v>0.18784041192283413</v>
      </c>
      <c r="O13" s="34">
        <f t="shared" si="9"/>
        <v>1.1078750825652868</v>
      </c>
      <c r="P13" s="34">
        <f t="shared" si="10"/>
        <v>0.1366578887173748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2"/>
        <v>21</v>
      </c>
      <c r="I14" s="16">
        <f t="shared" si="3"/>
        <v>6244.6985705407087</v>
      </c>
      <c r="J14" s="60">
        <f t="shared" si="4"/>
        <v>6.9583838448536177</v>
      </c>
      <c r="K14" s="34">
        <f t="shared" si="5"/>
        <v>11.311820724956576</v>
      </c>
      <c r="L14" s="34">
        <f t="shared" si="6"/>
        <v>2.7330659349163979</v>
      </c>
      <c r="M14" s="34">
        <f t="shared" si="7"/>
        <v>0.61952416808583421</v>
      </c>
      <c r="N14" s="34">
        <f t="shared" si="8"/>
        <v>0.10841672941502099</v>
      </c>
      <c r="O14" s="34">
        <f t="shared" si="9"/>
        <v>0.63943744491716448</v>
      </c>
      <c r="P14" s="34">
        <f t="shared" si="10"/>
        <v>7.8875473024336049E-2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2"/>
        <v>21</v>
      </c>
      <c r="I15" s="16">
        <f t="shared" si="3"/>
        <v>6733.6034804226219</v>
      </c>
      <c r="J15" s="60">
        <f t="shared" si="4"/>
        <v>7.503164027301616</v>
      </c>
      <c r="K15" s="34">
        <f t="shared" si="5"/>
        <v>12.197436680580898</v>
      </c>
      <c r="L15" s="34">
        <f t="shared" si="6"/>
        <v>2.9470409313902355</v>
      </c>
      <c r="M15" s="34">
        <f t="shared" si="7"/>
        <v>0.66802745517747142</v>
      </c>
      <c r="N15" s="34">
        <f t="shared" si="8"/>
        <v>0.11690480465605749</v>
      </c>
      <c r="O15" s="34">
        <f t="shared" si="9"/>
        <v>0.68949976623674702</v>
      </c>
      <c r="P15" s="34">
        <f t="shared" si="10"/>
        <v>8.5050728017871668E-2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2"/>
        <v>21</v>
      </c>
      <c r="I16" s="16">
        <f t="shared" si="3"/>
        <v>12021.725295214421</v>
      </c>
      <c r="J16" s="60">
        <f t="shared" si="4"/>
        <v>13.395647225650633</v>
      </c>
      <c r="K16" s="34">
        <f t="shared" si="5"/>
        <v>21.776487657172289</v>
      </c>
      <c r="L16" s="34">
        <f t="shared" si="6"/>
        <v>5.2614497740966861</v>
      </c>
      <c r="M16" s="34">
        <f t="shared" si="7"/>
        <v>1.1926515392766615</v>
      </c>
      <c r="N16" s="34">
        <f t="shared" si="8"/>
        <v>0.20871401937341574</v>
      </c>
      <c r="O16" s="34">
        <f t="shared" si="9"/>
        <v>1.2309867673248396</v>
      </c>
      <c r="P16" s="34">
        <f t="shared" si="10"/>
        <v>0.1518438814167711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2"/>
        <v>21</v>
      </c>
      <c r="I17" s="16">
        <f t="shared" si="3"/>
        <v>6890.94592914854</v>
      </c>
      <c r="J17" s="60">
        <f t="shared" si="4"/>
        <v>7.6784886071763072</v>
      </c>
      <c r="K17" s="34">
        <f t="shared" si="5"/>
        <v>12.482451169640399</v>
      </c>
      <c r="L17" s="34">
        <f t="shared" si="6"/>
        <v>3.0159037086518614</v>
      </c>
      <c r="M17" s="34">
        <f t="shared" si="7"/>
        <v>0.68363708766019216</v>
      </c>
      <c r="N17" s="34">
        <f t="shared" si="8"/>
        <v>0.11963649034053363</v>
      </c>
      <c r="O17" s="34">
        <f t="shared" si="9"/>
        <v>0.70561113690641242</v>
      </c>
      <c r="P17" s="34">
        <f t="shared" si="10"/>
        <v>8.7038087364343625E-2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2"/>
        <v>21</v>
      </c>
      <c r="I18" s="16">
        <f t="shared" si="3"/>
        <v>2353.2405220633932</v>
      </c>
      <c r="J18" s="60">
        <f t="shared" si="4"/>
        <v>2.6221843451385309</v>
      </c>
      <c r="K18" s="34">
        <f t="shared" si="5"/>
        <v>4.2627253513662273</v>
      </c>
      <c r="L18" s="34">
        <f t="shared" si="6"/>
        <v>1.0299234518471643</v>
      </c>
      <c r="M18" s="34">
        <f t="shared" si="7"/>
        <v>0.23346032803164812</v>
      </c>
      <c r="N18" s="34">
        <f t="shared" si="8"/>
        <v>4.0855557405538416E-2</v>
      </c>
      <c r="O18" s="34">
        <f t="shared" si="9"/>
        <v>0.24096441000409388</v>
      </c>
      <c r="P18" s="34">
        <f t="shared" si="10"/>
        <v>2.9723285635180625E-2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0</v>
      </c>
      <c r="H19" s="14" t="str">
        <f t="shared" si="2"/>
        <v>22</v>
      </c>
      <c r="I19" s="16">
        <f t="shared" si="3"/>
        <v>12933.113735239282</v>
      </c>
      <c r="J19" s="60">
        <f t="shared" si="4"/>
        <v>6.2022389845877415</v>
      </c>
      <c r="K19" s="34">
        <f t="shared" si="5"/>
        <v>0</v>
      </c>
      <c r="L19" s="34">
        <f t="shared" si="6"/>
        <v>0</v>
      </c>
      <c r="M19" s="34">
        <f t="shared" si="7"/>
        <v>1.0585315785200671</v>
      </c>
      <c r="N19" s="34">
        <f t="shared" si="8"/>
        <v>0.12830685800243238</v>
      </c>
      <c r="O19" s="34">
        <f t="shared" si="9"/>
        <v>0</v>
      </c>
      <c r="P19" s="34">
        <f t="shared" si="10"/>
        <v>0</v>
      </c>
      <c r="R19" s="33">
        <f>VLOOKUP(H19,'Emssions Factors'!$F$6:$M$18,2,TRUE)</f>
        <v>4.795627032713937E-4</v>
      </c>
      <c r="S19" s="33">
        <f>VLOOKUP(H19,'Emssions Factors'!$F$6:$M$18,3,TRUE)</f>
        <v>0</v>
      </c>
      <c r="T19" s="33">
        <f>VLOOKUP(H19,'Emssions Factors'!$F$6:$M$18,4,TRUE)</f>
        <v>0</v>
      </c>
      <c r="U19" s="33">
        <f>VLOOKUP(H19,'Emssions Factors'!$F$6:$M$18,5,TRUE)</f>
        <v>8.1846614836135796E-5</v>
      </c>
      <c r="V19" s="33">
        <f>VLOOKUP(H19,'Emssions Factors'!$F$6:$M$18,6,TRUE)</f>
        <v>9.9208017983194923E-6</v>
      </c>
      <c r="W19" s="33">
        <f>VLOOKUP(H19,'Emssions Factors'!$F$6:$M$18,7,TRUE)</f>
        <v>0</v>
      </c>
      <c r="X19" s="33">
        <f>VLOOKUP(H19,'Emssions Factors'!$F$6:$M$18,8,TRUE)</f>
        <v>0</v>
      </c>
    </row>
    <row r="20" spans="2:24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0</v>
      </c>
      <c r="H20" s="14" t="str">
        <f t="shared" si="2"/>
        <v>22</v>
      </c>
      <c r="I20" s="16">
        <f t="shared" si="3"/>
        <v>3926.8464885021758</v>
      </c>
      <c r="J20" s="60">
        <f t="shared" si="4"/>
        <v>1.8831691173578833</v>
      </c>
      <c r="K20" s="34">
        <f t="shared" si="5"/>
        <v>0</v>
      </c>
      <c r="L20" s="34">
        <f t="shared" si="6"/>
        <v>0</v>
      </c>
      <c r="M20" s="34">
        <f t="shared" si="7"/>
        <v>0.32139909206506995</v>
      </c>
      <c r="N20" s="34">
        <f t="shared" si="8"/>
        <v>3.8957465704856968E-2</v>
      </c>
      <c r="O20" s="34">
        <f t="shared" si="9"/>
        <v>0</v>
      </c>
      <c r="P20" s="34">
        <f t="shared" si="10"/>
        <v>0</v>
      </c>
      <c r="R20" s="33">
        <f>VLOOKUP(H20,'Emssions Factors'!$F$6:$M$18,2,TRUE)</f>
        <v>4.795627032713937E-4</v>
      </c>
      <c r="S20" s="33">
        <f>VLOOKUP(H20,'Emssions Factors'!$F$6:$M$18,3,TRUE)</f>
        <v>0</v>
      </c>
      <c r="T20" s="33">
        <f>VLOOKUP(H20,'Emssions Factors'!$F$6:$M$18,4,TRUE)</f>
        <v>0</v>
      </c>
      <c r="U20" s="33">
        <f>VLOOKUP(H20,'Emssions Factors'!$F$6:$M$18,5,TRUE)</f>
        <v>8.1846614836135796E-5</v>
      </c>
      <c r="V20" s="33">
        <f>VLOOKUP(H20,'Emssions Factors'!$F$6:$M$18,6,TRUE)</f>
        <v>9.9208017983194923E-6</v>
      </c>
      <c r="W20" s="33">
        <f>VLOOKUP(H20,'Emssions Factors'!$F$6:$M$18,7,TRUE)</f>
        <v>0</v>
      </c>
      <c r="X20" s="33">
        <f>VLOOKUP(H20,'Emssions Factors'!$F$6:$M$18,8,TRUE)</f>
        <v>0</v>
      </c>
    </row>
    <row r="21" spans="2:24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0</v>
      </c>
      <c r="H21" s="14" t="str">
        <f t="shared" si="2"/>
        <v>22</v>
      </c>
      <c r="I21" s="16">
        <f t="shared" si="3"/>
        <v>13598.779366065879</v>
      </c>
      <c r="J21" s="60">
        <f t="shared" si="4"/>
        <v>6.5214673939818022</v>
      </c>
      <c r="K21" s="34">
        <f t="shared" si="5"/>
        <v>0</v>
      </c>
      <c r="L21" s="34">
        <f t="shared" si="6"/>
        <v>0</v>
      </c>
      <c r="M21" s="34">
        <f t="shared" si="7"/>
        <v>1.113014057015985</v>
      </c>
      <c r="N21" s="34">
        <f t="shared" si="8"/>
        <v>0.13491079478981638</v>
      </c>
      <c r="O21" s="34">
        <f t="shared" si="9"/>
        <v>0</v>
      </c>
      <c r="P21" s="34">
        <f t="shared" si="10"/>
        <v>0</v>
      </c>
      <c r="R21" s="33">
        <f>VLOOKUP(H21,'Emssions Factors'!$F$6:$M$18,2,TRUE)</f>
        <v>4.795627032713937E-4</v>
      </c>
      <c r="S21" s="33">
        <f>VLOOKUP(H21,'Emssions Factors'!$F$6:$M$18,3,TRUE)</f>
        <v>0</v>
      </c>
      <c r="T21" s="33">
        <f>VLOOKUP(H21,'Emssions Factors'!$F$6:$M$18,4,TRUE)</f>
        <v>0</v>
      </c>
      <c r="U21" s="33">
        <f>VLOOKUP(H21,'Emssions Factors'!$F$6:$M$18,5,TRUE)</f>
        <v>8.1846614836135796E-5</v>
      </c>
      <c r="V21" s="33">
        <f>VLOOKUP(H21,'Emssions Factors'!$F$6:$M$18,6,TRUE)</f>
        <v>9.9208017983194923E-6</v>
      </c>
      <c r="W21" s="33">
        <f>VLOOKUP(H21,'Emssions Factors'!$F$6:$M$18,7,TRUE)</f>
        <v>0</v>
      </c>
      <c r="X21" s="33">
        <f>VLOOKUP(H21,'Emssions Factors'!$F$6:$M$18,8,TRUE)</f>
        <v>0</v>
      </c>
    </row>
    <row r="22" spans="2:24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0</v>
      </c>
      <c r="H22" s="14" t="str">
        <f t="shared" si="2"/>
        <v>22</v>
      </c>
      <c r="I22" s="16">
        <f t="shared" si="3"/>
        <v>4309.2231199502803</v>
      </c>
      <c r="J22" s="60">
        <f t="shared" si="4"/>
        <v>2.0665426884029459</v>
      </c>
      <c r="K22" s="34">
        <f t="shared" si="5"/>
        <v>0</v>
      </c>
      <c r="L22" s="34">
        <f t="shared" si="6"/>
        <v>0</v>
      </c>
      <c r="M22" s="34">
        <f t="shared" si="7"/>
        <v>0.35269532494154199</v>
      </c>
      <c r="N22" s="34">
        <f t="shared" si="8"/>
        <v>4.2750948477762674E-2</v>
      </c>
      <c r="O22" s="34">
        <f t="shared" si="9"/>
        <v>0</v>
      </c>
      <c r="P22" s="34">
        <f t="shared" si="10"/>
        <v>0</v>
      </c>
      <c r="R22" s="33">
        <f>VLOOKUP(H22,'Emssions Factors'!$F$6:$M$18,2,TRUE)</f>
        <v>4.795627032713937E-4</v>
      </c>
      <c r="S22" s="33">
        <f>VLOOKUP(H22,'Emssions Factors'!$F$6:$M$18,3,TRUE)</f>
        <v>0</v>
      </c>
      <c r="T22" s="33">
        <f>VLOOKUP(H22,'Emssions Factors'!$F$6:$M$18,4,TRUE)</f>
        <v>0</v>
      </c>
      <c r="U22" s="33">
        <f>VLOOKUP(H22,'Emssions Factors'!$F$6:$M$18,5,TRUE)</f>
        <v>8.1846614836135796E-5</v>
      </c>
      <c r="V22" s="33">
        <f>VLOOKUP(H22,'Emssions Factors'!$F$6:$M$18,6,TRUE)</f>
        <v>9.9208017983194923E-6</v>
      </c>
      <c r="W22" s="33">
        <f>VLOOKUP(H22,'Emssions Factors'!$F$6:$M$18,7,TRUE)</f>
        <v>0</v>
      </c>
      <c r="X22" s="33">
        <f>VLOOKUP(H22,'Emssions Factors'!$F$6:$M$18,8,TRUE)</f>
        <v>0</v>
      </c>
    </row>
    <row r="23" spans="2:24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2"/>
        <v>22</v>
      </c>
      <c r="I23" s="16">
        <f t="shared" si="3"/>
        <v>9621.3001864512116</v>
      </c>
      <c r="J23" s="60">
        <f t="shared" si="4"/>
        <v>4.6140167264001075</v>
      </c>
      <c r="K23" s="34">
        <f t="shared" si="5"/>
        <v>0</v>
      </c>
      <c r="L23" s="34">
        <f t="shared" si="6"/>
        <v>0</v>
      </c>
      <c r="M23" s="34">
        <f t="shared" si="7"/>
        <v>0.78747085058331379</v>
      </c>
      <c r="N23" s="34">
        <f t="shared" si="8"/>
        <v>9.5451012191916845E-2</v>
      </c>
      <c r="O23" s="34">
        <f t="shared" si="9"/>
        <v>0</v>
      </c>
      <c r="P23" s="34">
        <f t="shared" si="10"/>
        <v>0</v>
      </c>
      <c r="R23" s="33">
        <f>VLOOKUP(H23,'Emssions Factors'!$F$6:$M$18,2,TRUE)</f>
        <v>4.795627032713937E-4</v>
      </c>
      <c r="S23" s="33">
        <f>VLOOKUP(H23,'Emssions Factors'!$F$6:$M$18,3,TRUE)</f>
        <v>0</v>
      </c>
      <c r="T23" s="33">
        <f>VLOOKUP(H23,'Emssions Factors'!$F$6:$M$18,4,TRUE)</f>
        <v>0</v>
      </c>
      <c r="U23" s="33">
        <f>VLOOKUP(H23,'Emssions Factors'!$F$6:$M$18,5,TRUE)</f>
        <v>8.1846614836135796E-5</v>
      </c>
      <c r="V23" s="33">
        <f>VLOOKUP(H23,'Emssions Factors'!$F$6:$M$18,6,TRUE)</f>
        <v>9.9208017983194923E-6</v>
      </c>
      <c r="W23" s="33">
        <f>VLOOKUP(H23,'Emssions Factors'!$F$6:$M$18,7,TRUE)</f>
        <v>0</v>
      </c>
      <c r="X23" s="33">
        <f>VLOOKUP(H23,'Emssions Factors'!$F$6:$M$18,8,TRUE)</f>
        <v>0</v>
      </c>
    </row>
    <row r="24" spans="2:24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2"/>
        <v>22</v>
      </c>
      <c r="I24" s="16">
        <f t="shared" si="3"/>
        <v>9071.2367930391538</v>
      </c>
      <c r="J24" s="60">
        <f t="shared" si="4"/>
        <v>4.3502268384847849</v>
      </c>
      <c r="K24" s="34">
        <f t="shared" si="5"/>
        <v>0</v>
      </c>
      <c r="L24" s="34">
        <f t="shared" si="6"/>
        <v>0</v>
      </c>
      <c r="M24" s="34">
        <f t="shared" si="7"/>
        <v>0.74245002388725934</v>
      </c>
      <c r="N24" s="34">
        <f t="shared" si="8"/>
        <v>8.9993942289364776E-2</v>
      </c>
      <c r="O24" s="34">
        <f t="shared" si="9"/>
        <v>0</v>
      </c>
      <c r="P24" s="34">
        <f t="shared" si="10"/>
        <v>0</v>
      </c>
      <c r="R24" s="33">
        <f>VLOOKUP(H24,'Emssions Factors'!$F$6:$M$18,2,TRUE)</f>
        <v>4.795627032713937E-4</v>
      </c>
      <c r="S24" s="33">
        <f>VLOOKUP(H24,'Emssions Factors'!$F$6:$M$18,3,TRUE)</f>
        <v>0</v>
      </c>
      <c r="T24" s="33">
        <f>VLOOKUP(H24,'Emssions Factors'!$F$6:$M$18,4,TRUE)</f>
        <v>0</v>
      </c>
      <c r="U24" s="33">
        <f>VLOOKUP(H24,'Emssions Factors'!$F$6:$M$18,5,TRUE)</f>
        <v>8.1846614836135796E-5</v>
      </c>
      <c r="V24" s="33">
        <f>VLOOKUP(H24,'Emssions Factors'!$F$6:$M$18,6,TRUE)</f>
        <v>9.9208017983194923E-6</v>
      </c>
      <c r="W24" s="33">
        <f>VLOOKUP(H24,'Emssions Factors'!$F$6:$M$18,7,TRUE)</f>
        <v>0</v>
      </c>
      <c r="X24" s="33">
        <f>VLOOKUP(H24,'Emssions Factors'!$F$6:$M$18,8,TRUE)</f>
        <v>0</v>
      </c>
    </row>
    <row r="25" spans="2:24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2"/>
        <v>22</v>
      </c>
      <c r="I25" s="16">
        <f t="shared" si="3"/>
        <v>2673.5512740832819</v>
      </c>
      <c r="J25" s="60">
        <f t="shared" si="4"/>
        <v>1.2821354763340576</v>
      </c>
      <c r="K25" s="34">
        <f t="shared" si="5"/>
        <v>0</v>
      </c>
      <c r="L25" s="34">
        <f t="shared" si="6"/>
        <v>0</v>
      </c>
      <c r="M25" s="34">
        <f t="shared" si="7"/>
        <v>0.21882112137455451</v>
      </c>
      <c r="N25" s="34">
        <f t="shared" si="8"/>
        <v>2.6523772287824793E-2</v>
      </c>
      <c r="O25" s="34">
        <f t="shared" si="9"/>
        <v>0</v>
      </c>
      <c r="P25" s="34">
        <f t="shared" si="10"/>
        <v>0</v>
      </c>
      <c r="R25" s="33">
        <f>VLOOKUP(H25,'Emssions Factors'!$F$6:$M$18,2,TRUE)</f>
        <v>4.795627032713937E-4</v>
      </c>
      <c r="S25" s="33">
        <f>VLOOKUP(H25,'Emssions Factors'!$F$6:$M$18,3,TRUE)</f>
        <v>0</v>
      </c>
      <c r="T25" s="33">
        <f>VLOOKUP(H25,'Emssions Factors'!$F$6:$M$18,4,TRUE)</f>
        <v>0</v>
      </c>
      <c r="U25" s="33">
        <f>VLOOKUP(H25,'Emssions Factors'!$F$6:$M$18,5,TRUE)</f>
        <v>8.1846614836135796E-5</v>
      </c>
      <c r="V25" s="33">
        <f>VLOOKUP(H25,'Emssions Factors'!$F$6:$M$18,6,TRUE)</f>
        <v>9.9208017983194923E-6</v>
      </c>
      <c r="W25" s="33">
        <f>VLOOKUP(H25,'Emssions Factors'!$F$6:$M$18,7,TRUE)</f>
        <v>0</v>
      </c>
      <c r="X25" s="33">
        <f>VLOOKUP(H25,'Emssions Factors'!$F$6:$M$18,8,TRUE)</f>
        <v>0</v>
      </c>
    </row>
    <row r="26" spans="2:24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0</v>
      </c>
      <c r="H26" s="14" t="str">
        <f t="shared" si="2"/>
        <v>22</v>
      </c>
      <c r="I26" s="16">
        <f t="shared" si="3"/>
        <v>5754.1603480422627</v>
      </c>
      <c r="J26" s="60">
        <f t="shared" si="4"/>
        <v>2.7594806915642112</v>
      </c>
      <c r="K26" s="34">
        <f t="shared" si="5"/>
        <v>0</v>
      </c>
      <c r="L26" s="34">
        <f t="shared" si="6"/>
        <v>0</v>
      </c>
      <c r="M26" s="34">
        <f t="shared" si="7"/>
        <v>0.47095854571158019</v>
      </c>
      <c r="N26" s="34">
        <f t="shared" si="8"/>
        <v>5.7085884328676395E-2</v>
      </c>
      <c r="O26" s="34">
        <f t="shared" si="9"/>
        <v>0</v>
      </c>
      <c r="P26" s="34">
        <f t="shared" si="10"/>
        <v>0</v>
      </c>
      <c r="R26" s="33">
        <f>VLOOKUP(H26,'Emssions Factors'!$F$6:$M$18,2,TRUE)</f>
        <v>4.795627032713937E-4</v>
      </c>
      <c r="S26" s="33">
        <f>VLOOKUP(H26,'Emssions Factors'!$F$6:$M$18,3,TRUE)</f>
        <v>0</v>
      </c>
      <c r="T26" s="33">
        <f>VLOOKUP(H26,'Emssions Factors'!$F$6:$M$18,4,TRUE)</f>
        <v>0</v>
      </c>
      <c r="U26" s="33">
        <f>VLOOKUP(H26,'Emssions Factors'!$F$6:$M$18,5,TRUE)</f>
        <v>8.1846614836135796E-5</v>
      </c>
      <c r="V26" s="33">
        <f>VLOOKUP(H26,'Emssions Factors'!$F$6:$M$18,6,TRUE)</f>
        <v>9.9208017983194923E-6</v>
      </c>
      <c r="W26" s="33">
        <f>VLOOKUP(H26,'Emssions Factors'!$F$6:$M$18,7,TRUE)</f>
        <v>0</v>
      </c>
      <c r="X26" s="33">
        <f>VLOOKUP(H26,'Emssions Factors'!$F$6:$M$18,8,TRUE)</f>
        <v>0</v>
      </c>
    </row>
    <row r="27" spans="2:24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0</v>
      </c>
      <c r="H27" s="14" t="str">
        <f t="shared" si="2"/>
        <v>22</v>
      </c>
      <c r="I27" s="16">
        <f t="shared" si="3"/>
        <v>8943.6569297700444</v>
      </c>
      <c r="J27" s="60">
        <f t="shared" si="4"/>
        <v>4.2890442943724558</v>
      </c>
      <c r="K27" s="34">
        <f t="shared" si="5"/>
        <v>0</v>
      </c>
      <c r="L27" s="34">
        <f t="shared" si="6"/>
        <v>0</v>
      </c>
      <c r="M27" s="34">
        <f t="shared" si="7"/>
        <v>0.73200804395742558</v>
      </c>
      <c r="N27" s="34">
        <f t="shared" si="8"/>
        <v>8.8728247752415251E-2</v>
      </c>
      <c r="O27" s="34">
        <f t="shared" si="9"/>
        <v>0</v>
      </c>
      <c r="P27" s="34">
        <f t="shared" si="10"/>
        <v>0</v>
      </c>
      <c r="R27" s="33">
        <f>VLOOKUP(H27,'Emssions Factors'!$F$6:$M$18,2,TRUE)</f>
        <v>4.795627032713937E-4</v>
      </c>
      <c r="S27" s="33">
        <f>VLOOKUP(H27,'Emssions Factors'!$F$6:$M$18,3,TRUE)</f>
        <v>0</v>
      </c>
      <c r="T27" s="33">
        <f>VLOOKUP(H27,'Emssions Factors'!$F$6:$M$18,4,TRUE)</f>
        <v>0</v>
      </c>
      <c r="U27" s="33">
        <f>VLOOKUP(H27,'Emssions Factors'!$F$6:$M$18,5,TRUE)</f>
        <v>8.1846614836135796E-5</v>
      </c>
      <c r="V27" s="33">
        <f>VLOOKUP(H27,'Emssions Factors'!$F$6:$M$18,6,TRUE)</f>
        <v>9.9208017983194923E-6</v>
      </c>
      <c r="W27" s="33">
        <f>VLOOKUP(H27,'Emssions Factors'!$F$6:$M$18,7,TRUE)</f>
        <v>0</v>
      </c>
      <c r="X27" s="33">
        <f>VLOOKUP(H27,'Emssions Factors'!$F$6:$M$18,8,TRUE)</f>
        <v>0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0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0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0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0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0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0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0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0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0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0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0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0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0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0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0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0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0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0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0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0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0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0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0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0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0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0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0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0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0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0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0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0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0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0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0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0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0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0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0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0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0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0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0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0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0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0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0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0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0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0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0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0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0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0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0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0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0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0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0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0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0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0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0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0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0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0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0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0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0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0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0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0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0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0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0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0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0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0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0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0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0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0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0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0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0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0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0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0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0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0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0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0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0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0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0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0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0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3" t="s">
        <v>81</v>
      </c>
      <c r="R3" s="64" t="s">
        <v>82</v>
      </c>
      <c r="S3" s="64" t="s">
        <v>83</v>
      </c>
      <c r="T3" s="64" t="s">
        <v>84</v>
      </c>
      <c r="U3" s="64" t="s">
        <v>85</v>
      </c>
      <c r="V3" s="64" t="s">
        <v>86</v>
      </c>
      <c r="W3" s="64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36">
        <f t="shared" ref="J4:P6" si="0">$I4*Y4</f>
        <v>11.398119890007969</v>
      </c>
      <c r="K4" s="34">
        <f t="shared" si="0"/>
        <v>18.529229153216431</v>
      </c>
      <c r="L4" s="34">
        <f t="shared" si="0"/>
        <v>4.4768747870259453</v>
      </c>
      <c r="M4" s="34">
        <f t="shared" si="0"/>
        <v>1.0148061532739916</v>
      </c>
      <c r="N4" s="34">
        <f t="shared" si="0"/>
        <v>0.1775910768229485</v>
      </c>
      <c r="O4" s="34">
        <f t="shared" si="0"/>
        <v>1.0474249224863696</v>
      </c>
      <c r="P4" s="34">
        <f t="shared" si="0"/>
        <v>0.12920127977380708</v>
      </c>
      <c r="Q4" s="37">
        <f>J4*'Externality Factors'!B$17</f>
        <v>464.5645248698757</v>
      </c>
      <c r="R4" s="37">
        <f>K4*'Externality Factors'!C$17</f>
        <v>0</v>
      </c>
      <c r="S4" s="37">
        <f>L4*'Externality Factors'!D$17</f>
        <v>103.63384255223008</v>
      </c>
      <c r="T4" s="37">
        <f>M4*'Externality Factors'!E$17</f>
        <v>34.350481455542734</v>
      </c>
      <c r="U4" s="37">
        <f>N4*'Externality Factors'!F$17</f>
        <v>54.212410155339704</v>
      </c>
      <c r="V4" s="37">
        <f>O4*'Externality Factors'!G$17</f>
        <v>59.518027523162218</v>
      </c>
      <c r="W4" s="37">
        <f>P4*'Externality Factors'!H$17</f>
        <v>88.428796962708446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36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Q5" s="37">
        <f>J5*'Externality Factors'!B$17</f>
        <v>621.80682071778642</v>
      </c>
      <c r="R5" s="37">
        <f>K5*'Externality Factors'!C$17</f>
        <v>0</v>
      </c>
      <c r="S5" s="37">
        <f>L5*'Externality Factors'!D$17</f>
        <v>138.71104379788684</v>
      </c>
      <c r="T5" s="37">
        <f>M5*'Externality Factors'!E$17</f>
        <v>45.977173289284309</v>
      </c>
      <c r="U5" s="37">
        <f>N5*'Externality Factors'!F$17</f>
        <v>72.561817783186257</v>
      </c>
      <c r="V5" s="37">
        <f>O5*'Externality Factors'!G$17</f>
        <v>79.663240493744809</v>
      </c>
      <c r="W5" s="37">
        <f>P5*'Externality Factors'!H$17</f>
        <v>118.35950907935087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36">
        <f t="shared" si="0"/>
        <v>14.145478300824047</v>
      </c>
      <c r="K6" s="34">
        <f t="shared" si="0"/>
        <v>22.995442357786615</v>
      </c>
      <c r="L6" s="34">
        <f t="shared" si="0"/>
        <v>5.555963243630833</v>
      </c>
      <c r="M6" s="34">
        <f t="shared" si="0"/>
        <v>1.2594110747390932</v>
      </c>
      <c r="N6" s="34">
        <f t="shared" si="0"/>
        <v>0.2203969380793413</v>
      </c>
      <c r="O6" s="34">
        <f t="shared" si="0"/>
        <v>1.2998921449985636</v>
      </c>
      <c r="P6" s="34">
        <f t="shared" si="0"/>
        <v>0.16034345287780677</v>
      </c>
      <c r="Q6" s="37">
        <f>J6*'Externality Factors'!B$17</f>
        <v>576.54134798496716</v>
      </c>
      <c r="R6" s="37">
        <f>K6*'Externality Factors'!C$17</f>
        <v>0</v>
      </c>
      <c r="S6" s="37">
        <f>L6*'Externality Factors'!D$17</f>
        <v>128.61334019996534</v>
      </c>
      <c r="T6" s="37">
        <f>M6*'Externality Factors'!E$17</f>
        <v>42.63018767491652</v>
      </c>
      <c r="U6" s="37">
        <f>N6*'Externality Factors'!F$17</f>
        <v>67.279558285747683</v>
      </c>
      <c r="V6" s="37">
        <f>O6*'Externality Factors'!G$17</f>
        <v>73.86402099304037</v>
      </c>
      <c r="W6" s="37">
        <f>P6*'Externality Factors'!H$17</f>
        <v>109.74332966093175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10248.673710379117</v>
      </c>
      <c r="J7" s="36">
        <f t="shared" ref="J7:J70" si="3">$I7*Y7</f>
        <v>11.419959630061561</v>
      </c>
      <c r="K7" s="34">
        <f t="shared" ref="K7:K70" si="4">$I7*Z7</f>
        <v>18.564732688185778</v>
      </c>
      <c r="L7" s="34">
        <f t="shared" ref="L7:L70" si="5">$I7*AA7</f>
        <v>4.4854528492453856</v>
      </c>
      <c r="M7" s="34">
        <f t="shared" ref="M7:M70" si="6">$I7*AB7</f>
        <v>1.0167506057631883</v>
      </c>
      <c r="N7" s="34">
        <f t="shared" ref="N7:N70" si="7">$I7*AC7</f>
        <v>0.17793135600855797</v>
      </c>
      <c r="O7" s="34">
        <f t="shared" ref="O7:O70" si="8">$I7*AD7</f>
        <v>1.0494318752341478</v>
      </c>
      <c r="P7" s="34">
        <f t="shared" ref="P7:P70" si="9">$I7*AE7</f>
        <v>0.12944884010762361</v>
      </c>
      <c r="Q7" s="37">
        <f>J7*'Externality Factors'!B$17</f>
        <v>465.45466890759309</v>
      </c>
      <c r="R7" s="37">
        <f>K7*'Externality Factors'!C$17</f>
        <v>0</v>
      </c>
      <c r="S7" s="37">
        <f>L7*'Externality Factors'!D$17</f>
        <v>103.8324135625315</v>
      </c>
      <c r="T7" s="37">
        <f>M7*'Externality Factors'!E$17</f>
        <v>34.416299817951995</v>
      </c>
      <c r="U7" s="37">
        <f>N7*'Externality Factors'!F$17</f>
        <v>54.316285615231067</v>
      </c>
      <c r="V7" s="37">
        <f>O7*'Externality Factors'!G$17</f>
        <v>59.63206898457446</v>
      </c>
      <c r="W7" s="37">
        <f>P7*'Externality Factors'!H$17</f>
        <v>88.598233848576825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1"/>
        <v>21</v>
      </c>
      <c r="I8" s="16">
        <f t="shared" si="2"/>
        <v>11213.77998756992</v>
      </c>
      <c r="J8" s="36">
        <f t="shared" si="3"/>
        <v>12.495364607885787</v>
      </c>
      <c r="K8" s="34">
        <f t="shared" si="4"/>
        <v>20.312953048991332</v>
      </c>
      <c r="L8" s="34">
        <f t="shared" si="5"/>
        <v>4.9078429870508327</v>
      </c>
      <c r="M8" s="34">
        <f t="shared" si="6"/>
        <v>1.112496886666428</v>
      </c>
      <c r="N8" s="34">
        <f t="shared" si="7"/>
        <v>0.19468695516662488</v>
      </c>
      <c r="O8" s="34">
        <f t="shared" si="8"/>
        <v>1.1482557151664199</v>
      </c>
      <c r="P8" s="34">
        <f t="shared" si="9"/>
        <v>0.14163889432277676</v>
      </c>
      <c r="Q8" s="37">
        <f>J8*'Externality Factors'!B$17</f>
        <v>509.28602069075646</v>
      </c>
      <c r="R8" s="37">
        <f>K8*'Externality Factors'!C$17</f>
        <v>0</v>
      </c>
      <c r="S8" s="37">
        <f>L8*'Externality Factors'!D$17</f>
        <v>113.61019719941184</v>
      </c>
      <c r="T8" s="37">
        <f>M8*'Externality Factors'!E$17</f>
        <v>37.657244737327083</v>
      </c>
      <c r="U8" s="37">
        <f>N8*'Externality Factors'!F$17</f>
        <v>59.431190205066898</v>
      </c>
      <c r="V8" s="37">
        <f>O8*'Externality Factors'!G$17</f>
        <v>65.247555019670301</v>
      </c>
      <c r="W8" s="37">
        <f>P8*'Externality Factors'!H$17</f>
        <v>96.941431617541326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1"/>
        <v>21</v>
      </c>
      <c r="I9" s="16">
        <f t="shared" si="2"/>
        <v>14776.034804226229</v>
      </c>
      <c r="J9" s="36">
        <f t="shared" si="3"/>
        <v>16.464737362626607</v>
      </c>
      <c r="K9" s="34">
        <f t="shared" si="4"/>
        <v>26.76572052967057</v>
      </c>
      <c r="L9" s="34">
        <f t="shared" si="5"/>
        <v>6.4669057954342666</v>
      </c>
      <c r="M9" s="34">
        <f t="shared" si="6"/>
        <v>1.4659011265779898</v>
      </c>
      <c r="N9" s="34">
        <f t="shared" si="7"/>
        <v>0.25653269715114818</v>
      </c>
      <c r="O9" s="34">
        <f t="shared" si="8"/>
        <v>1.513019377075139</v>
      </c>
      <c r="P9" s="34">
        <f t="shared" si="9"/>
        <v>0.18663298499393899</v>
      </c>
      <c r="Q9" s="37">
        <f>J9*'Externality Factors'!B$17</f>
        <v>671.06969954591102</v>
      </c>
      <c r="R9" s="37">
        <f>K9*'Externality Factors'!C$17</f>
        <v>0</v>
      </c>
      <c r="S9" s="37">
        <f>L9*'Externality Factors'!D$17</f>
        <v>149.70047832169914</v>
      </c>
      <c r="T9" s="37">
        <f>M9*'Externality Factors'!E$17</f>
        <v>49.619732105212265</v>
      </c>
      <c r="U9" s="37">
        <f>N9*'Externality Factors'!F$17</f>
        <v>78.310555040322157</v>
      </c>
      <c r="V9" s="37">
        <f>O9*'Externality Factors'!G$17</f>
        <v>85.974590631346899</v>
      </c>
      <c r="W9" s="37">
        <f>P9*'Externality Factors'!H$17</f>
        <v>127.73658562412349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1"/>
        <v>21</v>
      </c>
      <c r="I10" s="16">
        <f t="shared" si="2"/>
        <v>13508.947172156621</v>
      </c>
      <c r="J10" s="36">
        <f t="shared" si="3"/>
        <v>15.052838612124779</v>
      </c>
      <c r="K10" s="34">
        <f t="shared" si="4"/>
        <v>24.470482741189119</v>
      </c>
      <c r="L10" s="34">
        <f t="shared" si="5"/>
        <v>5.912349958247801</v>
      </c>
      <c r="M10" s="34">
        <f t="shared" si="6"/>
        <v>1.3401958739893443</v>
      </c>
      <c r="N10" s="34">
        <f t="shared" si="7"/>
        <v>0.23453427794813522</v>
      </c>
      <c r="O10" s="34">
        <f t="shared" si="8"/>
        <v>1.3832735985104299</v>
      </c>
      <c r="P10" s="34">
        <f t="shared" si="9"/>
        <v>0.17062866785776015</v>
      </c>
      <c r="Q10" s="37">
        <f>J10*'Externality Factors'!B$17</f>
        <v>613.52353592235977</v>
      </c>
      <c r="R10" s="37">
        <f>K10*'Externality Factors'!C$17</f>
        <v>0</v>
      </c>
      <c r="S10" s="37">
        <f>L10*'Externality Factors'!D$17</f>
        <v>136.86323022980397</v>
      </c>
      <c r="T10" s="37">
        <f>M10*'Externality Factors'!E$17</f>
        <v>45.364696861309149</v>
      </c>
      <c r="U10" s="37">
        <f>N10*'Externality Factors'!F$17</f>
        <v>71.595198920308306</v>
      </c>
      <c r="V10" s="37">
        <f>O10*'Externality Factors'!G$17</f>
        <v>78.602021338936382</v>
      </c>
      <c r="W10" s="37">
        <f>P10*'Externality Factors'!H$17</f>
        <v>116.78280472474215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1"/>
        <v>21</v>
      </c>
      <c r="I11" s="16">
        <f t="shared" si="2"/>
        <v>10888.387818520821</v>
      </c>
      <c r="J11" s="36">
        <f t="shared" si="3"/>
        <v>12.132784479033054</v>
      </c>
      <c r="K11" s="34">
        <f t="shared" si="4"/>
        <v>19.723528621213156</v>
      </c>
      <c r="L11" s="34">
        <f t="shared" si="5"/>
        <v>4.7654312689077027</v>
      </c>
      <c r="M11" s="34">
        <f t="shared" si="6"/>
        <v>1.0802153745078142</v>
      </c>
      <c r="N11" s="34">
        <f t="shared" si="7"/>
        <v>0.18903769053886746</v>
      </c>
      <c r="O11" s="34">
        <f t="shared" si="8"/>
        <v>1.1149365829741364</v>
      </c>
      <c r="P11" s="34">
        <f t="shared" si="9"/>
        <v>0.13752893433635904</v>
      </c>
      <c r="Q11" s="37">
        <f>J11*'Externality Factors'!B$17</f>
        <v>494.50798124976143</v>
      </c>
      <c r="R11" s="37">
        <f>K11*'Externality Factors'!C$17</f>
        <v>0</v>
      </c>
      <c r="S11" s="37">
        <f>L11*'Externality Factors'!D$17</f>
        <v>110.31355070431474</v>
      </c>
      <c r="T11" s="37">
        <f>M11*'Externality Factors'!E$17</f>
        <v>36.564538035476858</v>
      </c>
      <c r="U11" s="37">
        <f>N11*'Externality Factors'!F$17</f>
        <v>57.706665208907509</v>
      </c>
      <c r="V11" s="37">
        <f>O11*'Externality Factors'!G$17</f>
        <v>63.354255572335433</v>
      </c>
      <c r="W11" s="37">
        <f>P11*'Externality Factors'!H$17</f>
        <v>94.128465540114988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36">
        <f t="shared" si="3"/>
        <v>6.387112866599872</v>
      </c>
      <c r="K12" s="34">
        <f t="shared" si="4"/>
        <v>10.383140296360171</v>
      </c>
      <c r="L12" s="34">
        <f t="shared" si="5"/>
        <v>2.5086860666763862</v>
      </c>
      <c r="M12" s="34">
        <f t="shared" si="6"/>
        <v>0.56866233214156003</v>
      </c>
      <c r="N12" s="34">
        <f t="shared" si="7"/>
        <v>9.9515908124772998E-2</v>
      </c>
      <c r="O12" s="34">
        <f t="shared" si="8"/>
        <v>0.58694076424610997</v>
      </c>
      <c r="P12" s="34">
        <f t="shared" si="9"/>
        <v>7.2399936514782173E-2</v>
      </c>
      <c r="Q12" s="37">
        <f>J12*'Externality Factors'!B$17</f>
        <v>260.32592066025063</v>
      </c>
      <c r="R12" s="37">
        <f>K12*'Externality Factors'!C$17</f>
        <v>0</v>
      </c>
      <c r="S12" s="37">
        <f>L12*'Externality Factors'!D$17</f>
        <v>58.072827410843381</v>
      </c>
      <c r="T12" s="37">
        <f>M12*'Externality Factors'!E$17</f>
        <v>19.24882385830422</v>
      </c>
      <c r="U12" s="37">
        <f>N12*'Externality Factors'!F$17</f>
        <v>30.378762969154707</v>
      </c>
      <c r="V12" s="37">
        <f>O12*'Externality Factors'!G$17</f>
        <v>33.351847765795775</v>
      </c>
      <c r="W12" s="37">
        <f>P12*'Externality Factors'!H$17</f>
        <v>49.552444816236083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36">
        <f t="shared" si="3"/>
        <v>12.055940949214852</v>
      </c>
      <c r="K13" s="34">
        <f t="shared" si="4"/>
        <v>19.59860877595063</v>
      </c>
      <c r="L13" s="34">
        <f t="shared" si="5"/>
        <v>4.7352491981355955</v>
      </c>
      <c r="M13" s="34">
        <f t="shared" si="6"/>
        <v>1.0733737824161951</v>
      </c>
      <c r="N13" s="34">
        <f t="shared" si="7"/>
        <v>0.18784041192283413</v>
      </c>
      <c r="O13" s="34">
        <f t="shared" si="8"/>
        <v>1.1078750825652868</v>
      </c>
      <c r="P13" s="34">
        <f t="shared" si="9"/>
        <v>0.1366578887173748</v>
      </c>
      <c r="Q13" s="37">
        <f>J13*'Externality Factors'!B$17</f>
        <v>491.37599296890363</v>
      </c>
      <c r="R13" s="37">
        <f>K13*'Externality Factors'!C$17</f>
        <v>0</v>
      </c>
      <c r="S13" s="37">
        <f>L13*'Externality Factors'!D$17</f>
        <v>109.61487492732819</v>
      </c>
      <c r="T13" s="37">
        <f>M13*'Externality Factors'!E$17</f>
        <v>36.33295490848127</v>
      </c>
      <c r="U13" s="37">
        <f>N13*'Externality Factors'!F$17</f>
        <v>57.341177479660125</v>
      </c>
      <c r="V13" s="37">
        <f>O13*'Externality Factors'!G$17</f>
        <v>62.952998578477519</v>
      </c>
      <c r="W13" s="37">
        <f>P13*'Externality Factors'!H$17</f>
        <v>93.532298719466908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36">
        <f t="shared" si="3"/>
        <v>6.9583838448536177</v>
      </c>
      <c r="K14" s="34">
        <f t="shared" si="4"/>
        <v>11.311820724956576</v>
      </c>
      <c r="L14" s="34">
        <f t="shared" si="5"/>
        <v>2.7330659349163979</v>
      </c>
      <c r="M14" s="34">
        <f t="shared" si="6"/>
        <v>0.61952416808583421</v>
      </c>
      <c r="N14" s="34">
        <f t="shared" si="7"/>
        <v>0.10841672941502099</v>
      </c>
      <c r="O14" s="34">
        <f t="shared" si="8"/>
        <v>0.63943744491716448</v>
      </c>
      <c r="P14" s="34">
        <f t="shared" si="9"/>
        <v>7.8875473024336049E-2</v>
      </c>
      <c r="Q14" s="37">
        <f>J14*'Externality Factors'!B$17</f>
        <v>283.60978090610166</v>
      </c>
      <c r="R14" s="37">
        <f>K14*'Externality Factors'!C$17</f>
        <v>0</v>
      </c>
      <c r="S14" s="37">
        <f>L14*'Externality Factors'!D$17</f>
        <v>63.266930226598717</v>
      </c>
      <c r="T14" s="37">
        <f>M14*'Externality Factors'!E$17</f>
        <v>20.970461578731932</v>
      </c>
      <c r="U14" s="37">
        <f>N14*'Externality Factors'!F$17</f>
        <v>33.095875693164892</v>
      </c>
      <c r="V14" s="37">
        <f>O14*'Externality Factors'!G$17</f>
        <v>36.334876733292148</v>
      </c>
      <c r="W14" s="37">
        <f>P14*'Externality Factors'!H$17</f>
        <v>53.984474469738267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1"/>
        <v>21</v>
      </c>
      <c r="I15" s="16">
        <f t="shared" si="2"/>
        <v>6733.6034804226219</v>
      </c>
      <c r="J15" s="36">
        <f t="shared" si="3"/>
        <v>7.503164027301616</v>
      </c>
      <c r="K15" s="34">
        <f t="shared" si="4"/>
        <v>12.197436680580898</v>
      </c>
      <c r="L15" s="34">
        <f t="shared" si="5"/>
        <v>2.9470409313902355</v>
      </c>
      <c r="M15" s="34">
        <f t="shared" si="6"/>
        <v>0.66802745517747142</v>
      </c>
      <c r="N15" s="34">
        <f t="shared" si="7"/>
        <v>0.11690480465605749</v>
      </c>
      <c r="O15" s="34">
        <f t="shared" si="8"/>
        <v>0.68949976623674702</v>
      </c>
      <c r="P15" s="34">
        <f t="shared" si="9"/>
        <v>8.5050728017871668E-2</v>
      </c>
      <c r="Q15" s="37">
        <f>J15*'Externality Factors'!B$17</f>
        <v>305.81392940249913</v>
      </c>
      <c r="R15" s="37">
        <f>K15*'Externality Factors'!C$17</f>
        <v>0</v>
      </c>
      <c r="S15" s="37">
        <f>L15*'Externality Factors'!D$17</f>
        <v>68.220173761340249</v>
      </c>
      <c r="T15" s="37">
        <f>M15*'Externality Factors'!E$17</f>
        <v>22.612264063274324</v>
      </c>
      <c r="U15" s="37">
        <f>N15*'Externality Factors'!F$17</f>
        <v>35.686991331566112</v>
      </c>
      <c r="V15" s="37">
        <f>O15*'Externality Factors'!G$17</f>
        <v>39.179577631853284</v>
      </c>
      <c r="W15" s="37">
        <f>P15*'Externality Factors'!H$17</f>
        <v>58.2109834561223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1"/>
        <v>21</v>
      </c>
      <c r="I16" s="16">
        <f t="shared" si="2"/>
        <v>12021.725295214421</v>
      </c>
      <c r="J16" s="36">
        <f t="shared" si="3"/>
        <v>13.395647225650633</v>
      </c>
      <c r="K16" s="34">
        <f t="shared" si="4"/>
        <v>21.776487657172289</v>
      </c>
      <c r="L16" s="34">
        <f t="shared" si="5"/>
        <v>5.2614497740966861</v>
      </c>
      <c r="M16" s="34">
        <f t="shared" si="6"/>
        <v>1.1926515392766615</v>
      </c>
      <c r="N16" s="34">
        <f t="shared" si="7"/>
        <v>0.20871401937341574</v>
      </c>
      <c r="O16" s="34">
        <f t="shared" si="8"/>
        <v>1.2309867673248396</v>
      </c>
      <c r="P16" s="34">
        <f t="shared" si="9"/>
        <v>0.1518438814167711</v>
      </c>
      <c r="Q16" s="37">
        <f>J16*'Externality Factors'!B$17</f>
        <v>545.9797360233332</v>
      </c>
      <c r="R16" s="37">
        <f>K16*'Externality Factors'!C$17</f>
        <v>0</v>
      </c>
      <c r="S16" s="37">
        <f>L16*'Externality Factors'!D$17</f>
        <v>121.79573551294912</v>
      </c>
      <c r="T16" s="37">
        <f>M16*'Externality Factors'!E$17</f>
        <v>40.37042389886485</v>
      </c>
      <c r="U16" s="37">
        <f>N16*'Externality Factors'!F$17</f>
        <v>63.713167496144209</v>
      </c>
      <c r="V16" s="37">
        <f>O16*'Externality Factors'!G$17</f>
        <v>69.94859748455309</v>
      </c>
      <c r="W16" s="37">
        <f>P16*'Externality Factors'!H$17</f>
        <v>103.92599657944994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1"/>
        <v>21</v>
      </c>
      <c r="I17" s="16">
        <f t="shared" si="2"/>
        <v>6890.94592914854</v>
      </c>
      <c r="J17" s="36">
        <f t="shared" si="3"/>
        <v>7.6784886071763072</v>
      </c>
      <c r="K17" s="34">
        <f t="shared" si="4"/>
        <v>12.482451169640399</v>
      </c>
      <c r="L17" s="34">
        <f t="shared" si="5"/>
        <v>3.0159037086518614</v>
      </c>
      <c r="M17" s="34">
        <f t="shared" si="6"/>
        <v>0.68363708766019216</v>
      </c>
      <c r="N17" s="34">
        <f t="shared" si="7"/>
        <v>0.11963649034053363</v>
      </c>
      <c r="O17" s="34">
        <f t="shared" si="8"/>
        <v>0.70561113690641242</v>
      </c>
      <c r="P17" s="34">
        <f t="shared" si="9"/>
        <v>8.7038087364343625E-2</v>
      </c>
      <c r="Q17" s="37">
        <f>J17*'Externality Factors'!B$17</f>
        <v>312.95980792750908</v>
      </c>
      <c r="R17" s="37">
        <f>K17*'Externality Factors'!C$17</f>
        <v>0</v>
      </c>
      <c r="S17" s="37">
        <f>L17*'Externality Factors'!D$17</f>
        <v>69.814257705149089</v>
      </c>
      <c r="T17" s="37">
        <f>M17*'Externality Factors'!E$17</f>
        <v>23.140639250393203</v>
      </c>
      <c r="U17" s="37">
        <f>N17*'Externality Factors'!F$17</f>
        <v>36.520880440138455</v>
      </c>
      <c r="V17" s="37">
        <f>O17*'Externality Factors'!G$17</f>
        <v>40.095077141523859</v>
      </c>
      <c r="W17" s="37">
        <f>P17*'Externality Factors'!H$17</f>
        <v>59.571185123232546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1"/>
        <v>21</v>
      </c>
      <c r="I18" s="16">
        <f t="shared" si="2"/>
        <v>2353.2405220633932</v>
      </c>
      <c r="J18" s="36">
        <f t="shared" si="3"/>
        <v>2.6221843451385309</v>
      </c>
      <c r="K18" s="34">
        <f t="shared" si="4"/>
        <v>4.2627253513662273</v>
      </c>
      <c r="L18" s="34">
        <f t="shared" si="5"/>
        <v>1.0299234518471643</v>
      </c>
      <c r="M18" s="34">
        <f t="shared" si="6"/>
        <v>0.23346032803164812</v>
      </c>
      <c r="N18" s="34">
        <f t="shared" si="7"/>
        <v>4.0855557405538416E-2</v>
      </c>
      <c r="O18" s="34">
        <f t="shared" si="8"/>
        <v>0.24096441000409388</v>
      </c>
      <c r="P18" s="34">
        <f t="shared" si="9"/>
        <v>2.9723285635180625E-2</v>
      </c>
      <c r="Q18" s="37">
        <f>J18*'Externality Factors'!B$17</f>
        <v>106.87497904706248</v>
      </c>
      <c r="R18" s="37">
        <f>K18*'Externality Factors'!C$17</f>
        <v>0</v>
      </c>
      <c r="S18" s="37">
        <f>L18*'Externality Factors'!D$17</f>
        <v>23.841391579433459</v>
      </c>
      <c r="T18" s="37">
        <f>M18*'Externality Factors'!E$17</f>
        <v>7.9024694940836078</v>
      </c>
      <c r="U18" s="37">
        <f>N18*'Externality Factors'!F$17</f>
        <v>12.471787855660248</v>
      </c>
      <c r="V18" s="37">
        <f>O18*'Externality Factors'!G$17</f>
        <v>13.692366945672745</v>
      </c>
      <c r="W18" s="37">
        <f>P18*'Externality Factors'!H$17</f>
        <v>20.343408324588665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0</v>
      </c>
      <c r="H19" s="14" t="str">
        <f t="shared" si="1"/>
        <v>22</v>
      </c>
      <c r="I19" s="16">
        <f t="shared" si="2"/>
        <v>12933.113735239282</v>
      </c>
      <c r="J19" s="36">
        <f t="shared" si="3"/>
        <v>6.2022389845877415</v>
      </c>
      <c r="K19" s="34">
        <f t="shared" si="4"/>
        <v>0</v>
      </c>
      <c r="L19" s="34">
        <f t="shared" si="5"/>
        <v>0</v>
      </c>
      <c r="M19" s="34">
        <f t="shared" si="6"/>
        <v>1.0585315785200671</v>
      </c>
      <c r="N19" s="34">
        <f t="shared" si="7"/>
        <v>0.12830685800243238</v>
      </c>
      <c r="O19" s="34">
        <f t="shared" si="8"/>
        <v>0</v>
      </c>
      <c r="P19" s="34">
        <f t="shared" si="9"/>
        <v>0</v>
      </c>
      <c r="Q19" s="37">
        <f>J19*'Externality Factors'!B$17</f>
        <v>252.79083171693239</v>
      </c>
      <c r="R19" s="37">
        <f>K19*'Externality Factors'!C$17</f>
        <v>0</v>
      </c>
      <c r="S19" s="37">
        <f>L19*'Externality Factors'!D$17</f>
        <v>0</v>
      </c>
      <c r="T19" s="37">
        <f>M19*'Externality Factors'!E$17</f>
        <v>35.830556644489192</v>
      </c>
      <c r="U19" s="37">
        <f>N19*'Externality Factors'!F$17</f>
        <v>39.167643646338632</v>
      </c>
      <c r="V19" s="37">
        <f>O19*'Externality Factors'!G$17</f>
        <v>0</v>
      </c>
      <c r="W19" s="37">
        <f>P19*'Externality Factors'!H$17</f>
        <v>0</v>
      </c>
      <c r="Y19" s="33">
        <f>VLOOKUP(H19,'Emssions Factors'!$F$6:$M$18,2,TRUE)</f>
        <v>4.795627032713937E-4</v>
      </c>
      <c r="Z19" s="33">
        <f>VLOOKUP(H19,'Emssions Factors'!$F$6:$M$18,3,TRUE)</f>
        <v>0</v>
      </c>
      <c r="AA19" s="33">
        <f>VLOOKUP(H19,'Emssions Factors'!$F$6:$M$18,4,TRUE)</f>
        <v>0</v>
      </c>
      <c r="AB19" s="33">
        <f>VLOOKUP(H19,'Emssions Factors'!$F$6:$M$18,5,TRUE)</f>
        <v>8.1846614836135796E-5</v>
      </c>
      <c r="AC19" s="33">
        <f>VLOOKUP(H19,'Emssions Factors'!$F$6:$M$18,6,TRUE)</f>
        <v>9.9208017983194923E-6</v>
      </c>
      <c r="AD19" s="33">
        <f>VLOOKUP(H19,'Emssions Factors'!$F$6:$M$18,7,TRUE)</f>
        <v>0</v>
      </c>
      <c r="AE19" s="33">
        <f>VLOOKUP(H19,'Emssions Factors'!$F$6:$M$18,8,TRUE)</f>
        <v>0</v>
      </c>
    </row>
    <row r="20" spans="2:3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0</v>
      </c>
      <c r="H20" s="14" t="str">
        <f t="shared" si="1"/>
        <v>22</v>
      </c>
      <c r="I20" s="16">
        <f t="shared" si="2"/>
        <v>3926.8464885021758</v>
      </c>
      <c r="J20" s="36">
        <f t="shared" si="3"/>
        <v>1.8831691173578833</v>
      </c>
      <c r="K20" s="34">
        <f t="shared" si="4"/>
        <v>0</v>
      </c>
      <c r="L20" s="34">
        <f t="shared" si="5"/>
        <v>0</v>
      </c>
      <c r="M20" s="34">
        <f t="shared" si="6"/>
        <v>0.32139909206506995</v>
      </c>
      <c r="N20" s="34">
        <f t="shared" si="7"/>
        <v>3.8957465704856968E-2</v>
      </c>
      <c r="O20" s="34">
        <f t="shared" si="8"/>
        <v>0</v>
      </c>
      <c r="P20" s="34">
        <f t="shared" si="9"/>
        <v>0</v>
      </c>
      <c r="Q20" s="37">
        <f>J20*'Externality Factors'!B$17</f>
        <v>76.754199350185687</v>
      </c>
      <c r="R20" s="37">
        <f>K20*'Externality Factors'!C$17</f>
        <v>0</v>
      </c>
      <c r="S20" s="37">
        <f>L20*'Externality Factors'!D$17</f>
        <v>0</v>
      </c>
      <c r="T20" s="37">
        <f>M20*'Externality Factors'!E$17</f>
        <v>10.879135405507011</v>
      </c>
      <c r="U20" s="37">
        <f>N20*'Externality Factors'!F$17</f>
        <v>11.892366143541365</v>
      </c>
      <c r="V20" s="37">
        <f>O20*'Externality Factors'!G$17</f>
        <v>0</v>
      </c>
      <c r="W20" s="37">
        <f>P20*'Externality Factors'!H$17</f>
        <v>0</v>
      </c>
      <c r="Y20" s="33">
        <f>VLOOKUP(H20,'Emssions Factors'!$F$6:$M$18,2,TRUE)</f>
        <v>4.795627032713937E-4</v>
      </c>
      <c r="Z20" s="33">
        <f>VLOOKUP(H20,'Emssions Factors'!$F$6:$M$18,3,TRUE)</f>
        <v>0</v>
      </c>
      <c r="AA20" s="33">
        <f>VLOOKUP(H20,'Emssions Factors'!$F$6:$M$18,4,TRUE)</f>
        <v>0</v>
      </c>
      <c r="AB20" s="33">
        <f>VLOOKUP(H20,'Emssions Factors'!$F$6:$M$18,5,TRUE)</f>
        <v>8.1846614836135796E-5</v>
      </c>
      <c r="AC20" s="33">
        <f>VLOOKUP(H20,'Emssions Factors'!$F$6:$M$18,6,TRUE)</f>
        <v>9.9208017983194923E-6</v>
      </c>
      <c r="AD20" s="33">
        <f>VLOOKUP(H20,'Emssions Factors'!$F$6:$M$18,7,TRUE)</f>
        <v>0</v>
      </c>
      <c r="AE20" s="33">
        <f>VLOOKUP(H20,'Emssions Factors'!$F$6:$M$18,8,TRUE)</f>
        <v>0</v>
      </c>
    </row>
    <row r="21" spans="2:3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0</v>
      </c>
      <c r="H21" s="14" t="str">
        <f t="shared" si="1"/>
        <v>22</v>
      </c>
      <c r="I21" s="16">
        <f t="shared" si="2"/>
        <v>13598.779366065879</v>
      </c>
      <c r="J21" s="36">
        <f t="shared" si="3"/>
        <v>6.5214673939818022</v>
      </c>
      <c r="K21" s="34">
        <f t="shared" si="4"/>
        <v>0</v>
      </c>
      <c r="L21" s="34">
        <f t="shared" si="5"/>
        <v>0</v>
      </c>
      <c r="M21" s="34">
        <f t="shared" si="6"/>
        <v>1.113014057015985</v>
      </c>
      <c r="N21" s="34">
        <f t="shared" si="7"/>
        <v>0.13491079478981638</v>
      </c>
      <c r="O21" s="34">
        <f t="shared" si="8"/>
        <v>0</v>
      </c>
      <c r="P21" s="34">
        <f t="shared" si="9"/>
        <v>0</v>
      </c>
      <c r="Q21" s="37">
        <f>J21*'Externality Factors'!B$17</f>
        <v>265.80194194969329</v>
      </c>
      <c r="R21" s="37">
        <f>K21*'Externality Factors'!C$17</f>
        <v>0</v>
      </c>
      <c r="S21" s="37">
        <f>L21*'Externality Factors'!D$17</f>
        <v>0</v>
      </c>
      <c r="T21" s="37">
        <f>M21*'Externality Factors'!E$17</f>
        <v>37.674750593440095</v>
      </c>
      <c r="U21" s="37">
        <f>N21*'Externality Factors'!F$17</f>
        <v>41.183597016082118</v>
      </c>
      <c r="V21" s="37">
        <f>O21*'Externality Factors'!G$17</f>
        <v>0</v>
      </c>
      <c r="W21" s="37">
        <f>P21*'Externality Factors'!H$17</f>
        <v>0</v>
      </c>
      <c r="Y21" s="33">
        <f>VLOOKUP(H21,'Emssions Factors'!$F$6:$M$18,2,TRUE)</f>
        <v>4.795627032713937E-4</v>
      </c>
      <c r="Z21" s="33">
        <f>VLOOKUP(H21,'Emssions Factors'!$F$6:$M$18,3,TRUE)</f>
        <v>0</v>
      </c>
      <c r="AA21" s="33">
        <f>VLOOKUP(H21,'Emssions Factors'!$F$6:$M$18,4,TRUE)</f>
        <v>0</v>
      </c>
      <c r="AB21" s="33">
        <f>VLOOKUP(H21,'Emssions Factors'!$F$6:$M$18,5,TRUE)</f>
        <v>8.1846614836135796E-5</v>
      </c>
      <c r="AC21" s="33">
        <f>VLOOKUP(H21,'Emssions Factors'!$F$6:$M$18,6,TRUE)</f>
        <v>9.9208017983194923E-6</v>
      </c>
      <c r="AD21" s="33">
        <f>VLOOKUP(H21,'Emssions Factors'!$F$6:$M$18,7,TRUE)</f>
        <v>0</v>
      </c>
      <c r="AE21" s="33">
        <f>VLOOKUP(H21,'Emssions Factors'!$F$6:$M$18,8,TRUE)</f>
        <v>0</v>
      </c>
    </row>
    <row r="22" spans="2:3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0</v>
      </c>
      <c r="H22" s="14" t="str">
        <f t="shared" si="1"/>
        <v>22</v>
      </c>
      <c r="I22" s="16">
        <f t="shared" si="2"/>
        <v>4309.2231199502803</v>
      </c>
      <c r="J22" s="36">
        <f t="shared" si="3"/>
        <v>2.0665426884029459</v>
      </c>
      <c r="K22" s="34">
        <f t="shared" si="4"/>
        <v>0</v>
      </c>
      <c r="L22" s="34">
        <f t="shared" si="5"/>
        <v>0</v>
      </c>
      <c r="M22" s="34">
        <f t="shared" si="6"/>
        <v>0.35269532494154199</v>
      </c>
      <c r="N22" s="34">
        <f t="shared" si="7"/>
        <v>4.2750948477762674E-2</v>
      </c>
      <c r="O22" s="34">
        <f t="shared" si="8"/>
        <v>0</v>
      </c>
      <c r="P22" s="34">
        <f t="shared" si="9"/>
        <v>0</v>
      </c>
      <c r="Q22" s="37">
        <f>J22*'Externality Factors'!B$17</f>
        <v>84.228138625111356</v>
      </c>
      <c r="R22" s="37">
        <f>K22*'Externality Factors'!C$17</f>
        <v>0</v>
      </c>
      <c r="S22" s="37">
        <f>L22*'Externality Factors'!D$17</f>
        <v>0</v>
      </c>
      <c r="T22" s="37">
        <f>M22*'Externality Factors'!E$17</f>
        <v>11.938491089923467</v>
      </c>
      <c r="U22" s="37">
        <f>N22*'Externality Factors'!F$17</f>
        <v>13.050385159367302</v>
      </c>
      <c r="V22" s="37">
        <f>O22*'Externality Factors'!G$17</f>
        <v>0</v>
      </c>
      <c r="W22" s="37">
        <f>P22*'Externality Factors'!H$17</f>
        <v>0</v>
      </c>
      <c r="Y22" s="33">
        <f>VLOOKUP(H22,'Emssions Factors'!$F$6:$M$18,2,TRUE)</f>
        <v>4.795627032713937E-4</v>
      </c>
      <c r="Z22" s="33">
        <f>VLOOKUP(H22,'Emssions Factors'!$F$6:$M$18,3,TRUE)</f>
        <v>0</v>
      </c>
      <c r="AA22" s="33">
        <f>VLOOKUP(H22,'Emssions Factors'!$F$6:$M$18,4,TRUE)</f>
        <v>0</v>
      </c>
      <c r="AB22" s="33">
        <f>VLOOKUP(H22,'Emssions Factors'!$F$6:$M$18,5,TRUE)</f>
        <v>8.1846614836135796E-5</v>
      </c>
      <c r="AC22" s="33">
        <f>VLOOKUP(H22,'Emssions Factors'!$F$6:$M$18,6,TRUE)</f>
        <v>9.9208017983194923E-6</v>
      </c>
      <c r="AD22" s="33">
        <f>VLOOKUP(H22,'Emssions Factors'!$F$6:$M$18,7,TRUE)</f>
        <v>0</v>
      </c>
      <c r="AE22" s="33">
        <f>VLOOKUP(H22,'Emssions Factors'!$F$6:$M$18,8,TRUE)</f>
        <v>0</v>
      </c>
    </row>
    <row r="23" spans="2:3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1"/>
        <v>22</v>
      </c>
      <c r="I23" s="16">
        <f t="shared" si="2"/>
        <v>9621.3001864512116</v>
      </c>
      <c r="J23" s="36">
        <f t="shared" si="3"/>
        <v>4.6140167264001075</v>
      </c>
      <c r="K23" s="34">
        <f t="shared" si="4"/>
        <v>0</v>
      </c>
      <c r="L23" s="34">
        <f t="shared" si="5"/>
        <v>0</v>
      </c>
      <c r="M23" s="34">
        <f t="shared" si="6"/>
        <v>0.78747085058331379</v>
      </c>
      <c r="N23" s="34">
        <f t="shared" si="7"/>
        <v>9.5451012191916845E-2</v>
      </c>
      <c r="O23" s="34">
        <f t="shared" si="8"/>
        <v>0</v>
      </c>
      <c r="P23" s="34">
        <f t="shared" si="9"/>
        <v>0</v>
      </c>
      <c r="Q23" s="37">
        <f>J23*'Externality Factors'!B$17</f>
        <v>188.05807527264275</v>
      </c>
      <c r="R23" s="37">
        <f>K23*'Externality Factors'!C$17</f>
        <v>0</v>
      </c>
      <c r="S23" s="37">
        <f>L23*'Externality Factors'!D$17</f>
        <v>0</v>
      </c>
      <c r="T23" s="37">
        <f>M23*'Externality Factors'!E$17</f>
        <v>26.655339803048321</v>
      </c>
      <c r="U23" s="37">
        <f>N23*'Externality Factors'!F$17</f>
        <v>29.137890907939219</v>
      </c>
      <c r="V23" s="37">
        <f>O23*'Externality Factors'!G$17</f>
        <v>0</v>
      </c>
      <c r="W23" s="37">
        <f>P23*'Externality Factors'!H$17</f>
        <v>0</v>
      </c>
      <c r="Y23" s="33">
        <f>VLOOKUP(H23,'Emssions Factors'!$F$6:$M$18,2,TRUE)</f>
        <v>4.795627032713937E-4</v>
      </c>
      <c r="Z23" s="33">
        <f>VLOOKUP(H23,'Emssions Factors'!$F$6:$M$18,3,TRUE)</f>
        <v>0</v>
      </c>
      <c r="AA23" s="33">
        <f>VLOOKUP(H23,'Emssions Factors'!$F$6:$M$18,4,TRUE)</f>
        <v>0</v>
      </c>
      <c r="AB23" s="33">
        <f>VLOOKUP(H23,'Emssions Factors'!$F$6:$M$18,5,TRUE)</f>
        <v>8.1846614836135796E-5</v>
      </c>
      <c r="AC23" s="33">
        <f>VLOOKUP(H23,'Emssions Factors'!$F$6:$M$18,6,TRUE)</f>
        <v>9.9208017983194923E-6</v>
      </c>
      <c r="AD23" s="33">
        <f>VLOOKUP(H23,'Emssions Factors'!$F$6:$M$18,7,TRUE)</f>
        <v>0</v>
      </c>
      <c r="AE23" s="33">
        <f>VLOOKUP(H23,'Emssions Factors'!$F$6:$M$18,8,TRUE)</f>
        <v>0</v>
      </c>
    </row>
    <row r="24" spans="2:3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1"/>
        <v>22</v>
      </c>
      <c r="I24" s="16">
        <f t="shared" si="2"/>
        <v>9071.2367930391538</v>
      </c>
      <c r="J24" s="36">
        <f t="shared" si="3"/>
        <v>4.3502268384847849</v>
      </c>
      <c r="K24" s="34">
        <f t="shared" si="4"/>
        <v>0</v>
      </c>
      <c r="L24" s="34">
        <f t="shared" si="5"/>
        <v>0</v>
      </c>
      <c r="M24" s="34">
        <f t="shared" si="6"/>
        <v>0.74245002388725934</v>
      </c>
      <c r="N24" s="34">
        <f t="shared" si="7"/>
        <v>8.9993942289364776E-2</v>
      </c>
      <c r="O24" s="34">
        <f t="shared" si="8"/>
        <v>0</v>
      </c>
      <c r="P24" s="34">
        <f t="shared" si="9"/>
        <v>0</v>
      </c>
      <c r="Q24" s="37">
        <f>J24*'Externality Factors'!B$17</f>
        <v>177.30652807648724</v>
      </c>
      <c r="R24" s="37">
        <f>K24*'Externality Factors'!C$17</f>
        <v>0</v>
      </c>
      <c r="S24" s="37">
        <f>L24*'Externality Factors'!D$17</f>
        <v>0</v>
      </c>
      <c r="T24" s="37">
        <f>M24*'Externality Factors'!E$17</f>
        <v>25.131416177293087</v>
      </c>
      <c r="U24" s="37">
        <f>N24*'Externality Factors'!F$17</f>
        <v>27.472036310422169</v>
      </c>
      <c r="V24" s="37">
        <f>O24*'Externality Factors'!G$17</f>
        <v>0</v>
      </c>
      <c r="W24" s="37">
        <f>P24*'Externality Factors'!H$17</f>
        <v>0</v>
      </c>
      <c r="Y24" s="33">
        <f>VLOOKUP(H24,'Emssions Factors'!$F$6:$M$18,2,TRUE)</f>
        <v>4.795627032713937E-4</v>
      </c>
      <c r="Z24" s="33">
        <f>VLOOKUP(H24,'Emssions Factors'!$F$6:$M$18,3,TRUE)</f>
        <v>0</v>
      </c>
      <c r="AA24" s="33">
        <f>VLOOKUP(H24,'Emssions Factors'!$F$6:$M$18,4,TRUE)</f>
        <v>0</v>
      </c>
      <c r="AB24" s="33">
        <f>VLOOKUP(H24,'Emssions Factors'!$F$6:$M$18,5,TRUE)</f>
        <v>8.1846614836135796E-5</v>
      </c>
      <c r="AC24" s="33">
        <f>VLOOKUP(H24,'Emssions Factors'!$F$6:$M$18,6,TRUE)</f>
        <v>9.9208017983194923E-6</v>
      </c>
      <c r="AD24" s="33">
        <f>VLOOKUP(H24,'Emssions Factors'!$F$6:$M$18,7,TRUE)</f>
        <v>0</v>
      </c>
      <c r="AE24" s="33">
        <f>VLOOKUP(H24,'Emssions Factors'!$F$6:$M$18,8,TRUE)</f>
        <v>0</v>
      </c>
    </row>
    <row r="25" spans="2:3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1"/>
        <v>22</v>
      </c>
      <c r="I25" s="16">
        <f t="shared" si="2"/>
        <v>2673.5512740832819</v>
      </c>
      <c r="J25" s="36">
        <f t="shared" si="3"/>
        <v>1.2821354763340576</v>
      </c>
      <c r="K25" s="34">
        <f t="shared" si="4"/>
        <v>0</v>
      </c>
      <c r="L25" s="34">
        <f t="shared" si="5"/>
        <v>0</v>
      </c>
      <c r="M25" s="34">
        <f t="shared" si="6"/>
        <v>0.21882112137455451</v>
      </c>
      <c r="N25" s="34">
        <f t="shared" si="7"/>
        <v>2.6523772287824793E-2</v>
      </c>
      <c r="O25" s="34">
        <f t="shared" si="8"/>
        <v>0</v>
      </c>
      <c r="P25" s="34">
        <f t="shared" si="9"/>
        <v>0</v>
      </c>
      <c r="Q25" s="37">
        <f>J25*'Externality Factors'!B$17</f>
        <v>52.257272614240485</v>
      </c>
      <c r="R25" s="37">
        <f>K25*'Externality Factors'!C$17</f>
        <v>0</v>
      </c>
      <c r="S25" s="37">
        <f>L25*'Externality Factors'!D$17</f>
        <v>0</v>
      </c>
      <c r="T25" s="37">
        <f>M25*'Externality Factors'!E$17</f>
        <v>7.4069425452412094</v>
      </c>
      <c r="U25" s="37">
        <f>N25*'Externality Factors'!F$17</f>
        <v>8.0967898154474245</v>
      </c>
      <c r="V25" s="37">
        <f>O25*'Externality Factors'!G$17</f>
        <v>0</v>
      </c>
      <c r="W25" s="37">
        <f>P25*'Externality Factors'!H$17</f>
        <v>0</v>
      </c>
      <c r="Y25" s="33">
        <f>VLOOKUP(H25,'Emssions Factors'!$F$6:$M$18,2,TRUE)</f>
        <v>4.795627032713937E-4</v>
      </c>
      <c r="Z25" s="33">
        <f>VLOOKUP(H25,'Emssions Factors'!$F$6:$M$18,3,TRUE)</f>
        <v>0</v>
      </c>
      <c r="AA25" s="33">
        <f>VLOOKUP(H25,'Emssions Factors'!$F$6:$M$18,4,TRUE)</f>
        <v>0</v>
      </c>
      <c r="AB25" s="33">
        <f>VLOOKUP(H25,'Emssions Factors'!$F$6:$M$18,5,TRUE)</f>
        <v>8.1846614836135796E-5</v>
      </c>
      <c r="AC25" s="33">
        <f>VLOOKUP(H25,'Emssions Factors'!$F$6:$M$18,6,TRUE)</f>
        <v>9.9208017983194923E-6</v>
      </c>
      <c r="AD25" s="33">
        <f>VLOOKUP(H25,'Emssions Factors'!$F$6:$M$18,7,TRUE)</f>
        <v>0</v>
      </c>
      <c r="AE25" s="33">
        <f>VLOOKUP(H25,'Emssions Factors'!$F$6:$M$18,8,TRUE)</f>
        <v>0</v>
      </c>
    </row>
    <row r="26" spans="2:3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0</v>
      </c>
      <c r="H26" s="14" t="str">
        <f t="shared" si="1"/>
        <v>22</v>
      </c>
      <c r="I26" s="16">
        <f t="shared" si="2"/>
        <v>5754.1603480422627</v>
      </c>
      <c r="J26" s="36">
        <f t="shared" si="3"/>
        <v>2.7594806915642112</v>
      </c>
      <c r="K26" s="34">
        <f t="shared" si="4"/>
        <v>0</v>
      </c>
      <c r="L26" s="34">
        <f t="shared" si="5"/>
        <v>0</v>
      </c>
      <c r="M26" s="34">
        <f t="shared" si="6"/>
        <v>0.47095854571158019</v>
      </c>
      <c r="N26" s="34">
        <f t="shared" si="7"/>
        <v>5.7085884328676395E-2</v>
      </c>
      <c r="O26" s="34">
        <f t="shared" si="8"/>
        <v>0</v>
      </c>
      <c r="P26" s="34">
        <f t="shared" si="9"/>
        <v>0</v>
      </c>
      <c r="Q26" s="37">
        <f>J26*'Externality Factors'!B$17</f>
        <v>112.47090298531923</v>
      </c>
      <c r="R26" s="37">
        <f>K26*'Externality Factors'!C$17</f>
        <v>0</v>
      </c>
      <c r="S26" s="37">
        <f>L26*'Externality Factors'!D$17</f>
        <v>0</v>
      </c>
      <c r="T26" s="37">
        <f>M26*'Externality Factors'!E$17</f>
        <v>15.941618740290728</v>
      </c>
      <c r="U26" s="37">
        <f>N26*'Externality Factors'!F$17</f>
        <v>17.426345009393938</v>
      </c>
      <c r="V26" s="37">
        <f>O26*'Externality Factors'!G$17</f>
        <v>0</v>
      </c>
      <c r="W26" s="37">
        <f>P26*'Externality Factors'!H$17</f>
        <v>0</v>
      </c>
      <c r="Y26" s="33">
        <f>VLOOKUP(H26,'Emssions Factors'!$F$6:$M$18,2,TRUE)</f>
        <v>4.795627032713937E-4</v>
      </c>
      <c r="Z26" s="33">
        <f>VLOOKUP(H26,'Emssions Factors'!$F$6:$M$18,3,TRUE)</f>
        <v>0</v>
      </c>
      <c r="AA26" s="33">
        <f>VLOOKUP(H26,'Emssions Factors'!$F$6:$M$18,4,TRUE)</f>
        <v>0</v>
      </c>
      <c r="AB26" s="33">
        <f>VLOOKUP(H26,'Emssions Factors'!$F$6:$M$18,5,TRUE)</f>
        <v>8.1846614836135796E-5</v>
      </c>
      <c r="AC26" s="33">
        <f>VLOOKUP(H26,'Emssions Factors'!$F$6:$M$18,6,TRUE)</f>
        <v>9.9208017983194923E-6</v>
      </c>
      <c r="AD26" s="33">
        <f>VLOOKUP(H26,'Emssions Factors'!$F$6:$M$18,7,TRUE)</f>
        <v>0</v>
      </c>
      <c r="AE26" s="33">
        <f>VLOOKUP(H26,'Emssions Factors'!$F$6:$M$18,8,TRUE)</f>
        <v>0</v>
      </c>
    </row>
    <row r="27" spans="2:3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0</v>
      </c>
      <c r="H27" s="14" t="str">
        <f t="shared" si="1"/>
        <v>22</v>
      </c>
      <c r="I27" s="16">
        <f t="shared" si="2"/>
        <v>8943.6569297700444</v>
      </c>
      <c r="J27" s="36">
        <f t="shared" si="3"/>
        <v>4.2890442943724558</v>
      </c>
      <c r="K27" s="34">
        <f t="shared" si="4"/>
        <v>0</v>
      </c>
      <c r="L27" s="34">
        <f t="shared" si="5"/>
        <v>0</v>
      </c>
      <c r="M27" s="34">
        <f t="shared" si="6"/>
        <v>0.73200804395742558</v>
      </c>
      <c r="N27" s="34">
        <f t="shared" si="7"/>
        <v>8.8728247752415251E-2</v>
      </c>
      <c r="O27" s="34">
        <f t="shared" si="8"/>
        <v>0</v>
      </c>
      <c r="P27" s="34">
        <f t="shared" si="9"/>
        <v>0</v>
      </c>
      <c r="Q27" s="37">
        <f>J27*'Externality Factors'!B$17</f>
        <v>174.81285018836542</v>
      </c>
      <c r="R27" s="37">
        <f>K27*'Externality Factors'!C$17</f>
        <v>0</v>
      </c>
      <c r="S27" s="37">
        <f>L27*'Externality Factors'!D$17</f>
        <v>0</v>
      </c>
      <c r="T27" s="37">
        <f>M27*'Externality Factors'!E$17</f>
        <v>24.777962429716077</v>
      </c>
      <c r="U27" s="37">
        <f>N27*'Externality Factors'!F$17</f>
        <v>27.085663568074938</v>
      </c>
      <c r="V27" s="37">
        <f>O27*'Externality Factors'!G$17</f>
        <v>0</v>
      </c>
      <c r="W27" s="37">
        <f>P27*'Externality Factors'!H$17</f>
        <v>0</v>
      </c>
      <c r="Y27" s="33">
        <f>VLOOKUP(H27,'Emssions Factors'!$F$6:$M$18,2,TRUE)</f>
        <v>4.795627032713937E-4</v>
      </c>
      <c r="Z27" s="33">
        <f>VLOOKUP(H27,'Emssions Factors'!$F$6:$M$18,3,TRUE)</f>
        <v>0</v>
      </c>
      <c r="AA27" s="33">
        <f>VLOOKUP(H27,'Emssions Factors'!$F$6:$M$18,4,TRUE)</f>
        <v>0</v>
      </c>
      <c r="AB27" s="33">
        <f>VLOOKUP(H27,'Emssions Factors'!$F$6:$M$18,5,TRUE)</f>
        <v>8.1846614836135796E-5</v>
      </c>
      <c r="AC27" s="33">
        <f>VLOOKUP(H27,'Emssions Factors'!$F$6:$M$18,6,TRUE)</f>
        <v>9.9208017983194923E-6</v>
      </c>
      <c r="AD27" s="33">
        <f>VLOOKUP(H27,'Emssions Factors'!$F$6:$M$18,7,TRUE)</f>
        <v>0</v>
      </c>
      <c r="AE27" s="33">
        <f>VLOOKUP(H27,'Emssions Factors'!$F$6:$M$18,8,TRUE)</f>
        <v>0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zoomScale="70" zoomScaleNormal="70" workbookViewId="0">
      <selection activeCell="H15" sqref="H15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8" t="s">
        <v>21</v>
      </c>
      <c r="C5" s="98" t="s">
        <v>15</v>
      </c>
      <c r="D5" s="98" t="s">
        <v>22</v>
      </c>
      <c r="E5" s="98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8"/>
      <c r="C6" s="98"/>
      <c r="D6" s="98"/>
      <c r="E6" s="98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2022-03-30T00:22:18Z</dcterms:modified>
</cp:coreProperties>
</file>